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Q:\Operations\Reports\"/>
    </mc:Choice>
  </mc:AlternateContent>
  <xr:revisionPtr revIDLastSave="0" documentId="13_ncr:1_{11BB31F8-6FF4-43A8-B5D6-8620071945EF}" xr6:coauthVersionLast="36" xr6:coauthVersionMax="47" xr10:uidLastSave="{00000000-0000-0000-0000-000000000000}"/>
  <bookViews>
    <workbookView xWindow="-120" yWindow="-120" windowWidth="20730" windowHeight="11160" firstSheet="2" activeTab="11" xr2:uid="{76AAE577-DD69-4817-BAE7-57F9949B2942}"/>
  </bookViews>
  <sheets>
    <sheet name="01-22" sheetId="1" r:id="rId1"/>
    <sheet name="02-22" sheetId="13" r:id="rId2"/>
    <sheet name="03-22" sheetId="14" r:id="rId3"/>
    <sheet name="04-22" sheetId="15" r:id="rId4"/>
    <sheet name="05-22" sheetId="16" r:id="rId5"/>
    <sheet name="06-22" sheetId="17" r:id="rId6"/>
    <sheet name="07-22" sheetId="18" r:id="rId7"/>
    <sheet name="08-22" sheetId="19" r:id="rId8"/>
    <sheet name="09-22" sheetId="20" r:id="rId9"/>
    <sheet name="10-22" sheetId="21" r:id="rId10"/>
    <sheet name="11-22" sheetId="22" r:id="rId11"/>
    <sheet name="12-22" sheetId="23" r:id="rId12"/>
    <sheet name="Sheet12" sheetId="2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3" l="1"/>
  <c r="S7" i="23"/>
  <c r="P7" i="23"/>
  <c r="M7" i="23"/>
  <c r="K7" i="23"/>
  <c r="P13" i="23"/>
  <c r="G13" i="23"/>
  <c r="Q31" i="23" l="1"/>
  <c r="T36" i="23" l="1"/>
  <c r="R36" i="23"/>
  <c r="O36" i="23"/>
  <c r="N36" i="23"/>
  <c r="C36" i="23"/>
  <c r="P30" i="23" l="1"/>
  <c r="Q29" i="23"/>
  <c r="Q18" i="23" l="1"/>
  <c r="M39" i="23" l="1"/>
  <c r="S39" i="23"/>
  <c r="P39" i="23"/>
  <c r="K39" i="23"/>
  <c r="S31" i="23" l="1"/>
  <c r="P31" i="23"/>
  <c r="M31" i="23"/>
  <c r="K31" i="23"/>
  <c r="P17" i="23" l="1"/>
  <c r="M17" i="23"/>
  <c r="K17" i="23"/>
  <c r="M13" i="23" l="1"/>
  <c r="O32" i="23" l="1"/>
  <c r="P15" i="23" l="1"/>
  <c r="P28" i="23" l="1"/>
  <c r="O28" i="23"/>
  <c r="N33" i="23" l="1"/>
  <c r="Y34" i="23" l="1"/>
  <c r="X34" i="23"/>
  <c r="W34" i="23"/>
  <c r="U34" i="23"/>
  <c r="Q14" i="23"/>
  <c r="Q13" i="23" l="1"/>
  <c r="Q8" i="23" l="1"/>
  <c r="Y8" i="23" l="1"/>
  <c r="Y9" i="23"/>
  <c r="Y10" i="23"/>
  <c r="Y11" i="23"/>
  <c r="Y12" i="23"/>
  <c r="Y13" i="23"/>
  <c r="Y14" i="23"/>
  <c r="Y15" i="23"/>
  <c r="Y16" i="23"/>
  <c r="Y17" i="23"/>
  <c r="Y18" i="23"/>
  <c r="Y19" i="23"/>
  <c r="Y20" i="23"/>
  <c r="Y7" i="23"/>
  <c r="Y19" i="22" l="1"/>
  <c r="Y18" i="22"/>
  <c r="Y17" i="22"/>
  <c r="Y16" i="22"/>
  <c r="Y15" i="22"/>
  <c r="Y14" i="22"/>
  <c r="Y13" i="22"/>
  <c r="Y12" i="22"/>
  <c r="Y11" i="22"/>
  <c r="Y10" i="22"/>
  <c r="Y9" i="22"/>
  <c r="Y8" i="22"/>
  <c r="Y7" i="22"/>
  <c r="O13" i="23" l="1"/>
  <c r="U40" i="23" l="1"/>
  <c r="U39" i="23"/>
  <c r="U38" i="23"/>
  <c r="U37" i="23"/>
  <c r="U36" i="23"/>
  <c r="U35" i="23"/>
  <c r="U33" i="23"/>
  <c r="U32" i="23"/>
  <c r="U31" i="23"/>
  <c r="U30" i="23"/>
  <c r="U29" i="23"/>
  <c r="U28" i="23"/>
  <c r="U27" i="23"/>
  <c r="U26" i="23"/>
  <c r="U20" i="23"/>
  <c r="U19" i="23"/>
  <c r="U18" i="23"/>
  <c r="U17" i="23"/>
  <c r="U16" i="23"/>
  <c r="U15" i="23"/>
  <c r="U14" i="23"/>
  <c r="U13" i="23"/>
  <c r="U12" i="23"/>
  <c r="U11" i="23"/>
  <c r="U10" i="23"/>
  <c r="U9" i="23"/>
  <c r="U8" i="23"/>
  <c r="U7" i="23" l="1"/>
  <c r="X15" i="23"/>
  <c r="W15" i="23"/>
  <c r="H60" i="23"/>
  <c r="H59" i="23"/>
  <c r="H58" i="23"/>
  <c r="H57" i="23"/>
  <c r="H56" i="23"/>
  <c r="T41" i="23"/>
  <c r="R41" i="23"/>
  <c r="Q41" i="23"/>
  <c r="L41" i="23"/>
  <c r="L42" i="23" s="1"/>
  <c r="M51" i="23" s="1"/>
  <c r="J41" i="23"/>
  <c r="J42" i="23" s="1"/>
  <c r="I41" i="23"/>
  <c r="I42" i="23" s="1"/>
  <c r="H41" i="23"/>
  <c r="H42" i="23" s="1"/>
  <c r="G41" i="23"/>
  <c r="G42" i="23" s="1"/>
  <c r="F41" i="23"/>
  <c r="E41" i="23"/>
  <c r="E42" i="23" s="1"/>
  <c r="D41" i="23"/>
  <c r="D42" i="23" s="1"/>
  <c r="C41" i="23"/>
  <c r="C42" i="23" s="1"/>
  <c r="B41" i="23"/>
  <c r="B42" i="23" s="1"/>
  <c r="X40" i="23"/>
  <c r="W40" i="23"/>
  <c r="Y40" i="23"/>
  <c r="Y39" i="23"/>
  <c r="X39" i="23"/>
  <c r="W39" i="23"/>
  <c r="Y38" i="23"/>
  <c r="X38" i="23"/>
  <c r="W38" i="23"/>
  <c r="Y37" i="23"/>
  <c r="X37" i="23"/>
  <c r="W37" i="23"/>
  <c r="N41" i="23"/>
  <c r="Y36" i="23"/>
  <c r="X36" i="23"/>
  <c r="W36" i="23"/>
  <c r="Y35" i="23"/>
  <c r="X35" i="23"/>
  <c r="W35" i="23"/>
  <c r="Y33" i="23"/>
  <c r="X33" i="23"/>
  <c r="W33" i="23"/>
  <c r="Y32" i="23"/>
  <c r="X32" i="23"/>
  <c r="W32" i="23"/>
  <c r="O41" i="23"/>
  <c r="Y31" i="23"/>
  <c r="X31" i="23"/>
  <c r="W31" i="23"/>
  <c r="Y30" i="23"/>
  <c r="X30" i="23"/>
  <c r="W30" i="23"/>
  <c r="Y29" i="23"/>
  <c r="W29" i="23"/>
  <c r="X29" i="23"/>
  <c r="X28" i="23"/>
  <c r="W28" i="23"/>
  <c r="M41" i="23"/>
  <c r="M42" i="23" s="1"/>
  <c r="M52" i="23" s="1"/>
  <c r="Y28" i="23"/>
  <c r="Y27" i="23"/>
  <c r="X27" i="23"/>
  <c r="W27" i="23"/>
  <c r="S41" i="23"/>
  <c r="P41" i="23"/>
  <c r="Y26" i="23"/>
  <c r="X26" i="23"/>
  <c r="W26" i="23"/>
  <c r="T21" i="23"/>
  <c r="R21" i="23"/>
  <c r="Q21" i="23"/>
  <c r="O21" i="23"/>
  <c r="N21" i="23"/>
  <c r="L21" i="23"/>
  <c r="L22" i="23" s="1"/>
  <c r="E51" i="23" s="1"/>
  <c r="K21" i="23"/>
  <c r="K22" i="23" s="1"/>
  <c r="J21" i="23"/>
  <c r="J22" i="23" s="1"/>
  <c r="I21" i="23"/>
  <c r="H21" i="23"/>
  <c r="H22" i="23" s="1"/>
  <c r="G21" i="23"/>
  <c r="F21" i="23"/>
  <c r="F22" i="23" s="1"/>
  <c r="E21" i="23"/>
  <c r="E22" i="23" s="1"/>
  <c r="D21" i="23"/>
  <c r="C21" i="23"/>
  <c r="C22" i="23" s="1"/>
  <c r="B21" i="23"/>
  <c r="B22" i="23" s="1"/>
  <c r="X20" i="23"/>
  <c r="W20" i="23"/>
  <c r="X19" i="23"/>
  <c r="W19" i="23"/>
  <c r="X18" i="23"/>
  <c r="W18" i="23"/>
  <c r="X17" i="23"/>
  <c r="W17" i="23"/>
  <c r="X16" i="23"/>
  <c r="W16" i="23"/>
  <c r="S21" i="23"/>
  <c r="M21" i="23"/>
  <c r="X14" i="23"/>
  <c r="W14" i="23"/>
  <c r="X13" i="23"/>
  <c r="W13" i="23"/>
  <c r="X12" i="23"/>
  <c r="W12" i="23"/>
  <c r="X11" i="23"/>
  <c r="W11" i="23"/>
  <c r="X10" i="23"/>
  <c r="W10" i="23"/>
  <c r="X9" i="23"/>
  <c r="W9" i="23"/>
  <c r="X8" i="23"/>
  <c r="W8" i="23"/>
  <c r="X7" i="23"/>
  <c r="W7" i="23"/>
  <c r="P27" i="22"/>
  <c r="N19" i="22"/>
  <c r="P12" i="22"/>
  <c r="G43" i="23" l="1"/>
  <c r="G44" i="23" s="1"/>
  <c r="I43" i="23"/>
  <c r="I44" i="23" s="1"/>
  <c r="N43" i="23"/>
  <c r="E43" i="23"/>
  <c r="T43" i="23"/>
  <c r="Y41" i="23"/>
  <c r="B43" i="23"/>
  <c r="O43" i="23"/>
  <c r="D43" i="23"/>
  <c r="Q43" i="23"/>
  <c r="R43" i="23"/>
  <c r="Y21" i="23"/>
  <c r="D22" i="23"/>
  <c r="E48" i="23" s="1"/>
  <c r="F43" i="23"/>
  <c r="X21" i="23"/>
  <c r="H43" i="23"/>
  <c r="S43" i="23"/>
  <c r="M22" i="23"/>
  <c r="E52" i="23" s="1"/>
  <c r="E60" i="23" s="1"/>
  <c r="K60" i="23" s="1"/>
  <c r="M43" i="23"/>
  <c r="M49" i="23"/>
  <c r="E59" i="23"/>
  <c r="K59" i="23" s="1"/>
  <c r="X41" i="23"/>
  <c r="U21" i="23"/>
  <c r="P21" i="23"/>
  <c r="P43" i="23" s="1"/>
  <c r="J43" i="23"/>
  <c r="G22" i="23"/>
  <c r="E49" i="23" s="1"/>
  <c r="K41" i="23"/>
  <c r="K42" i="23" s="1"/>
  <c r="M48" i="23" s="1"/>
  <c r="L43" i="23"/>
  <c r="I22" i="23"/>
  <c r="E50" i="23" s="1"/>
  <c r="C43" i="23"/>
  <c r="F42" i="23"/>
  <c r="M50" i="23" s="1"/>
  <c r="P38" i="22"/>
  <c r="M38" i="22"/>
  <c r="K38" i="22"/>
  <c r="S37" i="22"/>
  <c r="P37" i="22"/>
  <c r="M37" i="22"/>
  <c r="K37" i="22"/>
  <c r="P35" i="22"/>
  <c r="D44" i="23" l="1"/>
  <c r="K43" i="23"/>
  <c r="K44" i="23" s="1"/>
  <c r="J44" i="23"/>
  <c r="B44" i="23"/>
  <c r="M44" i="23"/>
  <c r="L44" i="23"/>
  <c r="H44" i="23"/>
  <c r="F44" i="23"/>
  <c r="E44" i="23"/>
  <c r="C44" i="23"/>
  <c r="X43" i="23"/>
  <c r="Y43" i="23"/>
  <c r="U41" i="23"/>
  <c r="U43" i="23" s="1"/>
  <c r="E58" i="23"/>
  <c r="K58" i="23" s="1"/>
  <c r="X42" i="23"/>
  <c r="Y22" i="23"/>
  <c r="E56" i="23"/>
  <c r="E53" i="23"/>
  <c r="Y42" i="23"/>
  <c r="M53" i="23"/>
  <c r="E57" i="23"/>
  <c r="X22" i="23"/>
  <c r="Q37" i="22"/>
  <c r="O36" i="22"/>
  <c r="L57" i="23" l="1"/>
  <c r="K57" i="23"/>
  <c r="X44" i="23"/>
  <c r="E61" i="23"/>
  <c r="E62" i="23" s="1"/>
  <c r="L56" i="23"/>
  <c r="K56" i="23"/>
  <c r="Y44" i="23"/>
  <c r="N35" i="22"/>
  <c r="P31" i="22"/>
  <c r="O31" i="22"/>
  <c r="K61" i="23" l="1"/>
  <c r="U38" i="22"/>
  <c r="P28" i="22"/>
  <c r="M28" i="22"/>
  <c r="K28" i="22"/>
  <c r="M27" i="22"/>
  <c r="K27" i="22"/>
  <c r="S26" i="22"/>
  <c r="T26" i="22"/>
  <c r="P26" i="22"/>
  <c r="S15" i="22"/>
  <c r="P15" i="22"/>
  <c r="M15" i="22"/>
  <c r="P19" i="22" l="1"/>
  <c r="U19" i="22" s="1"/>
  <c r="U32" i="22" l="1"/>
  <c r="U37" i="22" l="1"/>
  <c r="U36" i="22"/>
  <c r="U35" i="22"/>
  <c r="U34" i="22"/>
  <c r="U33" i="22"/>
  <c r="U31" i="22"/>
  <c r="U30" i="22"/>
  <c r="U29" i="22"/>
  <c r="U28" i="22"/>
  <c r="C39" i="22" l="1"/>
  <c r="C40" i="22" s="1"/>
  <c r="C20" i="22"/>
  <c r="C21" i="22" s="1"/>
  <c r="Y38" i="22"/>
  <c r="Y37" i="22"/>
  <c r="Y36" i="22"/>
  <c r="Y35" i="22"/>
  <c r="Y34" i="22"/>
  <c r="Y33" i="22"/>
  <c r="Y32" i="22"/>
  <c r="Y31" i="22"/>
  <c r="Y30" i="22"/>
  <c r="Y29" i="22"/>
  <c r="Y28" i="22"/>
  <c r="Y27" i="22"/>
  <c r="Y26" i="22"/>
  <c r="Y25" i="22"/>
  <c r="U27" i="22"/>
  <c r="U26" i="22"/>
  <c r="U25" i="22"/>
  <c r="Y39" i="22" l="1"/>
  <c r="C41" i="22"/>
  <c r="C42" i="22" s="1"/>
  <c r="U18" i="22"/>
  <c r="U17" i="22"/>
  <c r="U16" i="22"/>
  <c r="U15" i="22"/>
  <c r="U14" i="22"/>
  <c r="U13" i="22"/>
  <c r="U12" i="22"/>
  <c r="U11" i="22"/>
  <c r="U10" i="22"/>
  <c r="U9" i="22"/>
  <c r="U8" i="22"/>
  <c r="U7" i="22"/>
  <c r="R36" i="21" l="1"/>
  <c r="O36" i="21"/>
  <c r="R30" i="21" l="1"/>
  <c r="O30" i="21"/>
  <c r="L30" i="21"/>
  <c r="J30" i="21"/>
  <c r="K27" i="21" l="1"/>
  <c r="O15" i="21" l="1"/>
  <c r="L15" i="21"/>
  <c r="J15" i="21"/>
  <c r="P15" i="21" l="1"/>
  <c r="O19" i="21" l="1"/>
  <c r="H59" i="22" l="1"/>
  <c r="H58" i="22"/>
  <c r="H57" i="22"/>
  <c r="H56" i="22"/>
  <c r="H55" i="22"/>
  <c r="T39" i="22"/>
  <c r="S39" i="22"/>
  <c r="R39" i="22"/>
  <c r="Q39" i="22"/>
  <c r="P39" i="22"/>
  <c r="O39" i="22"/>
  <c r="N39" i="22"/>
  <c r="M39" i="22"/>
  <c r="M40" i="22" s="1"/>
  <c r="M51" i="22" s="1"/>
  <c r="L39" i="22"/>
  <c r="L40" i="22" s="1"/>
  <c r="M50" i="22" s="1"/>
  <c r="K39" i="22"/>
  <c r="K40" i="22" s="1"/>
  <c r="J39" i="22"/>
  <c r="J40" i="22" s="1"/>
  <c r="I39" i="22"/>
  <c r="I40" i="22" s="1"/>
  <c r="H39" i="22"/>
  <c r="H40" i="22" s="1"/>
  <c r="G39" i="22"/>
  <c r="F39" i="22"/>
  <c r="F40" i="22" s="1"/>
  <c r="E39" i="22"/>
  <c r="E40" i="22" s="1"/>
  <c r="D39" i="22"/>
  <c r="D40" i="22" s="1"/>
  <c r="B39" i="22"/>
  <c r="B40" i="22" s="1"/>
  <c r="X38" i="22"/>
  <c r="W38" i="22"/>
  <c r="X37" i="22"/>
  <c r="W37" i="22"/>
  <c r="X36" i="22"/>
  <c r="W36" i="22"/>
  <c r="X35" i="22"/>
  <c r="W35" i="22"/>
  <c r="X34" i="22"/>
  <c r="W34" i="22"/>
  <c r="X33" i="22"/>
  <c r="W33" i="22"/>
  <c r="X32" i="22"/>
  <c r="W32" i="22"/>
  <c r="X31" i="22"/>
  <c r="W31" i="22"/>
  <c r="X30" i="22"/>
  <c r="W30" i="22"/>
  <c r="X29" i="22"/>
  <c r="W29" i="22"/>
  <c r="X28" i="22"/>
  <c r="W28" i="22"/>
  <c r="X27" i="22"/>
  <c r="W27" i="22"/>
  <c r="X26" i="22"/>
  <c r="W26" i="22"/>
  <c r="X25" i="22"/>
  <c r="W25" i="22"/>
  <c r="U39" i="22"/>
  <c r="T20" i="22"/>
  <c r="S20" i="22"/>
  <c r="R20" i="22"/>
  <c r="Q20" i="22"/>
  <c r="P20" i="22"/>
  <c r="O20" i="22"/>
  <c r="N20" i="22"/>
  <c r="M20" i="22"/>
  <c r="M21" i="22" s="1"/>
  <c r="E51" i="22" s="1"/>
  <c r="L20" i="22"/>
  <c r="L21" i="22" s="1"/>
  <c r="E50" i="22" s="1"/>
  <c r="K20" i="22"/>
  <c r="K21" i="22" s="1"/>
  <c r="J20" i="22"/>
  <c r="J21" i="22" s="1"/>
  <c r="I20" i="22"/>
  <c r="I21" i="22" s="1"/>
  <c r="H20" i="22"/>
  <c r="G20" i="22"/>
  <c r="G21" i="22" s="1"/>
  <c r="E48" i="22" s="1"/>
  <c r="F20" i="22"/>
  <c r="F21" i="22" s="1"/>
  <c r="E20" i="22"/>
  <c r="E21" i="22" s="1"/>
  <c r="D20" i="22"/>
  <c r="B20" i="22"/>
  <c r="B21" i="22" s="1"/>
  <c r="X19" i="22"/>
  <c r="W19" i="22"/>
  <c r="X18" i="22"/>
  <c r="W18" i="22"/>
  <c r="X17" i="22"/>
  <c r="W17" i="22"/>
  <c r="X16" i="22"/>
  <c r="W16" i="22"/>
  <c r="X15" i="22"/>
  <c r="W15" i="22"/>
  <c r="X14" i="22"/>
  <c r="W14" i="22"/>
  <c r="X13" i="22"/>
  <c r="W13" i="22"/>
  <c r="X12" i="22"/>
  <c r="W12" i="22"/>
  <c r="X11" i="22"/>
  <c r="W11" i="22"/>
  <c r="X10" i="22"/>
  <c r="W10" i="22"/>
  <c r="X9" i="22"/>
  <c r="W9" i="22"/>
  <c r="X8" i="22"/>
  <c r="W8" i="22"/>
  <c r="X7" i="22"/>
  <c r="W7" i="22"/>
  <c r="X39" i="22" l="1"/>
  <c r="R41" i="22"/>
  <c r="N41" i="22"/>
  <c r="O41" i="22"/>
  <c r="D41" i="22"/>
  <c r="D42" i="22" s="1"/>
  <c r="H41" i="22"/>
  <c r="H42" i="22" s="1"/>
  <c r="E58" i="22"/>
  <c r="K58" i="22" s="1"/>
  <c r="P41" i="22"/>
  <c r="T41" i="22"/>
  <c r="E41" i="22"/>
  <c r="E42" i="22" s="1"/>
  <c r="E59" i="22"/>
  <c r="K59" i="22" s="1"/>
  <c r="Q41" i="22"/>
  <c r="D21" i="22"/>
  <c r="F41" i="22"/>
  <c r="F42" i="22" s="1"/>
  <c r="U20" i="22"/>
  <c r="U41" i="22" s="1"/>
  <c r="L41" i="22"/>
  <c r="L42" i="22" s="1"/>
  <c r="H21" i="22"/>
  <c r="E49" i="22" s="1"/>
  <c r="Y20" i="22"/>
  <c r="G41" i="22"/>
  <c r="G42" i="22" s="1"/>
  <c r="S41" i="22"/>
  <c r="X20" i="22"/>
  <c r="M47" i="22"/>
  <c r="E47" i="22"/>
  <c r="I41" i="22"/>
  <c r="I42" i="22" s="1"/>
  <c r="J41" i="22"/>
  <c r="J42" i="22" s="1"/>
  <c r="K41" i="22"/>
  <c r="K42" i="22" s="1"/>
  <c r="M41" i="22"/>
  <c r="M42" i="22" s="1"/>
  <c r="B41" i="22"/>
  <c r="B42" i="22" s="1"/>
  <c r="G40" i="22"/>
  <c r="J14" i="21"/>
  <c r="X41" i="22" l="1"/>
  <c r="Y41" i="22"/>
  <c r="X21" i="22"/>
  <c r="M49" i="22"/>
  <c r="E57" i="22" s="1"/>
  <c r="K57" i="22" s="1"/>
  <c r="M48" i="22"/>
  <c r="Y40" i="22"/>
  <c r="Y21" i="22"/>
  <c r="E55" i="22"/>
  <c r="L55" i="22" s="1"/>
  <c r="E52" i="22"/>
  <c r="T19" i="21"/>
  <c r="T18" i="21"/>
  <c r="T17" i="21"/>
  <c r="T16" i="21"/>
  <c r="T15" i="21"/>
  <c r="T14" i="21"/>
  <c r="T13" i="21"/>
  <c r="T12" i="21"/>
  <c r="T11" i="21"/>
  <c r="T10" i="21"/>
  <c r="T9" i="21"/>
  <c r="T8" i="21"/>
  <c r="T7" i="21"/>
  <c r="M52" i="22" l="1"/>
  <c r="X40" i="22"/>
  <c r="E56" i="22"/>
  <c r="K55" i="22"/>
  <c r="Y42" i="22"/>
  <c r="R8" i="20"/>
  <c r="O8" i="20"/>
  <c r="E60" i="22" l="1"/>
  <c r="E61" i="22" s="1"/>
  <c r="L56" i="22"/>
  <c r="K56" i="22"/>
  <c r="K60" i="22" s="1"/>
  <c r="X42" i="22"/>
  <c r="J8" i="20"/>
  <c r="L8" i="20"/>
  <c r="R28" i="20" l="1"/>
  <c r="O28" i="20"/>
  <c r="L28" i="20"/>
  <c r="J28" i="20"/>
  <c r="P36" i="20" l="1"/>
  <c r="G58" i="21" l="1"/>
  <c r="G57" i="21"/>
  <c r="G56" i="21"/>
  <c r="G55" i="21"/>
  <c r="G54" i="21"/>
  <c r="S38" i="21"/>
  <c r="R38" i="21"/>
  <c r="Q38" i="21"/>
  <c r="P38" i="21"/>
  <c r="O38" i="21"/>
  <c r="N38" i="21"/>
  <c r="M38" i="21"/>
  <c r="L38" i="21"/>
  <c r="L39" i="21" s="1"/>
  <c r="L50" i="21" s="1"/>
  <c r="K38" i="21"/>
  <c r="K39" i="21" s="1"/>
  <c r="L49" i="21" s="1"/>
  <c r="J38" i="21"/>
  <c r="J39" i="21" s="1"/>
  <c r="I38" i="21"/>
  <c r="I39" i="21" s="1"/>
  <c r="H38" i="21"/>
  <c r="H39" i="21" s="1"/>
  <c r="G38" i="21"/>
  <c r="G39" i="21" s="1"/>
  <c r="F38" i="21"/>
  <c r="F39" i="21" s="1"/>
  <c r="L47" i="21" s="1"/>
  <c r="E38" i="21"/>
  <c r="E39" i="21" s="1"/>
  <c r="D38" i="21"/>
  <c r="C38" i="21"/>
  <c r="C39" i="21" s="1"/>
  <c r="B38" i="21"/>
  <c r="B39" i="21" s="1"/>
  <c r="X37" i="21"/>
  <c r="W37" i="21"/>
  <c r="V37" i="21"/>
  <c r="T37" i="21"/>
  <c r="X36" i="21"/>
  <c r="W36" i="21"/>
  <c r="V36" i="21"/>
  <c r="T36" i="21"/>
  <c r="X35" i="21"/>
  <c r="W35" i="21"/>
  <c r="V35" i="21"/>
  <c r="T35" i="21"/>
  <c r="X34" i="21"/>
  <c r="W34" i="21"/>
  <c r="V34" i="21"/>
  <c r="T34" i="21"/>
  <c r="X33" i="21"/>
  <c r="W33" i="21"/>
  <c r="V33" i="21"/>
  <c r="T33" i="21"/>
  <c r="X32" i="21"/>
  <c r="W32" i="21"/>
  <c r="V32" i="21"/>
  <c r="T32" i="21"/>
  <c r="X31" i="21"/>
  <c r="W31" i="21"/>
  <c r="V31" i="21"/>
  <c r="T31" i="21"/>
  <c r="X30" i="21"/>
  <c r="W30" i="21"/>
  <c r="V30" i="21"/>
  <c r="T30" i="21"/>
  <c r="X29" i="21"/>
  <c r="W29" i="21"/>
  <c r="V29" i="21"/>
  <c r="T29" i="21"/>
  <c r="X28" i="21"/>
  <c r="W28" i="21"/>
  <c r="V28" i="21"/>
  <c r="T28" i="21"/>
  <c r="X27" i="21"/>
  <c r="W27" i="21"/>
  <c r="V27" i="21"/>
  <c r="T27" i="21"/>
  <c r="X26" i="21"/>
  <c r="W26" i="21"/>
  <c r="V26" i="21"/>
  <c r="T26" i="21"/>
  <c r="X25" i="21"/>
  <c r="W25" i="21"/>
  <c r="V25" i="21"/>
  <c r="T25" i="21"/>
  <c r="X24" i="21"/>
  <c r="W24" i="21"/>
  <c r="V24" i="21"/>
  <c r="T24" i="21"/>
  <c r="S20" i="21"/>
  <c r="R20" i="21"/>
  <c r="Q20" i="21"/>
  <c r="P20" i="21"/>
  <c r="N20" i="21"/>
  <c r="M20" i="21"/>
  <c r="K20" i="21"/>
  <c r="J20" i="21"/>
  <c r="I20" i="21"/>
  <c r="I21" i="21" s="1"/>
  <c r="H20" i="21"/>
  <c r="H21" i="21" s="1"/>
  <c r="G20" i="21"/>
  <c r="G21" i="21" s="1"/>
  <c r="F20" i="21"/>
  <c r="F21" i="21" s="1"/>
  <c r="D47" i="21" s="1"/>
  <c r="E20" i="21"/>
  <c r="E21" i="21" s="1"/>
  <c r="D20" i="21"/>
  <c r="D21" i="21" s="1"/>
  <c r="C20" i="21"/>
  <c r="C21" i="21" s="1"/>
  <c r="B20" i="21"/>
  <c r="B21" i="21" s="1"/>
  <c r="X19" i="21"/>
  <c r="W19" i="21"/>
  <c r="V19" i="21"/>
  <c r="X18" i="21"/>
  <c r="W18" i="21"/>
  <c r="V18" i="21"/>
  <c r="X17" i="21"/>
  <c r="W17" i="21"/>
  <c r="V17" i="21"/>
  <c r="X16" i="21"/>
  <c r="W16" i="21"/>
  <c r="V16" i="21"/>
  <c r="X15" i="21"/>
  <c r="W15" i="21"/>
  <c r="V15" i="21"/>
  <c r="X14" i="21"/>
  <c r="W14" i="21"/>
  <c r="V14" i="21"/>
  <c r="X13" i="21"/>
  <c r="W13" i="21"/>
  <c r="V13" i="21"/>
  <c r="X12" i="21"/>
  <c r="W12" i="21"/>
  <c r="V12" i="21"/>
  <c r="X11" i="21"/>
  <c r="W11" i="21"/>
  <c r="V11" i="21"/>
  <c r="X10" i="21"/>
  <c r="V10" i="21"/>
  <c r="O20" i="21"/>
  <c r="L20" i="21"/>
  <c r="X9" i="21"/>
  <c r="W9" i="21"/>
  <c r="V9" i="21"/>
  <c r="X8" i="21"/>
  <c r="W8" i="21"/>
  <c r="V8" i="21"/>
  <c r="X7" i="21"/>
  <c r="W7" i="21"/>
  <c r="V7" i="21"/>
  <c r="D40" i="21" l="1"/>
  <c r="D41" i="21" s="1"/>
  <c r="C40" i="21"/>
  <c r="C41" i="21" s="1"/>
  <c r="D39" i="21"/>
  <c r="L46" i="21" s="1"/>
  <c r="J40" i="21"/>
  <c r="J41" i="21" s="1"/>
  <c r="X38" i="21"/>
  <c r="S40" i="21"/>
  <c r="R40" i="21"/>
  <c r="P40" i="21"/>
  <c r="N40" i="21"/>
  <c r="K40" i="21"/>
  <c r="K41" i="21" s="1"/>
  <c r="W38" i="21"/>
  <c r="J21" i="21"/>
  <c r="D46" i="21" s="1"/>
  <c r="M40" i="21"/>
  <c r="Q40" i="21"/>
  <c r="K21" i="21"/>
  <c r="D49" i="21" s="1"/>
  <c r="D57" i="21" s="1"/>
  <c r="J57" i="21" s="1"/>
  <c r="E40" i="21"/>
  <c r="E41" i="21" s="1"/>
  <c r="X20" i="21"/>
  <c r="T38" i="21"/>
  <c r="O40" i="21"/>
  <c r="B40" i="21"/>
  <c r="B41" i="21" s="1"/>
  <c r="F40" i="21"/>
  <c r="F41" i="21" s="1"/>
  <c r="D48" i="21"/>
  <c r="L40" i="21"/>
  <c r="L41" i="21" s="1"/>
  <c r="L21" i="21"/>
  <c r="D50" i="21" s="1"/>
  <c r="D58" i="21" s="1"/>
  <c r="J58" i="21" s="1"/>
  <c r="D55" i="21"/>
  <c r="L48" i="21"/>
  <c r="T20" i="21"/>
  <c r="H40" i="21"/>
  <c r="H41" i="21" s="1"/>
  <c r="I40" i="21"/>
  <c r="I41" i="21" s="1"/>
  <c r="G40" i="21"/>
  <c r="G41" i="21" s="1"/>
  <c r="W10" i="21"/>
  <c r="W20" i="21" s="1"/>
  <c r="O10" i="20"/>
  <c r="L10" i="20"/>
  <c r="X40" i="21" l="1"/>
  <c r="W40" i="21"/>
  <c r="T40" i="21"/>
  <c r="D56" i="21"/>
  <c r="J56" i="21" s="1"/>
  <c r="D54" i="21"/>
  <c r="X21" i="21"/>
  <c r="D51" i="21"/>
  <c r="W39" i="21"/>
  <c r="X39" i="21"/>
  <c r="L51" i="21"/>
  <c r="W21" i="21"/>
  <c r="J55" i="21"/>
  <c r="T37" i="20"/>
  <c r="T36" i="20"/>
  <c r="T35" i="20"/>
  <c r="T34" i="20"/>
  <c r="T33" i="20"/>
  <c r="T32" i="20"/>
  <c r="T31" i="20"/>
  <c r="T30" i="20"/>
  <c r="T29" i="20"/>
  <c r="T28" i="20"/>
  <c r="T27" i="20"/>
  <c r="T26" i="20"/>
  <c r="T25" i="20"/>
  <c r="T24" i="20"/>
  <c r="T19" i="20"/>
  <c r="T18" i="20"/>
  <c r="T17" i="20"/>
  <c r="T16" i="20"/>
  <c r="T15" i="20"/>
  <c r="T14" i="20"/>
  <c r="T13" i="20"/>
  <c r="T12" i="20"/>
  <c r="T11" i="20"/>
  <c r="T10" i="20"/>
  <c r="T9" i="20"/>
  <c r="G58" i="20"/>
  <c r="G57" i="20"/>
  <c r="G56" i="20"/>
  <c r="G55" i="20"/>
  <c r="G54" i="20"/>
  <c r="S38" i="20"/>
  <c r="R38" i="20"/>
  <c r="P38" i="20"/>
  <c r="O38" i="20"/>
  <c r="N38" i="20"/>
  <c r="L38" i="20"/>
  <c r="L39" i="20" s="1"/>
  <c r="L50" i="20" s="1"/>
  <c r="K38" i="20"/>
  <c r="K39" i="20" s="1"/>
  <c r="L49" i="20" s="1"/>
  <c r="J38" i="20"/>
  <c r="J39" i="20" s="1"/>
  <c r="I38" i="20"/>
  <c r="H38" i="20"/>
  <c r="H39" i="20" s="1"/>
  <c r="G38" i="20"/>
  <c r="G39" i="20" s="1"/>
  <c r="F38" i="20"/>
  <c r="F39" i="20" s="1"/>
  <c r="E38" i="20"/>
  <c r="E39" i="20" s="1"/>
  <c r="D38" i="20"/>
  <c r="D39" i="20" s="1"/>
  <c r="C38" i="20"/>
  <c r="C39" i="20" s="1"/>
  <c r="B38" i="20"/>
  <c r="B39" i="20" s="1"/>
  <c r="X37" i="20"/>
  <c r="W37" i="20"/>
  <c r="V37" i="20"/>
  <c r="Q38" i="20"/>
  <c r="M38" i="20"/>
  <c r="X36" i="20"/>
  <c r="W36" i="20"/>
  <c r="V36" i="20"/>
  <c r="X35" i="20"/>
  <c r="W35" i="20"/>
  <c r="V35" i="20"/>
  <c r="X34" i="20"/>
  <c r="W34" i="20"/>
  <c r="V34" i="20"/>
  <c r="X33" i="20"/>
  <c r="W33" i="20"/>
  <c r="V33" i="20"/>
  <c r="X32" i="20"/>
  <c r="W32" i="20"/>
  <c r="V32" i="20"/>
  <c r="X31" i="20"/>
  <c r="W31" i="20"/>
  <c r="V31" i="20"/>
  <c r="X30" i="20"/>
  <c r="W30" i="20"/>
  <c r="V30" i="20"/>
  <c r="X29" i="20"/>
  <c r="W29" i="20"/>
  <c r="V29" i="20"/>
  <c r="X28" i="20"/>
  <c r="W28" i="20"/>
  <c r="V28" i="20"/>
  <c r="X27" i="20"/>
  <c r="W27" i="20"/>
  <c r="V27" i="20"/>
  <c r="X26" i="20"/>
  <c r="W26" i="20"/>
  <c r="V26" i="20"/>
  <c r="X25" i="20"/>
  <c r="W25" i="20"/>
  <c r="V25" i="20"/>
  <c r="X24" i="20"/>
  <c r="W24" i="20"/>
  <c r="V24" i="20"/>
  <c r="S20" i="20"/>
  <c r="R20" i="20"/>
  <c r="Q20" i="20"/>
  <c r="P20" i="20"/>
  <c r="O20" i="20"/>
  <c r="N20" i="20"/>
  <c r="M20" i="20"/>
  <c r="K20" i="20"/>
  <c r="I20" i="20"/>
  <c r="I21" i="20" s="1"/>
  <c r="H20" i="20"/>
  <c r="H21" i="20" s="1"/>
  <c r="G20" i="20"/>
  <c r="F20" i="20"/>
  <c r="E20" i="20"/>
  <c r="E21" i="20" s="1"/>
  <c r="D20" i="20"/>
  <c r="D21" i="20" s="1"/>
  <c r="C20" i="20"/>
  <c r="C21" i="20" s="1"/>
  <c r="B20" i="20"/>
  <c r="B21" i="20" s="1"/>
  <c r="X19" i="20"/>
  <c r="V19" i="20"/>
  <c r="W19" i="20"/>
  <c r="X18" i="20"/>
  <c r="W18" i="20"/>
  <c r="V18" i="20"/>
  <c r="X17" i="20"/>
  <c r="W17" i="20"/>
  <c r="V17" i="20"/>
  <c r="X16" i="20"/>
  <c r="W16" i="20"/>
  <c r="V16" i="20"/>
  <c r="X15" i="20"/>
  <c r="W15" i="20"/>
  <c r="V15" i="20"/>
  <c r="X14" i="20"/>
  <c r="W14" i="20"/>
  <c r="V14" i="20"/>
  <c r="X13" i="20"/>
  <c r="W13" i="20"/>
  <c r="V13" i="20"/>
  <c r="X12" i="20"/>
  <c r="W12" i="20"/>
  <c r="V12" i="20"/>
  <c r="X11" i="20"/>
  <c r="W11" i="20"/>
  <c r="V11" i="20"/>
  <c r="X10" i="20"/>
  <c r="W10" i="20"/>
  <c r="V10" i="20"/>
  <c r="X9" i="20"/>
  <c r="W9" i="20"/>
  <c r="V9" i="20"/>
  <c r="L20" i="20"/>
  <c r="J20" i="20"/>
  <c r="X8" i="20"/>
  <c r="W8" i="20"/>
  <c r="V8" i="20"/>
  <c r="T8" i="20"/>
  <c r="X7" i="20"/>
  <c r="W7" i="20"/>
  <c r="V7" i="20"/>
  <c r="T7" i="20"/>
  <c r="K55" i="21" l="1"/>
  <c r="W41" i="21"/>
  <c r="D59" i="21"/>
  <c r="D60" i="21" s="1"/>
  <c r="J54" i="21"/>
  <c r="J59" i="21" s="1"/>
  <c r="X41" i="21"/>
  <c r="K54" i="21"/>
  <c r="S40" i="20"/>
  <c r="G40" i="20"/>
  <c r="G41" i="20" s="1"/>
  <c r="P40" i="20"/>
  <c r="T38" i="20"/>
  <c r="O40" i="20"/>
  <c r="K40" i="20"/>
  <c r="K41" i="20" s="1"/>
  <c r="I40" i="20"/>
  <c r="I41" i="20" s="1"/>
  <c r="F40" i="20"/>
  <c r="F41" i="20" s="1"/>
  <c r="W38" i="20"/>
  <c r="I39" i="20"/>
  <c r="L48" i="20" s="1"/>
  <c r="X38" i="20"/>
  <c r="M40" i="20"/>
  <c r="N40" i="20"/>
  <c r="R40" i="20"/>
  <c r="X20" i="20"/>
  <c r="H40" i="20"/>
  <c r="H41" i="20" s="1"/>
  <c r="F21" i="20"/>
  <c r="D47" i="20" s="1"/>
  <c r="K21" i="20"/>
  <c r="D49" i="20" s="1"/>
  <c r="D57" i="20" s="1"/>
  <c r="J57" i="20" s="1"/>
  <c r="G21" i="20"/>
  <c r="D48" i="20" s="1"/>
  <c r="L21" i="20"/>
  <c r="D50" i="20" s="1"/>
  <c r="D58" i="20" s="1"/>
  <c r="J58" i="20" s="1"/>
  <c r="L40" i="20"/>
  <c r="L41" i="20" s="1"/>
  <c r="L46" i="20"/>
  <c r="L47" i="20"/>
  <c r="Q40" i="20"/>
  <c r="J40" i="20"/>
  <c r="J41" i="20" s="1"/>
  <c r="J21" i="20"/>
  <c r="D46" i="20" s="1"/>
  <c r="W20" i="20"/>
  <c r="B40" i="20"/>
  <c r="B41" i="20" s="1"/>
  <c r="T20" i="20"/>
  <c r="C40" i="20"/>
  <c r="C41" i="20" s="1"/>
  <c r="D40" i="20"/>
  <c r="D41" i="20" s="1"/>
  <c r="E40" i="20"/>
  <c r="E41" i="20" s="1"/>
  <c r="Q37" i="19"/>
  <c r="S37" i="19"/>
  <c r="M37" i="19"/>
  <c r="D55" i="20" l="1"/>
  <c r="J55" i="20" s="1"/>
  <c r="T40" i="20"/>
  <c r="D56" i="20"/>
  <c r="J56" i="20" s="1"/>
  <c r="W40" i="20"/>
  <c r="X40" i="20"/>
  <c r="W39" i="20"/>
  <c r="D51" i="20"/>
  <c r="X21" i="20"/>
  <c r="D54" i="20"/>
  <c r="X39" i="20"/>
  <c r="L51" i="20"/>
  <c r="W21" i="20"/>
  <c r="S38" i="19"/>
  <c r="R38" i="19"/>
  <c r="K55" i="20" l="1"/>
  <c r="W41" i="20"/>
  <c r="D59" i="20"/>
  <c r="D60" i="20" s="1"/>
  <c r="K54" i="20"/>
  <c r="J54" i="20"/>
  <c r="J59" i="20" s="1"/>
  <c r="X41" i="20"/>
  <c r="X35" i="19"/>
  <c r="W35" i="19"/>
  <c r="V35" i="19"/>
  <c r="T35" i="19"/>
  <c r="X36" i="19"/>
  <c r="W36" i="19"/>
  <c r="V36" i="19"/>
  <c r="T36" i="19"/>
  <c r="O19" i="19" l="1"/>
  <c r="L19" i="19"/>
  <c r="O14" i="19" l="1"/>
  <c r="L14" i="19"/>
  <c r="L9" i="19" l="1"/>
  <c r="O9" i="19"/>
  <c r="J9" i="19"/>
  <c r="O26" i="18" l="1"/>
  <c r="L26" i="18"/>
  <c r="J26" i="18"/>
  <c r="O27" i="18" l="1"/>
  <c r="G58" i="19" l="1"/>
  <c r="G57" i="19"/>
  <c r="G56" i="19"/>
  <c r="G55" i="19"/>
  <c r="G54" i="19"/>
  <c r="Q38" i="19"/>
  <c r="O38" i="19"/>
  <c r="N38" i="19"/>
  <c r="M38" i="19"/>
  <c r="L38" i="19"/>
  <c r="L39" i="19" s="1"/>
  <c r="L50" i="19" s="1"/>
  <c r="K38" i="19"/>
  <c r="K39" i="19" s="1"/>
  <c r="L49" i="19" s="1"/>
  <c r="J38" i="19"/>
  <c r="J39" i="19" s="1"/>
  <c r="I38" i="19"/>
  <c r="I39" i="19" s="1"/>
  <c r="H38" i="19"/>
  <c r="H39" i="19" s="1"/>
  <c r="G38" i="19"/>
  <c r="G39" i="19" s="1"/>
  <c r="F38" i="19"/>
  <c r="F39" i="19" s="1"/>
  <c r="L47" i="19" s="1"/>
  <c r="E38" i="19"/>
  <c r="E39" i="19" s="1"/>
  <c r="D38" i="19"/>
  <c r="D39" i="19" s="1"/>
  <c r="C38" i="19"/>
  <c r="C39" i="19" s="1"/>
  <c r="B38" i="19"/>
  <c r="B39" i="19" s="1"/>
  <c r="X37" i="19"/>
  <c r="W37" i="19"/>
  <c r="V37" i="19"/>
  <c r="T37" i="19"/>
  <c r="X34" i="19"/>
  <c r="W34" i="19"/>
  <c r="V34" i="19"/>
  <c r="T34" i="19"/>
  <c r="X33" i="19"/>
  <c r="W33" i="19"/>
  <c r="V33" i="19"/>
  <c r="T33" i="19"/>
  <c r="X32" i="19"/>
  <c r="W32" i="19"/>
  <c r="V32" i="19"/>
  <c r="T32" i="19"/>
  <c r="X31" i="19"/>
  <c r="W31" i="19"/>
  <c r="V31" i="19"/>
  <c r="P38" i="19"/>
  <c r="X30" i="19"/>
  <c r="W30" i="19"/>
  <c r="V30" i="19"/>
  <c r="T30" i="19"/>
  <c r="X29" i="19"/>
  <c r="W29" i="19"/>
  <c r="V29" i="19"/>
  <c r="T29" i="19"/>
  <c r="X28" i="19"/>
  <c r="W28" i="19"/>
  <c r="V28" i="19"/>
  <c r="T28" i="19"/>
  <c r="X27" i="19"/>
  <c r="W27" i="19"/>
  <c r="V27" i="19"/>
  <c r="T27" i="19"/>
  <c r="X26" i="19"/>
  <c r="W26" i="19"/>
  <c r="V26" i="19"/>
  <c r="T26" i="19"/>
  <c r="X25" i="19"/>
  <c r="W25" i="19"/>
  <c r="V25" i="19"/>
  <c r="T25" i="19"/>
  <c r="X24" i="19"/>
  <c r="W24" i="19"/>
  <c r="V24" i="19"/>
  <c r="T24" i="19"/>
  <c r="S20" i="19"/>
  <c r="R20" i="19"/>
  <c r="Q20" i="19"/>
  <c r="P20" i="19"/>
  <c r="M20" i="19"/>
  <c r="L20" i="19"/>
  <c r="L21" i="19" s="1"/>
  <c r="D50" i="19" s="1"/>
  <c r="K20" i="19"/>
  <c r="K21" i="19" s="1"/>
  <c r="D49" i="19" s="1"/>
  <c r="J20" i="19"/>
  <c r="J21" i="19" s="1"/>
  <c r="I20" i="19"/>
  <c r="I21" i="19" s="1"/>
  <c r="H20" i="19"/>
  <c r="G20" i="19"/>
  <c r="F20" i="19"/>
  <c r="E20" i="19"/>
  <c r="D20" i="19"/>
  <c r="C20" i="19"/>
  <c r="C21" i="19" s="1"/>
  <c r="B20" i="19"/>
  <c r="X19" i="19"/>
  <c r="W19" i="19"/>
  <c r="V19" i="19"/>
  <c r="T19" i="19"/>
  <c r="X18" i="19"/>
  <c r="W18" i="19"/>
  <c r="V18" i="19"/>
  <c r="T18" i="19"/>
  <c r="X17" i="19"/>
  <c r="W17" i="19"/>
  <c r="V17" i="19"/>
  <c r="T17" i="19"/>
  <c r="X16" i="19"/>
  <c r="W16" i="19"/>
  <c r="V16" i="19"/>
  <c r="T16" i="19"/>
  <c r="X15" i="19"/>
  <c r="W15" i="19"/>
  <c r="V15" i="19"/>
  <c r="T15" i="19"/>
  <c r="X14" i="19"/>
  <c r="W14" i="19"/>
  <c r="V14" i="19"/>
  <c r="T14" i="19"/>
  <c r="X13" i="19"/>
  <c r="W13" i="19"/>
  <c r="V13" i="19"/>
  <c r="T13" i="19"/>
  <c r="X12" i="19"/>
  <c r="W12" i="19"/>
  <c r="V12" i="19"/>
  <c r="O20" i="19"/>
  <c r="N20" i="19"/>
  <c r="X11" i="19"/>
  <c r="W11" i="19"/>
  <c r="V11" i="19"/>
  <c r="T11" i="19"/>
  <c r="X10" i="19"/>
  <c r="W10" i="19"/>
  <c r="V10" i="19"/>
  <c r="T10" i="19"/>
  <c r="X9" i="19"/>
  <c r="W9" i="19"/>
  <c r="V9" i="19"/>
  <c r="T9" i="19"/>
  <c r="X8" i="19"/>
  <c r="W8" i="19"/>
  <c r="V8" i="19"/>
  <c r="T8" i="19"/>
  <c r="X7" i="19"/>
  <c r="W7" i="19"/>
  <c r="V7" i="19"/>
  <c r="T7" i="19"/>
  <c r="E40" i="19" l="1"/>
  <c r="E41" i="19" s="1"/>
  <c r="R40" i="19"/>
  <c r="D40" i="19"/>
  <c r="D41" i="19" s="1"/>
  <c r="M40" i="19"/>
  <c r="D58" i="19"/>
  <c r="J58" i="19" s="1"/>
  <c r="G40" i="19"/>
  <c r="G41" i="19" s="1"/>
  <c r="H40" i="19"/>
  <c r="H41" i="19" s="1"/>
  <c r="N40" i="19"/>
  <c r="S40" i="19"/>
  <c r="D57" i="19"/>
  <c r="J57" i="19" s="1"/>
  <c r="B40" i="19"/>
  <c r="B41" i="19" s="1"/>
  <c r="F40" i="19"/>
  <c r="F41" i="19" s="1"/>
  <c r="P40" i="19"/>
  <c r="W20" i="19"/>
  <c r="X20" i="19"/>
  <c r="L46" i="19"/>
  <c r="W38" i="19"/>
  <c r="I40" i="19"/>
  <c r="I41" i="19" s="1"/>
  <c r="O40" i="19"/>
  <c r="X38" i="19"/>
  <c r="C40" i="19"/>
  <c r="C41" i="19" s="1"/>
  <c r="Q40" i="19"/>
  <c r="L40" i="19"/>
  <c r="L41" i="19" s="1"/>
  <c r="B21" i="19"/>
  <c r="H21" i="19"/>
  <c r="G21" i="19"/>
  <c r="L48" i="19"/>
  <c r="J40" i="19"/>
  <c r="J41" i="19" s="1"/>
  <c r="K40" i="19"/>
  <c r="K41" i="19" s="1"/>
  <c r="E21" i="19"/>
  <c r="T12" i="19"/>
  <c r="T20" i="19" s="1"/>
  <c r="D21" i="19"/>
  <c r="F21" i="19"/>
  <c r="D47" i="19" s="1"/>
  <c r="T31" i="19"/>
  <c r="T38" i="19" s="1"/>
  <c r="O14" i="18"/>
  <c r="M37" i="18"/>
  <c r="Q37" i="18"/>
  <c r="O37" i="18"/>
  <c r="N37" i="18"/>
  <c r="P31" i="18"/>
  <c r="P37" i="18" s="1"/>
  <c r="W39" i="19" l="1"/>
  <c r="W40" i="19"/>
  <c r="X40" i="19"/>
  <c r="D46" i="19"/>
  <c r="D54" i="19" s="1"/>
  <c r="D48" i="19"/>
  <c r="D56" i="19" s="1"/>
  <c r="J56" i="19" s="1"/>
  <c r="X39" i="19"/>
  <c r="T40" i="19"/>
  <c r="L51" i="19"/>
  <c r="D55" i="19"/>
  <c r="X17" i="18"/>
  <c r="W17" i="18"/>
  <c r="V17" i="18"/>
  <c r="T17" i="18"/>
  <c r="O12" i="18"/>
  <c r="N12" i="18"/>
  <c r="T36" i="18"/>
  <c r="T35" i="18"/>
  <c r="T34" i="18"/>
  <c r="T33" i="18"/>
  <c r="T32" i="18"/>
  <c r="T31" i="18"/>
  <c r="T30" i="18"/>
  <c r="T29" i="18"/>
  <c r="T28" i="18"/>
  <c r="T27" i="18"/>
  <c r="T26" i="18"/>
  <c r="T25" i="18"/>
  <c r="T24" i="18"/>
  <c r="T19" i="18"/>
  <c r="T18" i="18"/>
  <c r="T16" i="18"/>
  <c r="T15" i="18"/>
  <c r="T14" i="18"/>
  <c r="T13" i="18"/>
  <c r="T11" i="18"/>
  <c r="T10" i="18"/>
  <c r="T9" i="18"/>
  <c r="T8" i="18"/>
  <c r="T7" i="18"/>
  <c r="R36" i="17"/>
  <c r="O36" i="17"/>
  <c r="M37" i="17"/>
  <c r="L37" i="17"/>
  <c r="J37" i="17"/>
  <c r="T12" i="18" l="1"/>
  <c r="X21" i="19"/>
  <c r="W21" i="19"/>
  <c r="D51" i="19"/>
  <c r="K55" i="19"/>
  <c r="J55" i="19"/>
  <c r="W41" i="19"/>
  <c r="D59" i="19"/>
  <c r="D60" i="19" s="1"/>
  <c r="J54" i="19"/>
  <c r="X41" i="19"/>
  <c r="K54" i="19"/>
  <c r="S38" i="17"/>
  <c r="Q38" i="17"/>
  <c r="P38" i="17"/>
  <c r="N38" i="17"/>
  <c r="M38" i="17"/>
  <c r="J59" i="19" l="1"/>
  <c r="R29" i="17"/>
  <c r="O29" i="17"/>
  <c r="L29" i="17"/>
  <c r="J29" i="17"/>
  <c r="R25" i="17"/>
  <c r="O25" i="17"/>
  <c r="O38" i="17" s="1"/>
  <c r="L25" i="17"/>
  <c r="J25" i="17"/>
  <c r="R38" i="17" l="1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X36" i="18" l="1"/>
  <c r="W36" i="18"/>
  <c r="X37" i="17"/>
  <c r="W37" i="17"/>
  <c r="X37" i="16" l="1"/>
  <c r="W37" i="16"/>
  <c r="O9" i="17" l="1"/>
  <c r="L9" i="17"/>
  <c r="J9" i="17"/>
  <c r="R7" i="17"/>
  <c r="O7" i="17"/>
  <c r="L7" i="17"/>
  <c r="J7" i="17"/>
  <c r="M19" i="17" l="1"/>
  <c r="M18" i="17"/>
  <c r="M16" i="17"/>
  <c r="M15" i="17"/>
  <c r="T20" i="17" l="1"/>
  <c r="T19" i="17" l="1"/>
  <c r="T18" i="17"/>
  <c r="T17" i="17"/>
  <c r="T16" i="17"/>
  <c r="T15" i="17"/>
  <c r="T14" i="17"/>
  <c r="T13" i="17"/>
  <c r="T12" i="17"/>
  <c r="T11" i="17"/>
  <c r="T10" i="17"/>
  <c r="T9" i="17"/>
  <c r="T8" i="17"/>
  <c r="T7" i="17"/>
  <c r="X17" i="17"/>
  <c r="W17" i="17"/>
  <c r="V17" i="17"/>
  <c r="X18" i="17"/>
  <c r="W18" i="17"/>
  <c r="V18" i="17"/>
  <c r="O34" i="16" l="1"/>
  <c r="R36" i="16" l="1"/>
  <c r="O36" i="16"/>
  <c r="L36" i="16"/>
  <c r="J36" i="16"/>
  <c r="S38" i="16" l="1"/>
  <c r="R38" i="16"/>
  <c r="Q38" i="16"/>
  <c r="N38" i="16"/>
  <c r="M38" i="16"/>
  <c r="P25" i="16" l="1"/>
  <c r="P38" i="16" s="1"/>
  <c r="O25" i="16" l="1"/>
  <c r="O38" i="16" s="1"/>
  <c r="L25" i="16"/>
  <c r="J25" i="16"/>
  <c r="P10" i="16" l="1"/>
  <c r="O14" i="16" l="1"/>
  <c r="L14" i="16"/>
  <c r="X17" i="16" l="1"/>
  <c r="W17" i="16"/>
  <c r="V17" i="16"/>
  <c r="T17" i="16"/>
  <c r="X18" i="16"/>
  <c r="W18" i="16"/>
  <c r="V18" i="16"/>
  <c r="T18" i="16"/>
  <c r="T37" i="16" l="1"/>
  <c r="T36" i="16"/>
  <c r="T35" i="16"/>
  <c r="T34" i="16"/>
  <c r="T33" i="16"/>
  <c r="T32" i="16"/>
  <c r="T31" i="16"/>
  <c r="T30" i="16"/>
  <c r="T29" i="16"/>
  <c r="T28" i="16"/>
  <c r="T27" i="16"/>
  <c r="T26" i="16"/>
  <c r="T25" i="16"/>
  <c r="T20" i="16"/>
  <c r="T19" i="16"/>
  <c r="T16" i="16"/>
  <c r="T15" i="16"/>
  <c r="T14" i="16"/>
  <c r="T13" i="16"/>
  <c r="T12" i="16"/>
  <c r="T11" i="16"/>
  <c r="T10" i="16"/>
  <c r="T9" i="16"/>
  <c r="T8" i="16"/>
  <c r="T7" i="16"/>
  <c r="M36" i="15" l="1"/>
  <c r="S37" i="15" l="1"/>
  <c r="R37" i="15"/>
  <c r="Q37" i="15"/>
  <c r="P37" i="15"/>
  <c r="O37" i="15"/>
  <c r="M37" i="15"/>
  <c r="W36" i="15"/>
  <c r="X36" i="15"/>
  <c r="T18" i="15" l="1"/>
  <c r="L17" i="15" l="1"/>
  <c r="O17" i="15"/>
  <c r="S17" i="15"/>
  <c r="Q17" i="15"/>
  <c r="M17" i="15" l="1"/>
  <c r="S14" i="15" l="1"/>
  <c r="M14" i="15"/>
  <c r="F14" i="15"/>
  <c r="X17" i="15" l="1"/>
  <c r="W17" i="15"/>
  <c r="V17" i="15"/>
  <c r="T17" i="15"/>
  <c r="O12" i="15" l="1"/>
  <c r="L12" i="15"/>
  <c r="J12" i="15"/>
  <c r="R10" i="15" l="1"/>
  <c r="O10" i="15"/>
  <c r="L10" i="15"/>
  <c r="J10" i="15"/>
  <c r="O7" i="15" l="1"/>
  <c r="L7" i="15"/>
  <c r="J7" i="15"/>
  <c r="T36" i="15" l="1"/>
  <c r="T35" i="15"/>
  <c r="T34" i="15"/>
  <c r="T33" i="15"/>
  <c r="T32" i="15"/>
  <c r="T31" i="15"/>
  <c r="T30" i="15"/>
  <c r="T29" i="15"/>
  <c r="T28" i="15"/>
  <c r="T27" i="15"/>
  <c r="T26" i="15"/>
  <c r="T25" i="15"/>
  <c r="T24" i="15"/>
  <c r="T19" i="15"/>
  <c r="T16" i="15"/>
  <c r="T15" i="15"/>
  <c r="T14" i="15"/>
  <c r="T13" i="15"/>
  <c r="T12" i="15"/>
  <c r="T11" i="15"/>
  <c r="T10" i="15"/>
  <c r="T9" i="15"/>
  <c r="T8" i="15"/>
  <c r="T7" i="15"/>
  <c r="G58" i="17"/>
  <c r="G57" i="17"/>
  <c r="G56" i="17"/>
  <c r="G55" i="17"/>
  <c r="G54" i="17"/>
  <c r="L38" i="17"/>
  <c r="L39" i="17" s="1"/>
  <c r="L50" i="17" s="1"/>
  <c r="K38" i="17"/>
  <c r="K39" i="17" s="1"/>
  <c r="L49" i="17" s="1"/>
  <c r="J38" i="17"/>
  <c r="J39" i="17" s="1"/>
  <c r="I38" i="17"/>
  <c r="I39" i="17" s="1"/>
  <c r="H38" i="17"/>
  <c r="H39" i="17" s="1"/>
  <c r="G38" i="17"/>
  <c r="G39" i="17" s="1"/>
  <c r="F38" i="17"/>
  <c r="E38" i="17"/>
  <c r="E39" i="17" s="1"/>
  <c r="D38" i="17"/>
  <c r="D39" i="17" s="1"/>
  <c r="C38" i="17"/>
  <c r="C39" i="17" s="1"/>
  <c r="B38" i="17"/>
  <c r="B39" i="17" s="1"/>
  <c r="V37" i="17"/>
  <c r="X36" i="17"/>
  <c r="W36" i="17"/>
  <c r="V36" i="17"/>
  <c r="X35" i="17"/>
  <c r="W35" i="17"/>
  <c r="V35" i="17"/>
  <c r="X34" i="17"/>
  <c r="W34" i="17"/>
  <c r="V34" i="17"/>
  <c r="X33" i="17"/>
  <c r="W33" i="17"/>
  <c r="V33" i="17"/>
  <c r="X32" i="17"/>
  <c r="W32" i="17"/>
  <c r="V32" i="17"/>
  <c r="X31" i="17"/>
  <c r="W31" i="17"/>
  <c r="V31" i="17"/>
  <c r="X30" i="17"/>
  <c r="W30" i="17"/>
  <c r="V30" i="17"/>
  <c r="X29" i="17"/>
  <c r="W29" i="17"/>
  <c r="V29" i="17"/>
  <c r="X28" i="17"/>
  <c r="W28" i="17"/>
  <c r="V28" i="17"/>
  <c r="X27" i="17"/>
  <c r="W27" i="17"/>
  <c r="V27" i="17"/>
  <c r="X26" i="17"/>
  <c r="W26" i="17"/>
  <c r="V26" i="17"/>
  <c r="X25" i="17"/>
  <c r="W25" i="17"/>
  <c r="V25" i="17"/>
  <c r="T38" i="17"/>
  <c r="S21" i="17"/>
  <c r="R21" i="17"/>
  <c r="Q21" i="17"/>
  <c r="P21" i="17"/>
  <c r="O21" i="17"/>
  <c r="N21" i="17"/>
  <c r="M21" i="17"/>
  <c r="L21" i="17"/>
  <c r="L22" i="17" s="1"/>
  <c r="D50" i="17" s="1"/>
  <c r="K21" i="17"/>
  <c r="K22" i="17" s="1"/>
  <c r="D49" i="17" s="1"/>
  <c r="J21" i="17"/>
  <c r="J22" i="17" s="1"/>
  <c r="I21" i="17"/>
  <c r="H21" i="17"/>
  <c r="H22" i="17" s="1"/>
  <c r="G21" i="17"/>
  <c r="F21" i="17"/>
  <c r="F22" i="17" s="1"/>
  <c r="D47" i="17" s="1"/>
  <c r="E21" i="17"/>
  <c r="D21" i="17"/>
  <c r="C21" i="17"/>
  <c r="C40" i="17" s="1"/>
  <c r="C41" i="17" s="1"/>
  <c r="B21" i="17"/>
  <c r="X20" i="17"/>
  <c r="W20" i="17"/>
  <c r="V20" i="17"/>
  <c r="X19" i="17"/>
  <c r="W19" i="17"/>
  <c r="V19" i="17"/>
  <c r="X16" i="17"/>
  <c r="W16" i="17"/>
  <c r="V16" i="17"/>
  <c r="X15" i="17"/>
  <c r="W15" i="17"/>
  <c r="V15" i="17"/>
  <c r="X14" i="17"/>
  <c r="W14" i="17"/>
  <c r="V14" i="17"/>
  <c r="X13" i="17"/>
  <c r="W13" i="17"/>
  <c r="V13" i="17"/>
  <c r="X12" i="17"/>
  <c r="W12" i="17"/>
  <c r="V12" i="17"/>
  <c r="X11" i="17"/>
  <c r="W11" i="17"/>
  <c r="V11" i="17"/>
  <c r="X10" i="17"/>
  <c r="W10" i="17"/>
  <c r="V10" i="17"/>
  <c r="X9" i="17"/>
  <c r="W9" i="17"/>
  <c r="V9" i="17"/>
  <c r="X8" i="17"/>
  <c r="W8" i="17"/>
  <c r="V8" i="17"/>
  <c r="X7" i="17"/>
  <c r="W7" i="17"/>
  <c r="V7" i="17"/>
  <c r="G57" i="18"/>
  <c r="G56" i="18"/>
  <c r="G55" i="18"/>
  <c r="G54" i="18"/>
  <c r="G53" i="18"/>
  <c r="S37" i="18"/>
  <c r="R37" i="18"/>
  <c r="L37" i="18"/>
  <c r="L38" i="18" s="1"/>
  <c r="L49" i="18" s="1"/>
  <c r="K37" i="18"/>
  <c r="K38" i="18" s="1"/>
  <c r="L48" i="18" s="1"/>
  <c r="J37" i="18"/>
  <c r="J38" i="18" s="1"/>
  <c r="I37" i="18"/>
  <c r="I38" i="18" s="1"/>
  <c r="H37" i="18"/>
  <c r="H38" i="18" s="1"/>
  <c r="G37" i="18"/>
  <c r="G38" i="18" s="1"/>
  <c r="F37" i="18"/>
  <c r="F38" i="18" s="1"/>
  <c r="E37" i="18"/>
  <c r="E38" i="18" s="1"/>
  <c r="D37" i="18"/>
  <c r="D38" i="18" s="1"/>
  <c r="C37" i="18"/>
  <c r="C38" i="18" s="1"/>
  <c r="B37" i="18"/>
  <c r="B38" i="18" s="1"/>
  <c r="V36" i="18"/>
  <c r="X35" i="18"/>
  <c r="W35" i="18"/>
  <c r="V35" i="18"/>
  <c r="X34" i="18"/>
  <c r="W34" i="18"/>
  <c r="V34" i="18"/>
  <c r="X33" i="18"/>
  <c r="W33" i="18"/>
  <c r="V33" i="18"/>
  <c r="X32" i="18"/>
  <c r="W32" i="18"/>
  <c r="V32" i="18"/>
  <c r="X31" i="18"/>
  <c r="W31" i="18"/>
  <c r="V31" i="18"/>
  <c r="X30" i="18"/>
  <c r="W30" i="18"/>
  <c r="V30" i="18"/>
  <c r="X29" i="18"/>
  <c r="W29" i="18"/>
  <c r="V29" i="18"/>
  <c r="X28" i="18"/>
  <c r="W28" i="18"/>
  <c r="V28" i="18"/>
  <c r="X27" i="18"/>
  <c r="W27" i="18"/>
  <c r="V27" i="18"/>
  <c r="X26" i="18"/>
  <c r="W26" i="18"/>
  <c r="V26" i="18"/>
  <c r="X25" i="18"/>
  <c r="W25" i="18"/>
  <c r="V25" i="18"/>
  <c r="X24" i="18"/>
  <c r="W24" i="18"/>
  <c r="V24" i="18"/>
  <c r="T37" i="18"/>
  <c r="S20" i="18"/>
  <c r="R20" i="18"/>
  <c r="Q20" i="18"/>
  <c r="P20" i="18"/>
  <c r="P39" i="18" s="1"/>
  <c r="O20" i="18"/>
  <c r="N20" i="18"/>
  <c r="M20" i="18"/>
  <c r="L20" i="18"/>
  <c r="K20" i="18"/>
  <c r="J20" i="18"/>
  <c r="I20" i="18"/>
  <c r="I39" i="18" s="1"/>
  <c r="I40" i="18" s="1"/>
  <c r="H20" i="18"/>
  <c r="G20" i="18"/>
  <c r="G21" i="18" s="1"/>
  <c r="F20" i="18"/>
  <c r="E20" i="18"/>
  <c r="D20" i="18"/>
  <c r="D39" i="18" s="1"/>
  <c r="D40" i="18" s="1"/>
  <c r="C20" i="18"/>
  <c r="C39" i="18" s="1"/>
  <c r="C40" i="18" s="1"/>
  <c r="B20" i="18"/>
  <c r="X19" i="18"/>
  <c r="W19" i="18"/>
  <c r="V19" i="18"/>
  <c r="X18" i="18"/>
  <c r="W18" i="18"/>
  <c r="V18" i="18"/>
  <c r="X16" i="18"/>
  <c r="W16" i="18"/>
  <c r="V16" i="18"/>
  <c r="X15" i="18"/>
  <c r="W15" i="18"/>
  <c r="V15" i="18"/>
  <c r="X14" i="18"/>
  <c r="W14" i="18"/>
  <c r="V14" i="18"/>
  <c r="X13" i="18"/>
  <c r="W13" i="18"/>
  <c r="V13" i="18"/>
  <c r="X12" i="18"/>
  <c r="W12" i="18"/>
  <c r="V12" i="18"/>
  <c r="X11" i="18"/>
  <c r="W11" i="18"/>
  <c r="V11" i="18"/>
  <c r="X10" i="18"/>
  <c r="W10" i="18"/>
  <c r="V10" i="18"/>
  <c r="X9" i="18"/>
  <c r="W9" i="18"/>
  <c r="V9" i="18"/>
  <c r="X8" i="18"/>
  <c r="W8" i="18"/>
  <c r="V8" i="18"/>
  <c r="X7" i="18"/>
  <c r="W7" i="18"/>
  <c r="V7" i="18"/>
  <c r="T20" i="18"/>
  <c r="G58" i="16"/>
  <c r="G57" i="16"/>
  <c r="G56" i="16"/>
  <c r="G55" i="16"/>
  <c r="G54" i="16"/>
  <c r="L38" i="16"/>
  <c r="L39" i="16" s="1"/>
  <c r="L50" i="16" s="1"/>
  <c r="K38" i="16"/>
  <c r="K39" i="16" s="1"/>
  <c r="L49" i="16" s="1"/>
  <c r="J38" i="16"/>
  <c r="J39" i="16" s="1"/>
  <c r="I38" i="16"/>
  <c r="I39" i="16" s="1"/>
  <c r="H38" i="16"/>
  <c r="H39" i="16" s="1"/>
  <c r="G38" i="16"/>
  <c r="G39" i="16" s="1"/>
  <c r="F38" i="16"/>
  <c r="F39" i="16" s="1"/>
  <c r="E38" i="16"/>
  <c r="E39" i="16" s="1"/>
  <c r="D38" i="16"/>
  <c r="D39" i="16" s="1"/>
  <c r="C38" i="16"/>
  <c r="C39" i="16" s="1"/>
  <c r="B38" i="16"/>
  <c r="B39" i="16" s="1"/>
  <c r="V37" i="16"/>
  <c r="X36" i="16"/>
  <c r="W36" i="16"/>
  <c r="V36" i="16"/>
  <c r="X35" i="16"/>
  <c r="W35" i="16"/>
  <c r="V35" i="16"/>
  <c r="X34" i="16"/>
  <c r="W34" i="16"/>
  <c r="V34" i="16"/>
  <c r="X33" i="16"/>
  <c r="W33" i="16"/>
  <c r="V33" i="16"/>
  <c r="X32" i="16"/>
  <c r="W32" i="16"/>
  <c r="V32" i="16"/>
  <c r="X31" i="16"/>
  <c r="W31" i="16"/>
  <c r="V31" i="16"/>
  <c r="X30" i="16"/>
  <c r="W30" i="16"/>
  <c r="V30" i="16"/>
  <c r="X29" i="16"/>
  <c r="W29" i="16"/>
  <c r="V29" i="16"/>
  <c r="X28" i="16"/>
  <c r="W28" i="16"/>
  <c r="V28" i="16"/>
  <c r="X27" i="16"/>
  <c r="W27" i="16"/>
  <c r="V27" i="16"/>
  <c r="X26" i="16"/>
  <c r="W26" i="16"/>
  <c r="V26" i="16"/>
  <c r="X25" i="16"/>
  <c r="W25" i="16"/>
  <c r="V25" i="16"/>
  <c r="T38" i="16"/>
  <c r="S21" i="16"/>
  <c r="R21" i="16"/>
  <c r="Q21" i="16"/>
  <c r="P21" i="16"/>
  <c r="O21" i="16"/>
  <c r="N21" i="16"/>
  <c r="M21" i="16"/>
  <c r="L21" i="16"/>
  <c r="K21" i="16"/>
  <c r="J21" i="16"/>
  <c r="I21" i="16"/>
  <c r="I40" i="16" s="1"/>
  <c r="I41" i="16" s="1"/>
  <c r="H21" i="16"/>
  <c r="G21" i="16"/>
  <c r="G40" i="16" s="1"/>
  <c r="G41" i="16" s="1"/>
  <c r="F21" i="16"/>
  <c r="E21" i="16"/>
  <c r="D21" i="16"/>
  <c r="D22" i="16" s="1"/>
  <c r="C21" i="16"/>
  <c r="B21" i="16"/>
  <c r="X20" i="16"/>
  <c r="W20" i="16"/>
  <c r="V20" i="16"/>
  <c r="X19" i="16"/>
  <c r="W19" i="16"/>
  <c r="V19" i="16"/>
  <c r="X16" i="16"/>
  <c r="W16" i="16"/>
  <c r="V16" i="16"/>
  <c r="X15" i="16"/>
  <c r="W15" i="16"/>
  <c r="V15" i="16"/>
  <c r="X14" i="16"/>
  <c r="W14" i="16"/>
  <c r="V14" i="16"/>
  <c r="X13" i="16"/>
  <c r="W13" i="16"/>
  <c r="V13" i="16"/>
  <c r="X12" i="16"/>
  <c r="W12" i="16"/>
  <c r="V12" i="16"/>
  <c r="X11" i="16"/>
  <c r="W11" i="16"/>
  <c r="V11" i="16"/>
  <c r="X10" i="16"/>
  <c r="W10" i="16"/>
  <c r="V10" i="16"/>
  <c r="X9" i="16"/>
  <c r="W9" i="16"/>
  <c r="V9" i="16"/>
  <c r="X8" i="16"/>
  <c r="W8" i="16"/>
  <c r="V8" i="16"/>
  <c r="X7" i="16"/>
  <c r="W7" i="16"/>
  <c r="V7" i="16"/>
  <c r="T21" i="16"/>
  <c r="L37" i="15"/>
  <c r="K37" i="15"/>
  <c r="J37" i="15"/>
  <c r="I37" i="15"/>
  <c r="H37" i="15"/>
  <c r="G37" i="15"/>
  <c r="F37" i="15"/>
  <c r="E37" i="15"/>
  <c r="D37" i="15"/>
  <c r="C37" i="15"/>
  <c r="B37" i="15"/>
  <c r="L20" i="15"/>
  <c r="K20" i="15"/>
  <c r="J20" i="15"/>
  <c r="I20" i="15"/>
  <c r="H20" i="15"/>
  <c r="G20" i="15"/>
  <c r="F20" i="15"/>
  <c r="E20" i="15"/>
  <c r="D20" i="15"/>
  <c r="C20" i="15"/>
  <c r="B20" i="15"/>
  <c r="V36" i="15"/>
  <c r="K46" i="14"/>
  <c r="I46" i="14"/>
  <c r="H46" i="14"/>
  <c r="G46" i="14"/>
  <c r="F46" i="14"/>
  <c r="E46" i="14"/>
  <c r="D46" i="14"/>
  <c r="C46" i="14"/>
  <c r="K27" i="14"/>
  <c r="K28" i="14" s="1"/>
  <c r="J27" i="14"/>
  <c r="J28" i="14" s="1"/>
  <c r="I27" i="14"/>
  <c r="H27" i="14"/>
  <c r="H28" i="14" s="1"/>
  <c r="G27" i="14"/>
  <c r="G28" i="14" s="1"/>
  <c r="E27" i="14"/>
  <c r="E28" i="14" s="1"/>
  <c r="D27" i="14"/>
  <c r="D28" i="14" s="1"/>
  <c r="C27" i="14"/>
  <c r="B27" i="14"/>
  <c r="B28" i="14" s="1"/>
  <c r="K12" i="14"/>
  <c r="I12" i="14"/>
  <c r="H12" i="14"/>
  <c r="G12" i="14"/>
  <c r="F12" i="14"/>
  <c r="E12" i="14"/>
  <c r="D12" i="14"/>
  <c r="C12" i="14"/>
  <c r="S39" i="18" l="1"/>
  <c r="G49" i="14"/>
  <c r="I49" i="14"/>
  <c r="D49" i="14"/>
  <c r="H49" i="14"/>
  <c r="E49" i="14"/>
  <c r="K49" i="14"/>
  <c r="C49" i="14"/>
  <c r="L39" i="18"/>
  <c r="L40" i="18" s="1"/>
  <c r="J39" i="18"/>
  <c r="J40" i="18" s="1"/>
  <c r="B39" i="18"/>
  <c r="B40" i="18" s="1"/>
  <c r="R39" i="18"/>
  <c r="K39" i="18"/>
  <c r="K40" i="18" s="1"/>
  <c r="E39" i="18"/>
  <c r="E40" i="18" s="1"/>
  <c r="N39" i="18"/>
  <c r="F39" i="18"/>
  <c r="F40" i="18" s="1"/>
  <c r="W37" i="18"/>
  <c r="Q39" i="18"/>
  <c r="O39" i="18"/>
  <c r="M39" i="18"/>
  <c r="H39" i="18"/>
  <c r="H40" i="18" s="1"/>
  <c r="X37" i="18"/>
  <c r="W20" i="18"/>
  <c r="X20" i="18"/>
  <c r="H21" i="18"/>
  <c r="F21" i="18"/>
  <c r="D46" i="18" s="1"/>
  <c r="G39" i="18"/>
  <c r="G40" i="18" s="1"/>
  <c r="X38" i="16"/>
  <c r="C21" i="18"/>
  <c r="K21" i="18"/>
  <c r="D48" i="18" s="1"/>
  <c r="D56" i="18" s="1"/>
  <c r="J56" i="18" s="1"/>
  <c r="W38" i="16"/>
  <c r="T39" i="18"/>
  <c r="X38" i="17"/>
  <c r="M40" i="17"/>
  <c r="G40" i="17"/>
  <c r="G41" i="17" s="1"/>
  <c r="B40" i="17"/>
  <c r="B41" i="17" s="1"/>
  <c r="N40" i="17"/>
  <c r="E40" i="17"/>
  <c r="E41" i="17" s="1"/>
  <c r="W38" i="17"/>
  <c r="D40" i="17"/>
  <c r="D41" i="17" s="1"/>
  <c r="S40" i="17"/>
  <c r="Q40" i="17"/>
  <c r="P40" i="17"/>
  <c r="O40" i="17"/>
  <c r="I40" i="17"/>
  <c r="I41" i="17" s="1"/>
  <c r="X21" i="17"/>
  <c r="H40" i="17"/>
  <c r="H41" i="17" s="1"/>
  <c r="J40" i="17"/>
  <c r="J41" i="17" s="1"/>
  <c r="K40" i="17"/>
  <c r="K41" i="17" s="1"/>
  <c r="F40" i="17"/>
  <c r="F41" i="17" s="1"/>
  <c r="R40" i="17"/>
  <c r="L40" i="17"/>
  <c r="L41" i="17" s="1"/>
  <c r="D22" i="17"/>
  <c r="W21" i="17"/>
  <c r="T21" i="17"/>
  <c r="T40" i="17" s="1"/>
  <c r="C40" i="16"/>
  <c r="C41" i="16" s="1"/>
  <c r="S40" i="16"/>
  <c r="H40" i="16"/>
  <c r="H41" i="16" s="1"/>
  <c r="E40" i="16"/>
  <c r="E41" i="16" s="1"/>
  <c r="R40" i="16"/>
  <c r="Q40" i="16"/>
  <c r="P40" i="16"/>
  <c r="O40" i="16"/>
  <c r="N40" i="16"/>
  <c r="M40" i="16"/>
  <c r="L40" i="16"/>
  <c r="L41" i="16" s="1"/>
  <c r="K40" i="16"/>
  <c r="K41" i="16" s="1"/>
  <c r="J40" i="16"/>
  <c r="J41" i="16" s="1"/>
  <c r="F40" i="16"/>
  <c r="F41" i="16" s="1"/>
  <c r="B40" i="16"/>
  <c r="B41" i="16" s="1"/>
  <c r="L46" i="16"/>
  <c r="C22" i="16"/>
  <c r="I22" i="16"/>
  <c r="D40" i="16"/>
  <c r="D41" i="16" s="1"/>
  <c r="K22" i="16"/>
  <c r="D49" i="16" s="1"/>
  <c r="D57" i="16" s="1"/>
  <c r="J57" i="16" s="1"/>
  <c r="J22" i="16"/>
  <c r="W21" i="16"/>
  <c r="X21" i="16"/>
  <c r="D58" i="17"/>
  <c r="J58" i="17" s="1"/>
  <c r="L46" i="17"/>
  <c r="D57" i="17"/>
  <c r="J57" i="17" s="1"/>
  <c r="I22" i="17"/>
  <c r="B22" i="17"/>
  <c r="C22" i="17"/>
  <c r="E22" i="17"/>
  <c r="F39" i="17"/>
  <c r="G22" i="17"/>
  <c r="L47" i="18"/>
  <c r="L46" i="18"/>
  <c r="L45" i="18"/>
  <c r="I21" i="18"/>
  <c r="J21" i="18"/>
  <c r="L21" i="18"/>
  <c r="D49" i="18" s="1"/>
  <c r="D57" i="18" s="1"/>
  <c r="J57" i="18" s="1"/>
  <c r="B21" i="18"/>
  <c r="D21" i="18"/>
  <c r="E21" i="18"/>
  <c r="T40" i="16"/>
  <c r="L48" i="16"/>
  <c r="L47" i="16"/>
  <c r="H22" i="16"/>
  <c r="L22" i="16"/>
  <c r="D50" i="16" s="1"/>
  <c r="D58" i="16" s="1"/>
  <c r="J58" i="16" s="1"/>
  <c r="B22" i="16"/>
  <c r="E22" i="16"/>
  <c r="F22" i="16"/>
  <c r="D47" i="16" s="1"/>
  <c r="G22" i="16"/>
  <c r="F25" i="14"/>
  <c r="F27" i="14" s="1"/>
  <c r="F28" i="14" s="1"/>
  <c r="X39" i="18" l="1"/>
  <c r="W39" i="18"/>
  <c r="W38" i="18"/>
  <c r="D47" i="18"/>
  <c r="D55" i="18" s="1"/>
  <c r="J55" i="18" s="1"/>
  <c r="F49" i="14"/>
  <c r="X40" i="17"/>
  <c r="W40" i="17"/>
  <c r="D46" i="17"/>
  <c r="X22" i="17" s="1"/>
  <c r="D48" i="17"/>
  <c r="X39" i="16"/>
  <c r="X40" i="16"/>
  <c r="W40" i="16"/>
  <c r="W39" i="16"/>
  <c r="D48" i="16"/>
  <c r="D56" i="16" s="1"/>
  <c r="J56" i="16" s="1"/>
  <c r="D46" i="16"/>
  <c r="X39" i="17"/>
  <c r="L48" i="17"/>
  <c r="L47" i="17"/>
  <c r="X38" i="18"/>
  <c r="L50" i="18"/>
  <c r="D45" i="18"/>
  <c r="D54" i="18"/>
  <c r="D55" i="16"/>
  <c r="L51" i="16"/>
  <c r="P45" i="14"/>
  <c r="W21" i="18" l="1"/>
  <c r="L51" i="17"/>
  <c r="D51" i="17"/>
  <c r="D54" i="17"/>
  <c r="X41" i="17" s="1"/>
  <c r="W22" i="17"/>
  <c r="D56" i="17"/>
  <c r="J56" i="17" s="1"/>
  <c r="W22" i="16"/>
  <c r="D51" i="16"/>
  <c r="X22" i="16"/>
  <c r="D54" i="16"/>
  <c r="D59" i="16" s="1"/>
  <c r="D60" i="16" s="1"/>
  <c r="W39" i="17"/>
  <c r="D55" i="17"/>
  <c r="K54" i="18"/>
  <c r="J54" i="18"/>
  <c r="W40" i="18"/>
  <c r="X21" i="18"/>
  <c r="D53" i="18"/>
  <c r="D50" i="18"/>
  <c r="K55" i="16"/>
  <c r="J55" i="16"/>
  <c r="W41" i="16"/>
  <c r="R38" i="14"/>
  <c r="O38" i="14"/>
  <c r="L38" i="14"/>
  <c r="J38" i="14"/>
  <c r="D59" i="17" l="1"/>
  <c r="D60" i="17" s="1"/>
  <c r="K54" i="17"/>
  <c r="J54" i="17"/>
  <c r="K54" i="16"/>
  <c r="J54" i="16"/>
  <c r="J59" i="16" s="1"/>
  <c r="X41" i="16"/>
  <c r="K55" i="17"/>
  <c r="J55" i="17"/>
  <c r="W41" i="17"/>
  <c r="D58" i="18"/>
  <c r="D59" i="18" s="1"/>
  <c r="K53" i="18"/>
  <c r="J53" i="18"/>
  <c r="J58" i="18" s="1"/>
  <c r="X40" i="18"/>
  <c r="O37" i="14"/>
  <c r="L37" i="14"/>
  <c r="L46" i="14" s="1"/>
  <c r="J37" i="14"/>
  <c r="J46" i="14" s="1"/>
  <c r="J59" i="17" l="1"/>
  <c r="X33" i="14"/>
  <c r="W33" i="14"/>
  <c r="V33" i="14"/>
  <c r="T33" i="14"/>
  <c r="O21" i="14" l="1"/>
  <c r="L21" i="14"/>
  <c r="L27" i="14" s="1"/>
  <c r="L28" i="14" s="1"/>
  <c r="P21" i="14" l="1"/>
  <c r="O7" i="14" l="1"/>
  <c r="R7" i="14"/>
  <c r="L7" i="14"/>
  <c r="L12" i="14" s="1"/>
  <c r="L49" i="14" s="1"/>
  <c r="J7" i="14"/>
  <c r="J12" i="14" s="1"/>
  <c r="J49" i="14" s="1"/>
  <c r="X24" i="14" l="1"/>
  <c r="W24" i="14"/>
  <c r="V24" i="14"/>
  <c r="T24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2" i="14"/>
  <c r="T31" i="14"/>
  <c r="T26" i="14"/>
  <c r="T25" i="14"/>
  <c r="T23" i="14"/>
  <c r="T22" i="14"/>
  <c r="T21" i="14"/>
  <c r="T20" i="14"/>
  <c r="T19" i="14"/>
  <c r="X23" i="14"/>
  <c r="W23" i="14"/>
  <c r="V23" i="14"/>
  <c r="X22" i="14"/>
  <c r="W22" i="14"/>
  <c r="V22" i="14"/>
  <c r="X26" i="14"/>
  <c r="X25" i="14"/>
  <c r="X21" i="14"/>
  <c r="X20" i="14"/>
  <c r="X19" i="14"/>
  <c r="W26" i="14"/>
  <c r="W25" i="14"/>
  <c r="W21" i="14"/>
  <c r="W20" i="14"/>
  <c r="W19" i="14"/>
  <c r="V26" i="14"/>
  <c r="V25" i="14"/>
  <c r="V21" i="14"/>
  <c r="V20" i="14"/>
  <c r="V19" i="14"/>
  <c r="S27" i="14"/>
  <c r="R27" i="14"/>
  <c r="Q27" i="14"/>
  <c r="P27" i="14"/>
  <c r="O27" i="14"/>
  <c r="N27" i="14"/>
  <c r="M27" i="14"/>
  <c r="T27" i="14" l="1"/>
  <c r="X27" i="14"/>
  <c r="W27" i="14"/>
  <c r="R11" i="1"/>
  <c r="O11" i="1"/>
  <c r="L11" i="1"/>
  <c r="J11" i="1"/>
  <c r="G57" i="15" l="1"/>
  <c r="G56" i="15"/>
  <c r="G55" i="15"/>
  <c r="G54" i="15"/>
  <c r="G53" i="15"/>
  <c r="N37" i="15"/>
  <c r="L38" i="15"/>
  <c r="L49" i="15" s="1"/>
  <c r="K38" i="15"/>
  <c r="L48" i="15" s="1"/>
  <c r="J38" i="15"/>
  <c r="I38" i="15"/>
  <c r="H38" i="15"/>
  <c r="G38" i="15"/>
  <c r="F38" i="15"/>
  <c r="E38" i="15"/>
  <c r="D38" i="15"/>
  <c r="C38" i="15"/>
  <c r="B38" i="15"/>
  <c r="X35" i="15"/>
  <c r="W35" i="15"/>
  <c r="V35" i="15"/>
  <c r="X34" i="15"/>
  <c r="W34" i="15"/>
  <c r="V34" i="15"/>
  <c r="X33" i="15"/>
  <c r="W33" i="15"/>
  <c r="V33" i="15"/>
  <c r="X32" i="15"/>
  <c r="W32" i="15"/>
  <c r="V32" i="15"/>
  <c r="X31" i="15"/>
  <c r="W31" i="15"/>
  <c r="V31" i="15"/>
  <c r="X30" i="15"/>
  <c r="W30" i="15"/>
  <c r="V30" i="15"/>
  <c r="X29" i="15"/>
  <c r="W29" i="15"/>
  <c r="V29" i="15"/>
  <c r="X28" i="15"/>
  <c r="W28" i="15"/>
  <c r="V28" i="15"/>
  <c r="X27" i="15"/>
  <c r="W27" i="15"/>
  <c r="V27" i="15"/>
  <c r="X26" i="15"/>
  <c r="W26" i="15"/>
  <c r="V26" i="15"/>
  <c r="X25" i="15"/>
  <c r="W25" i="15"/>
  <c r="V25" i="15"/>
  <c r="X24" i="15"/>
  <c r="W24" i="15"/>
  <c r="V24" i="15"/>
  <c r="K21" i="15"/>
  <c r="D48" i="15" s="1"/>
  <c r="S20" i="15"/>
  <c r="R20" i="15"/>
  <c r="Q20" i="15"/>
  <c r="P20" i="15"/>
  <c r="O20" i="15"/>
  <c r="N20" i="15"/>
  <c r="M20" i="15"/>
  <c r="L21" i="15"/>
  <c r="D49" i="15" s="1"/>
  <c r="K39" i="15"/>
  <c r="K40" i="15" s="1"/>
  <c r="I21" i="15"/>
  <c r="H21" i="15"/>
  <c r="G39" i="15"/>
  <c r="G40" i="15" s="1"/>
  <c r="F39" i="15"/>
  <c r="F40" i="15" s="1"/>
  <c r="E39" i="15"/>
  <c r="E40" i="15" s="1"/>
  <c r="D39" i="15"/>
  <c r="D40" i="15" s="1"/>
  <c r="C39" i="15"/>
  <c r="C40" i="15" s="1"/>
  <c r="B21" i="15"/>
  <c r="X19" i="15"/>
  <c r="W19" i="15"/>
  <c r="V19" i="15"/>
  <c r="X18" i="15"/>
  <c r="W18" i="15"/>
  <c r="V18" i="15"/>
  <c r="X16" i="15"/>
  <c r="W16" i="15"/>
  <c r="V16" i="15"/>
  <c r="X15" i="15"/>
  <c r="W15" i="15"/>
  <c r="V15" i="15"/>
  <c r="X14" i="15"/>
  <c r="W14" i="15"/>
  <c r="V14" i="15"/>
  <c r="X13" i="15"/>
  <c r="W13" i="15"/>
  <c r="V13" i="15"/>
  <c r="X12" i="15"/>
  <c r="W12" i="15"/>
  <c r="V12" i="15"/>
  <c r="X11" i="15"/>
  <c r="W11" i="15"/>
  <c r="V11" i="15"/>
  <c r="X10" i="15"/>
  <c r="W10" i="15"/>
  <c r="V10" i="15"/>
  <c r="X9" i="15"/>
  <c r="W9" i="15"/>
  <c r="V9" i="15"/>
  <c r="X8" i="15"/>
  <c r="W8" i="15"/>
  <c r="V8" i="15"/>
  <c r="X7" i="15"/>
  <c r="W7" i="15"/>
  <c r="V7" i="15"/>
  <c r="G67" i="14"/>
  <c r="G66" i="14"/>
  <c r="G65" i="14"/>
  <c r="G64" i="14"/>
  <c r="G63" i="14"/>
  <c r="S46" i="14"/>
  <c r="R46" i="14"/>
  <c r="Q46" i="14"/>
  <c r="P46" i="14"/>
  <c r="O46" i="14"/>
  <c r="N46" i="14"/>
  <c r="M46" i="14"/>
  <c r="L47" i="14"/>
  <c r="L59" i="14" s="1"/>
  <c r="K47" i="14"/>
  <c r="L58" i="14" s="1"/>
  <c r="J47" i="14"/>
  <c r="I47" i="14"/>
  <c r="H47" i="14"/>
  <c r="G47" i="14"/>
  <c r="F47" i="14"/>
  <c r="L56" i="14" s="1"/>
  <c r="E47" i="14"/>
  <c r="D47" i="14"/>
  <c r="C47" i="14"/>
  <c r="B46" i="14"/>
  <c r="X45" i="14"/>
  <c r="W45" i="14"/>
  <c r="V45" i="14"/>
  <c r="X44" i="14"/>
  <c r="W44" i="14"/>
  <c r="V44" i="14"/>
  <c r="X43" i="14"/>
  <c r="W43" i="14"/>
  <c r="V43" i="14"/>
  <c r="X42" i="14"/>
  <c r="W42" i="14"/>
  <c r="V42" i="14"/>
  <c r="X41" i="14"/>
  <c r="W41" i="14"/>
  <c r="V41" i="14"/>
  <c r="X40" i="14"/>
  <c r="W40" i="14"/>
  <c r="V40" i="14"/>
  <c r="X39" i="14"/>
  <c r="W39" i="14"/>
  <c r="V39" i="14"/>
  <c r="X38" i="14"/>
  <c r="W38" i="14"/>
  <c r="V38" i="14"/>
  <c r="X37" i="14"/>
  <c r="W37" i="14"/>
  <c r="V37" i="14"/>
  <c r="X36" i="14"/>
  <c r="W36" i="14"/>
  <c r="V36" i="14"/>
  <c r="X35" i="14"/>
  <c r="W35" i="14"/>
  <c r="V35" i="14"/>
  <c r="X34" i="14"/>
  <c r="W34" i="14"/>
  <c r="V34" i="14"/>
  <c r="X32" i="14"/>
  <c r="W32" i="14"/>
  <c r="V32" i="14"/>
  <c r="X31" i="14"/>
  <c r="W31" i="14"/>
  <c r="V31" i="14"/>
  <c r="S12" i="14"/>
  <c r="S49" i="14" s="1"/>
  <c r="R12" i="14"/>
  <c r="R49" i="14" s="1"/>
  <c r="Q12" i="14"/>
  <c r="Q49" i="14" s="1"/>
  <c r="P12" i="14"/>
  <c r="P49" i="14" s="1"/>
  <c r="O12" i="14"/>
  <c r="N12" i="14"/>
  <c r="N49" i="14" s="1"/>
  <c r="M12" i="14"/>
  <c r="H13" i="14"/>
  <c r="G13" i="14"/>
  <c r="F13" i="14"/>
  <c r="D56" i="14" s="1"/>
  <c r="C13" i="14"/>
  <c r="B12" i="14"/>
  <c r="X11" i="14"/>
  <c r="W11" i="14"/>
  <c r="V11" i="14"/>
  <c r="T11" i="14"/>
  <c r="X10" i="14"/>
  <c r="W10" i="14"/>
  <c r="V10" i="14"/>
  <c r="T10" i="14"/>
  <c r="X9" i="14"/>
  <c r="W9" i="14"/>
  <c r="V9" i="14"/>
  <c r="T9" i="14"/>
  <c r="X8" i="14"/>
  <c r="W8" i="14"/>
  <c r="V8" i="14"/>
  <c r="T8" i="14"/>
  <c r="X7" i="14"/>
  <c r="W7" i="14"/>
  <c r="V7" i="14"/>
  <c r="T7" i="14"/>
  <c r="G59" i="13"/>
  <c r="G58" i="13"/>
  <c r="G57" i="13"/>
  <c r="G56" i="13"/>
  <c r="G55" i="13"/>
  <c r="S39" i="13"/>
  <c r="R39" i="13"/>
  <c r="Q39" i="13"/>
  <c r="P39" i="13"/>
  <c r="O39" i="13"/>
  <c r="N39" i="13"/>
  <c r="M39" i="13"/>
  <c r="L39" i="13"/>
  <c r="L40" i="13" s="1"/>
  <c r="L51" i="13" s="1"/>
  <c r="K39" i="13"/>
  <c r="K40" i="13" s="1"/>
  <c r="L50" i="13" s="1"/>
  <c r="J39" i="13"/>
  <c r="J40" i="13" s="1"/>
  <c r="I39" i="13"/>
  <c r="I40" i="13" s="1"/>
  <c r="H39" i="13"/>
  <c r="H40" i="13" s="1"/>
  <c r="G39" i="13"/>
  <c r="G40" i="13" s="1"/>
  <c r="F39" i="13"/>
  <c r="F40" i="13" s="1"/>
  <c r="E39" i="13"/>
  <c r="E40" i="13" s="1"/>
  <c r="D39" i="13"/>
  <c r="D40" i="13" s="1"/>
  <c r="C39" i="13"/>
  <c r="C40" i="13" s="1"/>
  <c r="B39" i="13"/>
  <c r="B40" i="13" s="1"/>
  <c r="X38" i="13"/>
  <c r="W38" i="13"/>
  <c r="V38" i="13"/>
  <c r="T38" i="13"/>
  <c r="X37" i="13"/>
  <c r="W37" i="13"/>
  <c r="V37" i="13"/>
  <c r="T37" i="13"/>
  <c r="X36" i="13"/>
  <c r="W36" i="13"/>
  <c r="V36" i="13"/>
  <c r="T36" i="13"/>
  <c r="X35" i="13"/>
  <c r="W35" i="13"/>
  <c r="V35" i="13"/>
  <c r="T35" i="13"/>
  <c r="X34" i="13"/>
  <c r="W34" i="13"/>
  <c r="V34" i="13"/>
  <c r="T34" i="13"/>
  <c r="X33" i="13"/>
  <c r="W33" i="13"/>
  <c r="V33" i="13"/>
  <c r="T33" i="13"/>
  <c r="X32" i="13"/>
  <c r="W32" i="13"/>
  <c r="V32" i="13"/>
  <c r="T32" i="13"/>
  <c r="X31" i="13"/>
  <c r="W31" i="13"/>
  <c r="V31" i="13"/>
  <c r="T31" i="13"/>
  <c r="X30" i="13"/>
  <c r="W30" i="13"/>
  <c r="V30" i="13"/>
  <c r="T30" i="13"/>
  <c r="X29" i="13"/>
  <c r="W29" i="13"/>
  <c r="V29" i="13"/>
  <c r="T29" i="13"/>
  <c r="X28" i="13"/>
  <c r="W28" i="13"/>
  <c r="V28" i="13"/>
  <c r="T28" i="13"/>
  <c r="X27" i="13"/>
  <c r="W27" i="13"/>
  <c r="V27" i="13"/>
  <c r="T27" i="13"/>
  <c r="X26" i="13"/>
  <c r="W26" i="13"/>
  <c r="V26" i="13"/>
  <c r="T26" i="13"/>
  <c r="X25" i="13"/>
  <c r="W25" i="13"/>
  <c r="V25" i="13"/>
  <c r="T25" i="13"/>
  <c r="S21" i="13"/>
  <c r="R21" i="13"/>
  <c r="Q21" i="13"/>
  <c r="P21" i="13"/>
  <c r="O21" i="13"/>
  <c r="N21" i="13"/>
  <c r="M21" i="13"/>
  <c r="L21" i="13"/>
  <c r="L22" i="13" s="1"/>
  <c r="D51" i="13" s="1"/>
  <c r="K21" i="13"/>
  <c r="J21" i="13"/>
  <c r="J22" i="13" s="1"/>
  <c r="I21" i="13"/>
  <c r="I22" i="13" s="1"/>
  <c r="H21" i="13"/>
  <c r="H22" i="13" s="1"/>
  <c r="G21" i="13"/>
  <c r="F21" i="13"/>
  <c r="E21" i="13"/>
  <c r="D21" i="13"/>
  <c r="C21" i="13"/>
  <c r="B21" i="13"/>
  <c r="B22" i="13" s="1"/>
  <c r="X20" i="13"/>
  <c r="W20" i="13"/>
  <c r="V20" i="13"/>
  <c r="T20" i="13"/>
  <c r="X19" i="13"/>
  <c r="W19" i="13"/>
  <c r="V19" i="13"/>
  <c r="T19" i="13"/>
  <c r="X18" i="13"/>
  <c r="W18" i="13"/>
  <c r="V18" i="13"/>
  <c r="T18" i="13"/>
  <c r="X17" i="13"/>
  <c r="W17" i="13"/>
  <c r="V17" i="13"/>
  <c r="T17" i="13"/>
  <c r="X16" i="13"/>
  <c r="W16" i="13"/>
  <c r="V16" i="13"/>
  <c r="T16" i="13"/>
  <c r="X15" i="13"/>
  <c r="W15" i="13"/>
  <c r="V15" i="13"/>
  <c r="T15" i="13"/>
  <c r="X14" i="13"/>
  <c r="W14" i="13"/>
  <c r="V14" i="13"/>
  <c r="T14" i="13"/>
  <c r="X13" i="13"/>
  <c r="W13" i="13"/>
  <c r="V13" i="13"/>
  <c r="T13" i="13"/>
  <c r="X12" i="13"/>
  <c r="W12" i="13"/>
  <c r="V12" i="13"/>
  <c r="T12" i="13"/>
  <c r="X11" i="13"/>
  <c r="W11" i="13"/>
  <c r="V11" i="13"/>
  <c r="T11" i="13"/>
  <c r="X10" i="13"/>
  <c r="W10" i="13"/>
  <c r="V10" i="13"/>
  <c r="T10" i="13"/>
  <c r="X9" i="13"/>
  <c r="W9" i="13"/>
  <c r="V9" i="13"/>
  <c r="T9" i="13"/>
  <c r="X8" i="13"/>
  <c r="W8" i="13"/>
  <c r="V8" i="13"/>
  <c r="T8" i="13"/>
  <c r="X7" i="13"/>
  <c r="W7" i="13"/>
  <c r="V7" i="13"/>
  <c r="T7" i="13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M49" i="14" l="1"/>
  <c r="X12" i="14"/>
  <c r="X28" i="14" s="1"/>
  <c r="O49" i="14"/>
  <c r="W46" i="14"/>
  <c r="L57" i="14"/>
  <c r="X37" i="15"/>
  <c r="D64" i="14"/>
  <c r="D41" i="13"/>
  <c r="D42" i="13" s="1"/>
  <c r="C41" i="13"/>
  <c r="C42" i="13" s="1"/>
  <c r="X46" i="14"/>
  <c r="X49" i="14" s="1"/>
  <c r="B13" i="14"/>
  <c r="B49" i="14"/>
  <c r="B50" i="14" s="1"/>
  <c r="W37" i="15"/>
  <c r="P39" i="15"/>
  <c r="Q39" i="15"/>
  <c r="R39" i="15"/>
  <c r="S39" i="15"/>
  <c r="O39" i="15"/>
  <c r="N39" i="15"/>
  <c r="J39" i="15"/>
  <c r="J40" i="15" s="1"/>
  <c r="M39" i="15"/>
  <c r="D21" i="15"/>
  <c r="E21" i="15"/>
  <c r="F21" i="15"/>
  <c r="D46" i="15" s="1"/>
  <c r="T20" i="15"/>
  <c r="W20" i="15"/>
  <c r="D57" i="15"/>
  <c r="J57" i="15" s="1"/>
  <c r="G21" i="15"/>
  <c r="H39" i="15"/>
  <c r="H40" i="15" s="1"/>
  <c r="X20" i="15"/>
  <c r="J21" i="15"/>
  <c r="I39" i="15"/>
  <c r="I40" i="15" s="1"/>
  <c r="T37" i="15"/>
  <c r="C21" i="15"/>
  <c r="I50" i="14"/>
  <c r="L50" i="14"/>
  <c r="C50" i="14"/>
  <c r="E50" i="14"/>
  <c r="D50" i="14"/>
  <c r="E13" i="14"/>
  <c r="D57" i="14" s="1"/>
  <c r="D65" i="14" s="1"/>
  <c r="T12" i="14"/>
  <c r="W12" i="14"/>
  <c r="W28" i="14" s="1"/>
  <c r="W49" i="14" s="1"/>
  <c r="J50" i="14"/>
  <c r="D13" i="14"/>
  <c r="K50" i="14"/>
  <c r="I13" i="14"/>
  <c r="J13" i="14"/>
  <c r="K13" i="14"/>
  <c r="D58" i="14" s="1"/>
  <c r="D66" i="14" s="1"/>
  <c r="L13" i="14"/>
  <c r="D59" i="14" s="1"/>
  <c r="D67" i="14" s="1"/>
  <c r="T46" i="14"/>
  <c r="I41" i="13"/>
  <c r="I42" i="13" s="1"/>
  <c r="Q41" i="13"/>
  <c r="P41" i="13"/>
  <c r="F41" i="13"/>
  <c r="F42" i="13" s="1"/>
  <c r="G41" i="13"/>
  <c r="G42" i="13" s="1"/>
  <c r="W39" i="13"/>
  <c r="T39" i="13"/>
  <c r="X39" i="13"/>
  <c r="L47" i="13"/>
  <c r="S41" i="13"/>
  <c r="R41" i="13"/>
  <c r="O41" i="13"/>
  <c r="N41" i="13"/>
  <c r="M41" i="13"/>
  <c r="K41" i="13"/>
  <c r="K42" i="13" s="1"/>
  <c r="E41" i="13"/>
  <c r="E42" i="13" s="1"/>
  <c r="C22" i="13"/>
  <c r="G22" i="13"/>
  <c r="W21" i="13"/>
  <c r="T21" i="13"/>
  <c r="X21" i="13"/>
  <c r="K22" i="13"/>
  <c r="D50" i="13" s="1"/>
  <c r="D58" i="13" s="1"/>
  <c r="J58" i="13" s="1"/>
  <c r="H41" i="13"/>
  <c r="H42" i="13" s="1"/>
  <c r="E22" i="13"/>
  <c r="B41" i="13"/>
  <c r="B42" i="13" s="1"/>
  <c r="L47" i="15"/>
  <c r="L46" i="15"/>
  <c r="D56" i="15"/>
  <c r="J56" i="15" s="1"/>
  <c r="L45" i="15"/>
  <c r="L39" i="15"/>
  <c r="L40" i="15" s="1"/>
  <c r="B39" i="15"/>
  <c r="B40" i="15" s="1"/>
  <c r="G50" i="14"/>
  <c r="H50" i="14"/>
  <c r="F50" i="14"/>
  <c r="B47" i="14"/>
  <c r="L55" i="14" s="1"/>
  <c r="L60" i="14" s="1"/>
  <c r="L49" i="13"/>
  <c r="L48" i="13"/>
  <c r="D59" i="13"/>
  <c r="J59" i="13" s="1"/>
  <c r="D22" i="13"/>
  <c r="J41" i="13"/>
  <c r="J42" i="13" s="1"/>
  <c r="F22" i="13"/>
  <c r="D48" i="13" s="1"/>
  <c r="L41" i="13"/>
  <c r="L42" i="13" s="1"/>
  <c r="W12" i="1"/>
  <c r="X12" i="1"/>
  <c r="X11" i="1"/>
  <c r="G59" i="1"/>
  <c r="G58" i="1"/>
  <c r="G57" i="1"/>
  <c r="G56" i="1"/>
  <c r="G55" i="1"/>
  <c r="S39" i="1"/>
  <c r="R39" i="1"/>
  <c r="Q39" i="1"/>
  <c r="P39" i="1"/>
  <c r="O39" i="1"/>
  <c r="N39" i="1"/>
  <c r="M39" i="1"/>
  <c r="L39" i="1"/>
  <c r="L40" i="1" s="1"/>
  <c r="L51" i="1" s="1"/>
  <c r="K39" i="1"/>
  <c r="K40" i="1" s="1"/>
  <c r="L50" i="1" s="1"/>
  <c r="J39" i="1"/>
  <c r="J40" i="1" s="1"/>
  <c r="I39" i="1"/>
  <c r="I40" i="1" s="1"/>
  <c r="H39" i="1"/>
  <c r="H40" i="1" s="1"/>
  <c r="G39" i="1"/>
  <c r="G40" i="1" s="1"/>
  <c r="F39" i="1"/>
  <c r="F40" i="1" s="1"/>
  <c r="E39" i="1"/>
  <c r="E40" i="1" s="1"/>
  <c r="D39" i="1"/>
  <c r="D40" i="1" s="1"/>
  <c r="C39" i="1"/>
  <c r="C40" i="1" s="1"/>
  <c r="B39" i="1"/>
  <c r="B40" i="1" s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2" i="1"/>
  <c r="W32" i="1"/>
  <c r="V32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S21" i="1"/>
  <c r="R21" i="1"/>
  <c r="Q21" i="1"/>
  <c r="P21" i="1"/>
  <c r="N21" i="1"/>
  <c r="M21" i="1"/>
  <c r="K21" i="1"/>
  <c r="I21" i="1"/>
  <c r="H21" i="1"/>
  <c r="H22" i="1" s="1"/>
  <c r="G21" i="1"/>
  <c r="F21" i="1"/>
  <c r="F22" i="1" s="1"/>
  <c r="D48" i="1" s="1"/>
  <c r="E21" i="1"/>
  <c r="D21" i="1"/>
  <c r="D22" i="1" s="1"/>
  <c r="C21" i="1"/>
  <c r="B21" i="1"/>
  <c r="B22" i="1" s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W14" i="1"/>
  <c r="V14" i="1"/>
  <c r="X13" i="1"/>
  <c r="W13" i="1"/>
  <c r="V13" i="1"/>
  <c r="V12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V7" i="1"/>
  <c r="D55" i="14" l="1"/>
  <c r="D47" i="13"/>
  <c r="W50" i="14"/>
  <c r="K64" i="14"/>
  <c r="T49" i="14"/>
  <c r="W29" i="14"/>
  <c r="X39" i="15"/>
  <c r="D47" i="15"/>
  <c r="D55" i="15" s="1"/>
  <c r="J55" i="15" s="1"/>
  <c r="D45" i="15"/>
  <c r="X21" i="15" s="1"/>
  <c r="T39" i="15"/>
  <c r="W39" i="15"/>
  <c r="W38" i="15"/>
  <c r="W47" i="14"/>
  <c r="J67" i="14"/>
  <c r="J64" i="14"/>
  <c r="J66" i="14"/>
  <c r="X40" i="13"/>
  <c r="X41" i="13"/>
  <c r="W41" i="13"/>
  <c r="T41" i="13"/>
  <c r="W40" i="13"/>
  <c r="D49" i="13"/>
  <c r="D57" i="13" s="1"/>
  <c r="J57" i="13" s="1"/>
  <c r="X38" i="15"/>
  <c r="L50" i="15"/>
  <c r="D54" i="15"/>
  <c r="X47" i="14"/>
  <c r="X22" i="13"/>
  <c r="D55" i="13"/>
  <c r="D56" i="13"/>
  <c r="L52" i="13"/>
  <c r="C41" i="1"/>
  <c r="C42" i="1" s="1"/>
  <c r="I41" i="1"/>
  <c r="I42" i="1" s="1"/>
  <c r="O21" i="1"/>
  <c r="O41" i="1" s="1"/>
  <c r="L21" i="1"/>
  <c r="L22" i="1" s="1"/>
  <c r="D51" i="1" s="1"/>
  <c r="D59" i="1" s="1"/>
  <c r="J59" i="1" s="1"/>
  <c r="S41" i="1"/>
  <c r="R41" i="1"/>
  <c r="N41" i="1"/>
  <c r="G41" i="1"/>
  <c r="G42" i="1" s="1"/>
  <c r="W39" i="1"/>
  <c r="X39" i="1"/>
  <c r="T39" i="1"/>
  <c r="M41" i="1"/>
  <c r="K41" i="1"/>
  <c r="K42" i="1" s="1"/>
  <c r="E41" i="1"/>
  <c r="E42" i="1" s="1"/>
  <c r="P41" i="1"/>
  <c r="Q41" i="1"/>
  <c r="I22" i="1"/>
  <c r="C22" i="1"/>
  <c r="K22" i="1"/>
  <c r="D50" i="1" s="1"/>
  <c r="D58" i="1" s="1"/>
  <c r="J58" i="1" s="1"/>
  <c r="E22" i="1"/>
  <c r="W21" i="1"/>
  <c r="G22" i="1"/>
  <c r="L48" i="1"/>
  <c r="D56" i="1" s="1"/>
  <c r="L49" i="1"/>
  <c r="L47" i="1"/>
  <c r="D41" i="1"/>
  <c r="D42" i="1" s="1"/>
  <c r="H41" i="1"/>
  <c r="H42" i="1" s="1"/>
  <c r="X14" i="1"/>
  <c r="X21" i="1" s="1"/>
  <c r="J21" i="1"/>
  <c r="B41" i="1"/>
  <c r="B42" i="1" s="1"/>
  <c r="F41" i="1"/>
  <c r="F42" i="1" s="1"/>
  <c r="D60" i="14" l="1"/>
  <c r="X29" i="14"/>
  <c r="D63" i="14"/>
  <c r="W21" i="15"/>
  <c r="D53" i="15"/>
  <c r="D58" i="15" s="1"/>
  <c r="D59" i="15" s="1"/>
  <c r="D50" i="15"/>
  <c r="J63" i="14"/>
  <c r="D52" i="13"/>
  <c r="W22" i="13"/>
  <c r="K54" i="15"/>
  <c r="J54" i="15"/>
  <c r="W40" i="15"/>
  <c r="K56" i="13"/>
  <c r="J56" i="13"/>
  <c r="W42" i="13"/>
  <c r="D60" i="13"/>
  <c r="D61" i="13" s="1"/>
  <c r="K55" i="13"/>
  <c r="J55" i="13"/>
  <c r="X42" i="13"/>
  <c r="T21" i="1"/>
  <c r="T41" i="1" s="1"/>
  <c r="L41" i="1"/>
  <c r="L42" i="1" s="1"/>
  <c r="X41" i="1"/>
  <c r="W41" i="1"/>
  <c r="D49" i="1"/>
  <c r="D57" i="1" s="1"/>
  <c r="J57" i="1" s="1"/>
  <c r="J56" i="1"/>
  <c r="L52" i="1"/>
  <c r="X40" i="1"/>
  <c r="J22" i="1"/>
  <c r="D47" i="1" s="1"/>
  <c r="J41" i="1"/>
  <c r="J42" i="1" s="1"/>
  <c r="W40" i="1"/>
  <c r="D68" i="14" l="1"/>
  <c r="K63" i="14"/>
  <c r="X50" i="14"/>
  <c r="J53" i="15"/>
  <c r="J58" i="15" s="1"/>
  <c r="K53" i="15"/>
  <c r="X40" i="15"/>
  <c r="J65" i="14"/>
  <c r="J68" i="14" s="1"/>
  <c r="J60" i="13"/>
  <c r="W22" i="1"/>
  <c r="W42" i="1"/>
  <c r="K56" i="1"/>
  <c r="X22" i="1"/>
  <c r="D52" i="1"/>
  <c r="D55" i="1"/>
  <c r="K55" i="1" l="1"/>
  <c r="X42" i="1"/>
  <c r="J55" i="1"/>
  <c r="J60" i="1" s="1"/>
  <c r="D60" i="1"/>
  <c r="D61" i="1" s="1"/>
</calcChain>
</file>

<file path=xl/sharedStrings.xml><?xml version="1.0" encoding="utf-8"?>
<sst xmlns="http://schemas.openxmlformats.org/spreadsheetml/2006/main" count="1594" uniqueCount="53">
  <si>
    <t>MONTH:</t>
  </si>
  <si>
    <t>TOTAL</t>
  </si>
  <si>
    <t>HOUSEHOLD CYLINDERS</t>
  </si>
  <si>
    <t>COMMERCIAL CYLINDERS</t>
  </si>
  <si>
    <t>CAMP.</t>
  </si>
  <si>
    <t>HOUSE</t>
  </si>
  <si>
    <t>MOTOR</t>
  </si>
  <si>
    <t>BULK</t>
  </si>
  <si>
    <t>GAS</t>
  </si>
  <si>
    <t>HOLD</t>
  </si>
  <si>
    <t>FUEL</t>
  </si>
  <si>
    <t>COMM.</t>
  </si>
  <si>
    <t>CASH</t>
  </si>
  <si>
    <t>PREPAID</t>
  </si>
  <si>
    <t>CREDIT</t>
  </si>
  <si>
    <t>DISC.</t>
  </si>
  <si>
    <t>DEP.</t>
  </si>
  <si>
    <t>EXTRA</t>
  </si>
  <si>
    <t>INSTALL.</t>
  </si>
  <si>
    <t>DIFF.</t>
  </si>
  <si>
    <t xml:space="preserve">LPG.SALES SPLIT </t>
  </si>
  <si>
    <t>AMOUNT</t>
  </si>
  <si>
    <t>CHARGE</t>
  </si>
  <si>
    <t>MAT.</t>
  </si>
  <si>
    <t>O/S</t>
  </si>
  <si>
    <t>IN POUNDS</t>
  </si>
  <si>
    <t>DATE</t>
  </si>
  <si>
    <t>100/#</t>
  </si>
  <si>
    <t>60/#</t>
  </si>
  <si>
    <t>Mix/#</t>
  </si>
  <si>
    <t>20/#</t>
  </si>
  <si>
    <t>7 LBS</t>
  </si>
  <si>
    <t>LTS</t>
  </si>
  <si>
    <t>AFLS.</t>
  </si>
  <si>
    <t>HSEH</t>
  </si>
  <si>
    <t>DIFF</t>
  </si>
  <si>
    <t>PERIOD 2</t>
  </si>
  <si>
    <t>CONV.#</t>
  </si>
  <si>
    <t>TOTAL PERIOD 1+2</t>
  </si>
  <si>
    <t>BREAKDOWN SALES FIRST PERIOD</t>
  </si>
  <si>
    <t>BREAKDOWN SALES SECOND PERIOD</t>
  </si>
  <si>
    <t>HSEHOLD</t>
  </si>
  <si>
    <t>LBS</t>
  </si>
  <si>
    <t>COMM 20 LBS CYL</t>
  </si>
  <si>
    <t>COMM.CYL.</t>
  </si>
  <si>
    <t>COMM.MOTORFUEL</t>
  </si>
  <si>
    <t>COMM.BULK</t>
  </si>
  <si>
    <t>TOTAL FIRST + SECOND PERIOD</t>
  </si>
  <si>
    <t>@</t>
  </si>
  <si>
    <t xml:space="preserve">                    </t>
  </si>
  <si>
    <t>4 X FORKLIFT CYL. BONAIRE C/O BONICK ADMINISTRATION</t>
  </si>
  <si>
    <t>1 X FORKLIFT CYL. BONICK ADMIN.</t>
  </si>
  <si>
    <t>SEPETMBER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</si>
</sst>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_)"/>
    <numFmt numFmtId="165" formatCode="mmm\-yy_)"/>
    <numFmt numFmtId="166" formatCode="_(* #,##0_);_(* \(#,##0\);_(* &quot;-&quot;??_);_(@_)"/>
    <numFmt numFmtId="167" formatCode="_(* #,##0.000_);_(* \(#,##0.000\);_(* &quot;-&quot;??_);_(@_)"/>
    <numFmt numFmtId="168" formatCode="0.0000_)"/>
    <numFmt numFmtId="169" formatCode="dd\-mmm\-yy_)"/>
    <numFmt numFmtId="170" formatCode="0_)"/>
    <numFmt numFmtId="171" formatCode="_(* #,##0.0000_);_(* \(#,##0.0000\);_(* &quot;-&quot;???_);_(@_)"/>
    <numFmt numFmtId="172" formatCode="_(* #,##0.000_);_(* \(#,##0.00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indexed="10"/>
      <name val="Verdana"/>
      <family val="2"/>
    </font>
    <font>
      <b/>
      <sz val="10"/>
      <color rgb="FFFF000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b/>
      <sz val="8"/>
      <name val="Verdana"/>
      <family val="2"/>
    </font>
    <font>
      <b/>
      <sz val="9"/>
      <color indexed="10"/>
      <name val="Verdana"/>
      <family val="2"/>
    </font>
    <font>
      <b/>
      <sz val="8"/>
      <color indexed="10"/>
      <name val="Verdana"/>
      <family val="2"/>
    </font>
    <font>
      <sz val="8"/>
      <color indexed="10"/>
      <name val="Verdana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4" fillId="0" borderId="0" xfId="0" applyFont="1"/>
    <xf numFmtId="166" fontId="2" fillId="0" borderId="0" xfId="1" applyNumberFormat="1" applyFont="1" applyAlignment="1">
      <alignment horizontal="center" vertical="center"/>
    </xf>
    <xf numFmtId="167" fontId="2" fillId="0" borderId="0" xfId="1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7" fontId="2" fillId="0" borderId="0" xfId="1" applyNumberFormat="1" applyFont="1" applyAlignment="1">
      <alignment horizontal="center" vertical="center"/>
    </xf>
    <xf numFmtId="166" fontId="2" fillId="0" borderId="0" xfId="1" applyNumberFormat="1" applyFont="1" applyAlignment="1" applyProtection="1">
      <alignment horizontal="center"/>
    </xf>
    <xf numFmtId="0" fontId="5" fillId="0" borderId="0" xfId="0" applyFont="1"/>
    <xf numFmtId="166" fontId="2" fillId="0" borderId="0" xfId="1" applyNumberFormat="1" applyFont="1" applyAlignment="1" applyProtection="1">
      <alignment horizontal="center" vertical="center"/>
    </xf>
    <xf numFmtId="167" fontId="2" fillId="0" borderId="0" xfId="1" applyNumberFormat="1" applyFont="1" applyAlignment="1" applyProtection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43" fontId="6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6" fontId="3" fillId="0" borderId="2" xfId="1" applyNumberFormat="1" applyFont="1" applyBorder="1" applyAlignment="1" applyProtection="1">
      <alignment horizontal="center" vertical="center"/>
    </xf>
    <xf numFmtId="167" fontId="3" fillId="0" borderId="2" xfId="1" applyNumberFormat="1" applyFont="1" applyBorder="1" applyAlignment="1" applyProtection="1">
      <alignment horizontal="center"/>
    </xf>
    <xf numFmtId="166" fontId="3" fillId="0" borderId="2" xfId="1" applyNumberFormat="1" applyFont="1" applyBorder="1" applyAlignment="1" applyProtection="1">
      <alignment horizontal="center"/>
    </xf>
    <xf numFmtId="0" fontId="3" fillId="0" borderId="2" xfId="0" applyFont="1" applyBorder="1"/>
    <xf numFmtId="169" fontId="2" fillId="0" borderId="0" xfId="0" applyNumberFormat="1" applyFont="1"/>
    <xf numFmtId="170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43" fontId="2" fillId="0" borderId="0" xfId="1" applyFont="1" applyProtection="1"/>
    <xf numFmtId="43" fontId="7" fillId="0" borderId="0" xfId="1" applyFont="1" applyBorder="1"/>
    <xf numFmtId="43" fontId="2" fillId="0" borderId="0" xfId="1" applyFont="1"/>
    <xf numFmtId="167" fontId="2" fillId="0" borderId="0" xfId="1" applyNumberFormat="1" applyFont="1" applyProtection="1"/>
    <xf numFmtId="169" fontId="2" fillId="0" borderId="1" xfId="0" applyNumberFormat="1" applyFont="1" applyBorder="1"/>
    <xf numFmtId="170" fontId="2" fillId="0" borderId="1" xfId="0" applyNumberFormat="1" applyFont="1" applyBorder="1"/>
    <xf numFmtId="3" fontId="2" fillId="0" borderId="1" xfId="0" applyNumberFormat="1" applyFont="1" applyBorder="1"/>
    <xf numFmtId="166" fontId="2" fillId="0" borderId="1" xfId="1" applyNumberFormat="1" applyFont="1" applyBorder="1" applyAlignment="1" applyProtection="1">
      <alignment horizontal="center" vertical="center"/>
    </xf>
    <xf numFmtId="167" fontId="2" fillId="0" borderId="1" xfId="1" applyNumberFormat="1" applyFont="1" applyBorder="1" applyProtection="1"/>
    <xf numFmtId="164" fontId="2" fillId="0" borderId="1" xfId="0" applyNumberFormat="1" applyFont="1" applyBorder="1"/>
    <xf numFmtId="43" fontId="2" fillId="0" borderId="1" xfId="1" applyFont="1" applyBorder="1" applyProtection="1"/>
    <xf numFmtId="43" fontId="7" fillId="0" borderId="1" xfId="1" applyFont="1" applyBorder="1"/>
    <xf numFmtId="170" fontId="3" fillId="0" borderId="0" xfId="0" applyNumberFormat="1" applyFont="1"/>
    <xf numFmtId="166" fontId="3" fillId="0" borderId="0" xfId="1" applyNumberFormat="1" applyFont="1" applyAlignment="1" applyProtection="1">
      <alignment horizontal="center" vertical="center"/>
    </xf>
    <xf numFmtId="43" fontId="3" fillId="0" borderId="0" xfId="1" applyFont="1" applyProtection="1"/>
    <xf numFmtId="3" fontId="3" fillId="0" borderId="0" xfId="0" applyNumberFormat="1" applyFont="1"/>
    <xf numFmtId="167" fontId="3" fillId="0" borderId="0" xfId="1" applyNumberFormat="1" applyFont="1" applyProtection="1"/>
    <xf numFmtId="166" fontId="3" fillId="0" borderId="0" xfId="1" applyNumberFormat="1" applyFont="1" applyProtection="1"/>
    <xf numFmtId="0" fontId="3" fillId="0" borderId="0" xfId="0" applyFont="1"/>
    <xf numFmtId="169" fontId="3" fillId="0" borderId="0" xfId="0" applyNumberFormat="1" applyFont="1" applyAlignment="1">
      <alignment horizontal="left"/>
    </xf>
    <xf numFmtId="169" fontId="2" fillId="0" borderId="0" xfId="0" applyNumberFormat="1" applyFont="1" applyAlignment="1">
      <alignment horizontal="fill"/>
    </xf>
    <xf numFmtId="166" fontId="2" fillId="0" borderId="0" xfId="1" applyNumberFormat="1" applyFont="1" applyProtection="1"/>
    <xf numFmtId="166" fontId="2" fillId="0" borderId="1" xfId="1" applyNumberFormat="1" applyFont="1" applyBorder="1" applyProtection="1"/>
    <xf numFmtId="43" fontId="2" fillId="0" borderId="1" xfId="1" applyFont="1" applyBorder="1"/>
    <xf numFmtId="169" fontId="3" fillId="0" borderId="1" xfId="0" applyNumberFormat="1" applyFont="1" applyBorder="1" applyAlignment="1">
      <alignment horizontal="center"/>
    </xf>
    <xf numFmtId="170" fontId="3" fillId="0" borderId="1" xfId="0" applyNumberFormat="1" applyFont="1" applyBorder="1"/>
    <xf numFmtId="166" fontId="3" fillId="0" borderId="1" xfId="1" applyNumberFormat="1" applyFont="1" applyBorder="1" applyAlignment="1" applyProtection="1">
      <alignment horizontal="center" vertical="center"/>
    </xf>
    <xf numFmtId="167" fontId="3" fillId="0" borderId="1" xfId="1" applyNumberFormat="1" applyFont="1" applyBorder="1" applyProtection="1"/>
    <xf numFmtId="166" fontId="3" fillId="0" borderId="1" xfId="1" applyNumberFormat="1" applyFont="1" applyBorder="1" applyProtection="1"/>
    <xf numFmtId="0" fontId="3" fillId="0" borderId="1" xfId="0" applyFont="1" applyBorder="1"/>
    <xf numFmtId="169" fontId="3" fillId="0" borderId="1" xfId="0" applyNumberFormat="1" applyFont="1" applyBorder="1" applyAlignment="1">
      <alignment horizontal="left"/>
    </xf>
    <xf numFmtId="169" fontId="3" fillId="0" borderId="0" xfId="0" applyNumberFormat="1" applyFont="1" applyAlignment="1">
      <alignment horizontal="left" wrapText="1"/>
    </xf>
    <xf numFmtId="3" fontId="3" fillId="0" borderId="1" xfId="0" applyNumberFormat="1" applyFont="1" applyBorder="1"/>
    <xf numFmtId="3" fontId="2" fillId="0" borderId="0" xfId="0" applyNumberFormat="1" applyFont="1" applyAlignment="1">
      <alignment horizontal="fill"/>
    </xf>
    <xf numFmtId="167" fontId="2" fillId="0" borderId="0" xfId="1" applyNumberFormat="1" applyFont="1" applyAlignment="1" applyProtection="1">
      <alignment horizontal="fill"/>
    </xf>
    <xf numFmtId="166" fontId="2" fillId="0" borderId="0" xfId="1" applyNumberFormat="1" applyFont="1" applyAlignment="1" applyProtection="1">
      <alignment horizontal="fill"/>
    </xf>
    <xf numFmtId="164" fontId="2" fillId="0" borderId="0" xfId="0" applyNumberFormat="1" applyFont="1" applyAlignment="1">
      <alignment horizontal="fill"/>
    </xf>
    <xf numFmtId="170" fontId="3" fillId="0" borderId="1" xfId="0" applyNumberFormat="1" applyFont="1" applyBorder="1" applyAlignment="1">
      <alignment horizontal="left"/>
    </xf>
    <xf numFmtId="170" fontId="8" fillId="0" borderId="0" xfId="0" applyNumberFormat="1" applyFont="1" applyAlignment="1">
      <alignment horizontal="left"/>
    </xf>
    <xf numFmtId="170" fontId="3" fillId="0" borderId="0" xfId="0" applyNumberFormat="1" applyFont="1" applyAlignment="1">
      <alignment horizontal="center"/>
    </xf>
    <xf numFmtId="166" fontId="8" fillId="0" borderId="0" xfId="1" applyNumberFormat="1" applyFont="1" applyAlignment="1" applyProtection="1">
      <alignment horizontal="center" vertical="center"/>
    </xf>
    <xf numFmtId="170" fontId="8" fillId="0" borderId="1" xfId="0" applyNumberFormat="1" applyFont="1" applyBorder="1" applyAlignment="1">
      <alignment horizontal="left"/>
    </xf>
    <xf numFmtId="170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6" fontId="3" fillId="0" borderId="0" xfId="1" applyNumberFormat="1" applyFont="1" applyBorder="1" applyAlignment="1" applyProtection="1">
      <alignment horizontal="center" vertical="center"/>
    </xf>
    <xf numFmtId="167" fontId="3" fillId="0" borderId="0" xfId="1" applyNumberFormat="1" applyFont="1" applyBorder="1" applyProtection="1"/>
    <xf numFmtId="166" fontId="3" fillId="0" borderId="0" xfId="1" applyNumberFormat="1" applyFont="1" applyBorder="1" applyProtection="1"/>
    <xf numFmtId="170" fontId="3" fillId="0" borderId="3" xfId="0" applyNumberFormat="1" applyFont="1" applyBorder="1"/>
    <xf numFmtId="170" fontId="3" fillId="0" borderId="3" xfId="0" applyNumberFormat="1" applyFont="1" applyBorder="1" applyAlignment="1">
      <alignment horizontal="left"/>
    </xf>
    <xf numFmtId="166" fontId="3" fillId="0" borderId="3" xfId="1" applyNumberFormat="1" applyFont="1" applyBorder="1" applyAlignment="1" applyProtection="1">
      <alignment horizontal="center" vertical="center"/>
    </xf>
    <xf numFmtId="170" fontId="3" fillId="0" borderId="0" xfId="0" applyNumberFormat="1" applyFont="1" applyAlignment="1">
      <alignment horizontal="left"/>
    </xf>
    <xf numFmtId="171" fontId="3" fillId="0" borderId="0" xfId="0" quotePrefix="1" applyNumberFormat="1" applyFont="1" applyAlignment="1">
      <alignment horizontal="left"/>
    </xf>
    <xf numFmtId="172" fontId="3" fillId="0" borderId="0" xfId="0" quotePrefix="1" applyNumberFormat="1" applyFont="1" applyAlignment="1">
      <alignment horizontal="left"/>
    </xf>
    <xf numFmtId="170" fontId="3" fillId="0" borderId="3" xfId="0" applyNumberFormat="1" applyFont="1" applyBorder="1" applyAlignment="1">
      <alignment horizontal="center"/>
    </xf>
    <xf numFmtId="172" fontId="3" fillId="0" borderId="3" xfId="0" quotePrefix="1" applyNumberFormat="1" applyFont="1" applyBorder="1" applyAlignment="1">
      <alignment horizontal="left"/>
    </xf>
    <xf numFmtId="166" fontId="0" fillId="0" borderId="0" xfId="1" applyNumberFormat="1" applyFont="1" applyAlignment="1">
      <alignment horizontal="center" vertical="center"/>
    </xf>
    <xf numFmtId="43" fontId="6" fillId="0" borderId="1" xfId="1" applyFont="1" applyBorder="1" applyAlignment="1"/>
    <xf numFmtId="43" fontId="6" fillId="0" borderId="1" xfId="1" applyFont="1" applyBorder="1" applyAlignment="1" applyProtection="1">
      <alignment horizontal="center" vertical="center"/>
    </xf>
    <xf numFmtId="43" fontId="6" fillId="0" borderId="1" xfId="1" applyFont="1" applyBorder="1" applyAlignment="1" applyProtection="1">
      <alignment vertical="center"/>
    </xf>
    <xf numFmtId="43" fontId="6" fillId="0" borderId="1" xfId="1" applyFont="1" applyBorder="1" applyAlignment="1" applyProtection="1">
      <alignment horizontal="center"/>
    </xf>
    <xf numFmtId="169" fontId="2" fillId="0" borderId="1" xfId="0" applyNumberFormat="1" applyFont="1" applyBorder="1" applyAlignment="1">
      <alignment horizontal="fill"/>
    </xf>
    <xf numFmtId="164" fontId="2" fillId="0" borderId="2" xfId="0" applyNumberFormat="1" applyFont="1" applyBorder="1"/>
    <xf numFmtId="169" fontId="3" fillId="0" borderId="0" xfId="0" applyNumberFormat="1" applyFont="1" applyAlignment="1">
      <alignment horizontal="center"/>
    </xf>
    <xf numFmtId="43" fontId="3" fillId="0" borderId="0" xfId="1" applyFont="1"/>
    <xf numFmtId="43" fontId="9" fillId="0" borderId="0" xfId="1" applyFont="1"/>
    <xf numFmtId="43" fontId="10" fillId="0" borderId="0" xfId="1" applyFont="1"/>
    <xf numFmtId="43" fontId="9" fillId="0" borderId="0" xfId="1" applyFont="1" applyProtection="1"/>
    <xf numFmtId="166" fontId="2" fillId="0" borderId="0" xfId="1" applyNumberFormat="1" applyFont="1" applyBorder="1" applyAlignment="1" applyProtection="1">
      <alignment horizontal="center" vertical="center"/>
    </xf>
    <xf numFmtId="167" fontId="2" fillId="0" borderId="0" xfId="1" applyNumberFormat="1" applyFont="1" applyBorder="1" applyProtection="1"/>
    <xf numFmtId="166" fontId="2" fillId="0" borderId="0" xfId="1" applyNumberFormat="1" applyFont="1" applyBorder="1" applyProtection="1"/>
    <xf numFmtId="43" fontId="2" fillId="0" borderId="0" xfId="1" applyFont="1" applyBorder="1"/>
    <xf numFmtId="14" fontId="2" fillId="0" borderId="0" xfId="0" applyNumberFormat="1" applyFont="1"/>
    <xf numFmtId="0" fontId="11" fillId="0" borderId="0" xfId="0" applyFont="1"/>
    <xf numFmtId="2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1" xfId="1" applyFont="1" applyBorder="1" applyAlignment="1"/>
    <xf numFmtId="43" fontId="2" fillId="0" borderId="1" xfId="1" applyFont="1" applyBorder="1" applyAlignment="1" applyProtection="1">
      <alignment horizontal="center" vertical="center"/>
    </xf>
    <xf numFmtId="43" fontId="2" fillId="0" borderId="1" xfId="1" applyFont="1" applyBorder="1" applyAlignment="1" applyProtection="1">
      <alignment vertical="center"/>
    </xf>
    <xf numFmtId="43" fontId="2" fillId="0" borderId="1" xfId="1" applyFont="1" applyBorder="1" applyAlignment="1" applyProtection="1">
      <alignment horizontal="center"/>
    </xf>
    <xf numFmtId="166" fontId="11" fillId="0" borderId="0" xfId="1" applyNumberFormat="1" applyFont="1" applyAlignment="1">
      <alignment horizontal="center" vertical="center"/>
    </xf>
    <xf numFmtId="43" fontId="1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B53FB-DE73-4819-9605-751B416E4DC8}">
  <dimension ref="A1:X62"/>
  <sheetViews>
    <sheetView topLeftCell="A10" workbookViewId="0">
      <selection activeCell="A10" sqref="A10"/>
    </sheetView>
  </sheetViews>
  <sheetFormatPr defaultRowHeight="15" x14ac:dyDescent="0.25"/>
  <cols>
    <col min="1" max="1" width="14" customWidth="1"/>
    <col min="2" max="2" width="10.42578125" customWidth="1"/>
    <col min="4" max="4" width="11.2851562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6.85546875" customWidth="1"/>
    <col min="10" max="10" width="13.5703125" customWidth="1"/>
    <col min="11" max="11" width="15.5703125" customWidth="1"/>
    <col min="12" max="12" width="13.42578125" customWidth="1"/>
    <col min="13" max="13" width="16" customWidth="1"/>
    <col min="14" max="14" width="14.85546875" customWidth="1"/>
    <col min="15" max="15" width="15.140625" customWidth="1"/>
    <col min="16" max="16" width="14" customWidth="1"/>
    <col min="17" max="17" width="13.85546875" customWidth="1"/>
    <col min="18" max="18" width="10.140625" customWidth="1"/>
    <col min="19" max="19" width="14" customWidth="1"/>
    <col min="20" max="20" width="8.710937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>
        <v>44562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144</v>
      </c>
      <c r="F5" s="18">
        <v>24</v>
      </c>
      <c r="G5" s="18">
        <v>86.5</v>
      </c>
      <c r="H5" s="87">
        <v>1.44</v>
      </c>
      <c r="I5" s="17">
        <v>18.55</v>
      </c>
      <c r="J5" s="88">
        <v>0.52</v>
      </c>
      <c r="K5" s="89">
        <v>1.3</v>
      </c>
      <c r="L5" s="90">
        <v>1.59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44563</v>
      </c>
      <c r="B7" s="28"/>
      <c r="C7" s="28"/>
      <c r="D7" s="28"/>
      <c r="E7" s="28"/>
      <c r="F7" s="29"/>
      <c r="G7" s="28"/>
      <c r="H7" s="28"/>
      <c r="I7" s="28"/>
      <c r="J7" s="13"/>
      <c r="K7" s="6"/>
      <c r="L7" s="28">
        <v>1177</v>
      </c>
      <c r="M7" s="30"/>
      <c r="N7" s="30"/>
      <c r="O7" s="30">
        <v>1871.43</v>
      </c>
      <c r="P7" s="31"/>
      <c r="Q7" s="30"/>
      <c r="R7" s="30"/>
      <c r="S7" s="30"/>
      <c r="T7" s="32">
        <f>+B7*46.38+C7*27.83+D7*0.4638+E7*144+F7*24+G7*86.5+H7*1.44+I7*18.55+J7*0.52+K7*1.3+L7*1.59-M7-N7-O7-P7+Q7+R7+S7</f>
        <v>0</v>
      </c>
      <c r="U7" s="1"/>
      <c r="V7" s="27">
        <f>+A7</f>
        <v>44563</v>
      </c>
      <c r="W7" s="28">
        <f>SUM(E7*100+F7*20+G7*60+H7+I7*7+K7*1.1167+L7*1.1167)</f>
        <v>1314.3559</v>
      </c>
      <c r="X7" s="28">
        <f t="shared" ref="X7:X20" si="0">SUM(B7*100+C7*60+D7+J7*1.1167)</f>
        <v>0</v>
      </c>
    </row>
    <row r="8" spans="1:24" x14ac:dyDescent="0.25">
      <c r="A8" s="27">
        <v>44564</v>
      </c>
      <c r="B8" s="28">
        <v>201</v>
      </c>
      <c r="C8" s="28"/>
      <c r="D8" s="28"/>
      <c r="E8" s="28">
        <v>6</v>
      </c>
      <c r="F8" s="29">
        <v>343</v>
      </c>
      <c r="G8" s="28"/>
      <c r="H8" s="28">
        <v>40</v>
      </c>
      <c r="I8" s="28"/>
      <c r="J8" s="13">
        <v>2728</v>
      </c>
      <c r="K8" s="6">
        <v>1476.713</v>
      </c>
      <c r="L8" s="28">
        <v>34810</v>
      </c>
      <c r="M8" s="30">
        <v>16822.099999999999</v>
      </c>
      <c r="N8" s="30">
        <v>3549.7</v>
      </c>
      <c r="O8" s="30">
        <v>57882.54</v>
      </c>
      <c r="P8" s="31">
        <v>187.14</v>
      </c>
      <c r="Q8" s="30">
        <v>175</v>
      </c>
      <c r="R8" s="30">
        <v>44.1</v>
      </c>
      <c r="S8" s="30">
        <v>1060.21</v>
      </c>
      <c r="T8" s="32">
        <f t="shared" ref="T8:T20" si="1">+B8*46.38+C8*27.83+D8*0.4638+E8*144+F8*24+G8*86.5+H8*1.44+I8*18.55+J8*0.52+K8*1.3+L8*1.59-M8-N8-O8-P8+Q8+R8+S8</f>
        <v>-3.0999999853520421E-3</v>
      </c>
      <c r="U8" s="1"/>
      <c r="V8" s="27">
        <f t="shared" ref="V8:V20" si="2">+A8</f>
        <v>44564</v>
      </c>
      <c r="W8" s="28">
        <f t="shared" ref="W8:W20" si="3">SUM(E8*100+F8*20+G8*60+H8+I8*7+K8*1.1167+L8*1.1167)</f>
        <v>48021.372407099996</v>
      </c>
      <c r="X8" s="28">
        <f t="shared" si="0"/>
        <v>23146.357599999999</v>
      </c>
    </row>
    <row r="9" spans="1:24" x14ac:dyDescent="0.25">
      <c r="A9" s="27">
        <v>44565</v>
      </c>
      <c r="B9" s="28">
        <v>195</v>
      </c>
      <c r="C9" s="28"/>
      <c r="D9" s="28"/>
      <c r="E9" s="28">
        <v>6</v>
      </c>
      <c r="F9" s="29">
        <v>297</v>
      </c>
      <c r="G9" s="28"/>
      <c r="H9" s="28">
        <v>50</v>
      </c>
      <c r="I9" s="28">
        <v>1</v>
      </c>
      <c r="J9" s="13">
        <v>3731</v>
      </c>
      <c r="K9" s="6">
        <v>653.154</v>
      </c>
      <c r="L9" s="28">
        <v>37978</v>
      </c>
      <c r="M9" s="30">
        <v>16969.75</v>
      </c>
      <c r="N9" s="30">
        <v>3373.92</v>
      </c>
      <c r="O9" s="30">
        <v>63646.400000000001</v>
      </c>
      <c r="P9" s="33">
        <v>326.06</v>
      </c>
      <c r="Q9" s="30">
        <v>430</v>
      </c>
      <c r="R9" s="30">
        <v>63</v>
      </c>
      <c r="S9" s="30">
        <v>3522.24</v>
      </c>
      <c r="T9" s="32">
        <f t="shared" si="1"/>
        <v>1.9999999449282768E-4</v>
      </c>
      <c r="U9" s="1"/>
      <c r="V9" s="27">
        <f t="shared" si="2"/>
        <v>44565</v>
      </c>
      <c r="W9" s="28">
        <f t="shared" si="3"/>
        <v>49736.4096718</v>
      </c>
      <c r="X9" s="28">
        <f t="shared" si="0"/>
        <v>23666.4077</v>
      </c>
    </row>
    <row r="10" spans="1:24" x14ac:dyDescent="0.25">
      <c r="A10" s="27">
        <v>44566</v>
      </c>
      <c r="B10" s="28">
        <v>233</v>
      </c>
      <c r="C10" s="28"/>
      <c r="D10" s="28"/>
      <c r="E10" s="28">
        <v>6</v>
      </c>
      <c r="F10" s="29">
        <v>303</v>
      </c>
      <c r="G10" s="28"/>
      <c r="H10" s="28">
        <v>80</v>
      </c>
      <c r="I10" s="28"/>
      <c r="J10" s="13">
        <v>4595</v>
      </c>
      <c r="K10" s="34">
        <v>325.952</v>
      </c>
      <c r="L10" s="28">
        <v>39949</v>
      </c>
      <c r="M10" s="30">
        <v>16816.78</v>
      </c>
      <c r="N10" s="30">
        <v>3698.09</v>
      </c>
      <c r="O10" s="30">
        <v>67191.23</v>
      </c>
      <c r="P10" s="31">
        <v>115.58</v>
      </c>
      <c r="Q10" s="30">
        <v>240</v>
      </c>
      <c r="R10" s="30">
        <v>46.2</v>
      </c>
      <c r="S10" s="30">
        <v>2145.69</v>
      </c>
      <c r="T10" s="32">
        <f t="shared" si="1"/>
        <v>-2.3999999807529093E-3</v>
      </c>
      <c r="U10" s="1"/>
      <c r="V10" s="27">
        <f t="shared" si="2"/>
        <v>44566</v>
      </c>
      <c r="W10" s="28">
        <f t="shared" si="3"/>
        <v>51715.038898400002</v>
      </c>
      <c r="X10" s="28">
        <f t="shared" si="0"/>
        <v>28431.236499999999</v>
      </c>
    </row>
    <row r="11" spans="1:24" x14ac:dyDescent="0.25">
      <c r="A11" s="27">
        <v>44567</v>
      </c>
      <c r="B11" s="28">
        <v>177</v>
      </c>
      <c r="C11" s="28"/>
      <c r="D11" s="28"/>
      <c r="E11" s="28">
        <v>13</v>
      </c>
      <c r="F11" s="29">
        <v>262</v>
      </c>
      <c r="G11" s="28">
        <v>2</v>
      </c>
      <c r="H11" s="28">
        <v>50</v>
      </c>
      <c r="I11" s="28"/>
      <c r="J11" s="13">
        <f>3143-60</f>
        <v>3083</v>
      </c>
      <c r="K11" s="34">
        <v>318.34199999999998</v>
      </c>
      <c r="L11" s="28">
        <f>32198+60</f>
        <v>32258</v>
      </c>
      <c r="M11" s="30">
        <v>21581.919999999998</v>
      </c>
      <c r="N11" s="30">
        <v>4318.08</v>
      </c>
      <c r="O11" s="30">
        <f>53560.86-60*0.52+60*1.59-2.1</f>
        <v>53622.960000000006</v>
      </c>
      <c r="P11" s="33">
        <v>124.96</v>
      </c>
      <c r="Q11" s="30">
        <v>1560</v>
      </c>
      <c r="R11" s="30">
        <f>46.2-2.1</f>
        <v>44.1</v>
      </c>
      <c r="S11" s="30">
        <v>8122.34</v>
      </c>
      <c r="T11" s="32">
        <f t="shared" si="1"/>
        <v>4.5999999911146006E-3</v>
      </c>
      <c r="U11" s="1"/>
      <c r="V11" s="27">
        <f t="shared" si="2"/>
        <v>44567</v>
      </c>
      <c r="W11" s="28">
        <f t="shared" si="3"/>
        <v>43088.001111400001</v>
      </c>
      <c r="X11" s="28">
        <f t="shared" si="0"/>
        <v>21142.786100000001</v>
      </c>
    </row>
    <row r="12" spans="1:24" x14ac:dyDescent="0.25">
      <c r="A12" s="27">
        <v>44568</v>
      </c>
      <c r="B12" s="28">
        <v>230</v>
      </c>
      <c r="C12" s="28"/>
      <c r="D12" s="28"/>
      <c r="E12" s="28">
        <v>19</v>
      </c>
      <c r="F12" s="29">
        <v>313</v>
      </c>
      <c r="G12" s="28"/>
      <c r="H12" s="28">
        <v>65</v>
      </c>
      <c r="I12" s="28"/>
      <c r="J12" s="13">
        <v>2716</v>
      </c>
      <c r="K12" s="34">
        <v>883.08199999999999</v>
      </c>
      <c r="L12" s="28">
        <v>36023</v>
      </c>
      <c r="M12" s="30">
        <v>18685.55</v>
      </c>
      <c r="N12" s="30">
        <v>5217.5200000000004</v>
      </c>
      <c r="O12" s="30">
        <v>60913.3</v>
      </c>
      <c r="P12" s="31">
        <v>115.95</v>
      </c>
      <c r="Q12" s="30">
        <v>1455</v>
      </c>
      <c r="R12" s="30">
        <v>52.5</v>
      </c>
      <c r="S12" s="30">
        <v>2578.92</v>
      </c>
      <c r="T12" s="32">
        <f t="shared" si="1"/>
        <v>-3.4000000023297616E-3</v>
      </c>
      <c r="U12" s="1"/>
      <c r="V12" s="27">
        <f t="shared" si="2"/>
        <v>44568</v>
      </c>
      <c r="W12" s="28">
        <f t="shared" si="3"/>
        <v>49438.021769400002</v>
      </c>
      <c r="X12" s="28">
        <f t="shared" si="0"/>
        <v>26032.957200000001</v>
      </c>
    </row>
    <row r="13" spans="1:24" x14ac:dyDescent="0.25">
      <c r="A13" s="27">
        <v>44569</v>
      </c>
      <c r="B13" s="28">
        <v>65</v>
      </c>
      <c r="C13" s="28"/>
      <c r="D13" s="28"/>
      <c r="E13" s="28">
        <v>3</v>
      </c>
      <c r="F13" s="29">
        <v>358</v>
      </c>
      <c r="G13" s="28"/>
      <c r="H13" s="28">
        <v>80</v>
      </c>
      <c r="I13" s="28"/>
      <c r="J13" s="13"/>
      <c r="K13" s="34">
        <v>220.44200000000001</v>
      </c>
      <c r="L13" s="28"/>
      <c r="M13" s="30">
        <v>13565.29</v>
      </c>
      <c r="N13" s="30"/>
      <c r="O13" s="30">
        <v>86.2</v>
      </c>
      <c r="P13" s="31">
        <v>16.79</v>
      </c>
      <c r="Q13" s="30">
        <v>35</v>
      </c>
      <c r="R13" s="30"/>
      <c r="S13" s="30">
        <v>1192.81</v>
      </c>
      <c r="T13" s="32">
        <f t="shared" si="1"/>
        <v>4.6000000004369213E-3</v>
      </c>
      <c r="U13" s="1"/>
      <c r="V13" s="27">
        <f t="shared" si="2"/>
        <v>44569</v>
      </c>
      <c r="W13" s="28">
        <f t="shared" si="3"/>
        <v>7786.1675814</v>
      </c>
      <c r="X13" s="28">
        <f t="shared" si="0"/>
        <v>6500</v>
      </c>
    </row>
    <row r="14" spans="1:24" x14ac:dyDescent="0.25">
      <c r="A14" s="27">
        <v>44571</v>
      </c>
      <c r="B14" s="28">
        <v>255</v>
      </c>
      <c r="C14" s="28"/>
      <c r="D14" s="28">
        <v>20</v>
      </c>
      <c r="E14" s="28">
        <v>6</v>
      </c>
      <c r="F14" s="29">
        <v>379</v>
      </c>
      <c r="G14" s="28"/>
      <c r="H14" s="28">
        <v>130</v>
      </c>
      <c r="I14" s="28"/>
      <c r="J14" s="13">
        <v>2426</v>
      </c>
      <c r="K14" s="34">
        <v>339.07299999999998</v>
      </c>
      <c r="L14" s="28">
        <v>41148</v>
      </c>
      <c r="M14" s="30">
        <v>18005.150000000001</v>
      </c>
      <c r="N14" s="30">
        <v>4748.7700000000004</v>
      </c>
      <c r="O14" s="30">
        <v>68460.679999999993</v>
      </c>
      <c r="P14" s="31">
        <v>293.66000000000003</v>
      </c>
      <c r="Q14" s="30">
        <v>575</v>
      </c>
      <c r="R14" s="30">
        <v>21</v>
      </c>
      <c r="S14" s="30">
        <v>1801.25</v>
      </c>
      <c r="T14" s="32">
        <f t="shared" si="1"/>
        <v>9.000000027299393E-4</v>
      </c>
      <c r="U14" s="1"/>
      <c r="V14" s="27">
        <f t="shared" si="2"/>
        <v>44571</v>
      </c>
      <c r="W14" s="28">
        <f t="shared" si="3"/>
        <v>54638.614419100006</v>
      </c>
      <c r="X14" s="28">
        <f t="shared" si="0"/>
        <v>28229.1142</v>
      </c>
    </row>
    <row r="15" spans="1:24" x14ac:dyDescent="0.25">
      <c r="A15" s="27">
        <v>44572</v>
      </c>
      <c r="B15" s="28">
        <v>220</v>
      </c>
      <c r="C15" s="28"/>
      <c r="D15" s="28"/>
      <c r="E15" s="28">
        <v>4</v>
      </c>
      <c r="F15" s="29">
        <v>352</v>
      </c>
      <c r="G15" s="28"/>
      <c r="H15" s="28">
        <v>30</v>
      </c>
      <c r="I15" s="28"/>
      <c r="J15" s="13">
        <v>3274</v>
      </c>
      <c r="K15" s="34">
        <v>637.78700000000003</v>
      </c>
      <c r="L15" s="28">
        <v>40616</v>
      </c>
      <c r="M15" s="30">
        <v>16500.62</v>
      </c>
      <c r="N15" s="30">
        <v>3521.55</v>
      </c>
      <c r="O15" s="30">
        <v>68053.740000000005</v>
      </c>
      <c r="P15" s="31">
        <v>162.33000000000001</v>
      </c>
      <c r="Q15" s="30">
        <v>695</v>
      </c>
      <c r="R15" s="30">
        <v>37.799999999999997</v>
      </c>
      <c r="S15" s="30">
        <v>1123.5899999999999</v>
      </c>
      <c r="T15" s="32">
        <f t="shared" si="1"/>
        <v>-6.9000000053165422E-3</v>
      </c>
      <c r="U15" s="1"/>
      <c r="V15" s="27">
        <f t="shared" si="2"/>
        <v>44572</v>
      </c>
      <c r="W15" s="28">
        <f t="shared" si="3"/>
        <v>53538.103942900008</v>
      </c>
      <c r="X15" s="28">
        <f t="shared" si="0"/>
        <v>25656.075799999999</v>
      </c>
    </row>
    <row r="16" spans="1:24" x14ac:dyDescent="0.25">
      <c r="A16" s="27">
        <v>44573</v>
      </c>
      <c r="B16" s="28">
        <v>233</v>
      </c>
      <c r="C16" s="28"/>
      <c r="D16" s="28"/>
      <c r="E16" s="28">
        <v>10</v>
      </c>
      <c r="F16" s="29">
        <v>289</v>
      </c>
      <c r="G16" s="28"/>
      <c r="H16" s="28">
        <v>120</v>
      </c>
      <c r="I16" s="28"/>
      <c r="J16" s="13">
        <v>1801</v>
      </c>
      <c r="K16" s="34">
        <v>675.31200000000001</v>
      </c>
      <c r="L16" s="28">
        <v>31791</v>
      </c>
      <c r="M16" s="30">
        <v>15337.02</v>
      </c>
      <c r="N16" s="30">
        <v>4934.25</v>
      </c>
      <c r="O16" s="30">
        <v>53539.03</v>
      </c>
      <c r="P16" s="31">
        <v>265.16000000000003</v>
      </c>
      <c r="Q16" s="30">
        <v>830</v>
      </c>
      <c r="R16" s="30">
        <v>14.7</v>
      </c>
      <c r="S16" s="30">
        <v>1513.31</v>
      </c>
      <c r="T16" s="32">
        <f t="shared" si="1"/>
        <v>5.5999999983669113E-3</v>
      </c>
      <c r="U16" s="1"/>
      <c r="V16" s="27">
        <f t="shared" si="2"/>
        <v>44573</v>
      </c>
      <c r="W16" s="28">
        <f t="shared" si="3"/>
        <v>43155.130610400003</v>
      </c>
      <c r="X16" s="28">
        <f t="shared" si="0"/>
        <v>25311.1767</v>
      </c>
    </row>
    <row r="17" spans="1:24" x14ac:dyDescent="0.25">
      <c r="A17" s="27">
        <v>44574</v>
      </c>
      <c r="B17" s="28">
        <v>221</v>
      </c>
      <c r="C17" s="28"/>
      <c r="D17" s="28"/>
      <c r="E17" s="28">
        <v>12</v>
      </c>
      <c r="F17" s="29">
        <v>274</v>
      </c>
      <c r="G17" s="28"/>
      <c r="H17" s="28">
        <v>130</v>
      </c>
      <c r="I17" s="28"/>
      <c r="J17" s="13">
        <v>1096</v>
      </c>
      <c r="K17" s="34">
        <v>1043.125</v>
      </c>
      <c r="L17" s="28">
        <v>28947</v>
      </c>
      <c r="M17" s="30">
        <v>15223.81</v>
      </c>
      <c r="N17" s="30">
        <v>5294.96</v>
      </c>
      <c r="O17" s="30">
        <v>48401.09</v>
      </c>
      <c r="P17" s="31">
        <v>92.76</v>
      </c>
      <c r="Q17" s="30">
        <v>925</v>
      </c>
      <c r="R17" s="30">
        <v>12.6</v>
      </c>
      <c r="S17" s="30">
        <v>1382.12</v>
      </c>
      <c r="T17" s="32">
        <f t="shared" si="1"/>
        <v>-7.4999999774263415E-3</v>
      </c>
      <c r="U17" s="1"/>
      <c r="V17" s="27">
        <f t="shared" si="2"/>
        <v>44574</v>
      </c>
      <c r="W17" s="28">
        <f t="shared" si="3"/>
        <v>40299.9725875</v>
      </c>
      <c r="X17" s="28">
        <f t="shared" si="0"/>
        <v>23323.903200000001</v>
      </c>
    </row>
    <row r="18" spans="1:24" x14ac:dyDescent="0.25">
      <c r="A18" s="27">
        <v>44575</v>
      </c>
      <c r="B18" s="28">
        <v>205</v>
      </c>
      <c r="C18" s="28"/>
      <c r="D18" s="28">
        <v>20</v>
      </c>
      <c r="E18" s="28">
        <v>19</v>
      </c>
      <c r="F18" s="29">
        <v>293</v>
      </c>
      <c r="G18" s="28">
        <v>2</v>
      </c>
      <c r="H18" s="28">
        <v>85</v>
      </c>
      <c r="I18" s="28"/>
      <c r="J18" s="13">
        <v>1980</v>
      </c>
      <c r="K18" s="34">
        <v>852.10299999999995</v>
      </c>
      <c r="L18" s="28">
        <v>34344</v>
      </c>
      <c r="M18" s="30">
        <v>14970.48</v>
      </c>
      <c r="N18" s="30">
        <v>4664.46</v>
      </c>
      <c r="O18" s="30">
        <v>58324.85</v>
      </c>
      <c r="P18" s="31">
        <v>168.14</v>
      </c>
      <c r="Q18" s="30">
        <v>205</v>
      </c>
      <c r="R18" s="30">
        <v>35.700000000000003</v>
      </c>
      <c r="S18" s="30">
        <v>1562.36</v>
      </c>
      <c r="T18" s="32">
        <f t="shared" si="1"/>
        <v>-1.0000000293075573E-4</v>
      </c>
      <c r="U18" s="1"/>
      <c r="V18" s="27">
        <f t="shared" si="2"/>
        <v>44575</v>
      </c>
      <c r="W18" s="28">
        <f t="shared" si="3"/>
        <v>47268.4882201</v>
      </c>
      <c r="X18" s="28">
        <f t="shared" si="0"/>
        <v>22731.065999999999</v>
      </c>
    </row>
    <row r="19" spans="1:24" x14ac:dyDescent="0.25">
      <c r="A19" s="27">
        <v>44576</v>
      </c>
      <c r="B19" s="28">
        <v>52</v>
      </c>
      <c r="C19" s="28"/>
      <c r="D19" s="28"/>
      <c r="E19" s="28"/>
      <c r="F19" s="29">
        <v>335</v>
      </c>
      <c r="G19" s="28"/>
      <c r="H19" s="28">
        <v>115</v>
      </c>
      <c r="I19" s="28"/>
      <c r="J19" s="13"/>
      <c r="K19" s="34">
        <v>328.66399999999999</v>
      </c>
      <c r="L19" s="28"/>
      <c r="M19" s="30">
        <v>10816.33</v>
      </c>
      <c r="N19" s="30"/>
      <c r="O19" s="30">
        <v>248.29</v>
      </c>
      <c r="P19" s="31"/>
      <c r="Q19" s="30">
        <v>20</v>
      </c>
      <c r="R19" s="30"/>
      <c r="S19" s="30"/>
      <c r="T19" s="32">
        <f t="shared" si="1"/>
        <v>3.2000000000778073E-3</v>
      </c>
      <c r="U19" s="1"/>
      <c r="V19" s="27">
        <f t="shared" si="2"/>
        <v>44576</v>
      </c>
      <c r="W19" s="28">
        <f t="shared" si="3"/>
        <v>7182.0190887999997</v>
      </c>
      <c r="X19" s="28">
        <f t="shared" si="0"/>
        <v>5200</v>
      </c>
    </row>
    <row r="20" spans="1:24" x14ac:dyDescent="0.25">
      <c r="A20" s="35"/>
      <c r="B20" s="36"/>
      <c r="C20" s="36"/>
      <c r="D20" s="36"/>
      <c r="E20" s="36"/>
      <c r="F20" s="37"/>
      <c r="G20" s="36"/>
      <c r="H20" s="36"/>
      <c r="I20" s="36"/>
      <c r="J20" s="38"/>
      <c r="K20" s="39"/>
      <c r="L20" s="36"/>
      <c r="M20" s="40"/>
      <c r="N20" s="40"/>
      <c r="O20" s="40"/>
      <c r="P20" s="41"/>
      <c r="Q20" s="40"/>
      <c r="R20" s="40"/>
      <c r="S20" s="40"/>
      <c r="T20" s="42">
        <f t="shared" si="1"/>
        <v>0</v>
      </c>
      <c r="U20" s="16"/>
      <c r="V20" s="35">
        <f t="shared" si="2"/>
        <v>0</v>
      </c>
      <c r="W20" s="36">
        <f t="shared" si="3"/>
        <v>0</v>
      </c>
      <c r="X20" s="36">
        <f t="shared" si="0"/>
        <v>0</v>
      </c>
    </row>
    <row r="21" spans="1:24" x14ac:dyDescent="0.25">
      <c r="A21" s="27"/>
      <c r="B21" s="43">
        <f t="shared" ref="B21:T21" si="4">SUM(B7:B20)</f>
        <v>2287</v>
      </c>
      <c r="C21" s="43">
        <f t="shared" si="4"/>
        <v>0</v>
      </c>
      <c r="D21" s="43">
        <f t="shared" si="4"/>
        <v>40</v>
      </c>
      <c r="E21" s="43">
        <f t="shared" si="4"/>
        <v>104</v>
      </c>
      <c r="F21" s="43">
        <f t="shared" si="4"/>
        <v>3798</v>
      </c>
      <c r="G21" s="43">
        <f t="shared" si="4"/>
        <v>4</v>
      </c>
      <c r="H21" s="43">
        <f t="shared" si="4"/>
        <v>975</v>
      </c>
      <c r="I21" s="43">
        <f t="shared" si="4"/>
        <v>1</v>
      </c>
      <c r="J21" s="44">
        <f t="shared" si="4"/>
        <v>27430</v>
      </c>
      <c r="K21" s="43">
        <f t="shared" si="4"/>
        <v>7753.7490000000007</v>
      </c>
      <c r="L21" s="43">
        <f t="shared" si="4"/>
        <v>359041</v>
      </c>
      <c r="M21" s="45">
        <f t="shared" si="4"/>
        <v>195294.79999999996</v>
      </c>
      <c r="N21" s="45">
        <f t="shared" si="4"/>
        <v>43321.299999999996</v>
      </c>
      <c r="O21" s="45">
        <f t="shared" si="4"/>
        <v>602241.74</v>
      </c>
      <c r="P21" s="45">
        <f t="shared" si="4"/>
        <v>1868.5300000000002</v>
      </c>
      <c r="Q21" s="45">
        <f t="shared" si="4"/>
        <v>7145</v>
      </c>
      <c r="R21" s="45">
        <f t="shared" si="4"/>
        <v>371.7</v>
      </c>
      <c r="S21" s="45">
        <f t="shared" si="4"/>
        <v>26004.840000000004</v>
      </c>
      <c r="T21" s="45">
        <f t="shared" si="4"/>
        <v>-4.2999999668893452E-3</v>
      </c>
      <c r="U21" s="43"/>
      <c r="V21" s="43"/>
      <c r="W21" s="43">
        <f>SUM(W7:W20)</f>
        <v>497181.69620830001</v>
      </c>
      <c r="X21" s="43">
        <f>SUM(X7:X20)</f>
        <v>259371.08100000001</v>
      </c>
    </row>
    <row r="22" spans="1:24" x14ac:dyDescent="0.25">
      <c r="A22" s="27"/>
      <c r="B22" s="43">
        <f>(B21*100)</f>
        <v>228700</v>
      </c>
      <c r="C22" s="43">
        <f>(C21*60)</f>
        <v>0</v>
      </c>
      <c r="D22" s="43">
        <f>(D21)</f>
        <v>40</v>
      </c>
      <c r="E22" s="43">
        <f>(E21*100)</f>
        <v>10400</v>
      </c>
      <c r="F22" s="46">
        <f>(F21*20)</f>
        <v>75960</v>
      </c>
      <c r="G22" s="43">
        <f>(G21*60)</f>
        <v>240</v>
      </c>
      <c r="H22" s="43">
        <f>(H21)</f>
        <v>975</v>
      </c>
      <c r="I22" s="43">
        <f>+I21*7</f>
        <v>7</v>
      </c>
      <c r="J22" s="44">
        <f>(J21*1.1167)</f>
        <v>30631.081000000002</v>
      </c>
      <c r="K22" s="47">
        <f>(K21*1.1167)</f>
        <v>8658.6115083000004</v>
      </c>
      <c r="L22" s="48">
        <f>(L21*1.1167)</f>
        <v>400941.08470000001</v>
      </c>
      <c r="M22" s="49"/>
      <c r="N22" s="49"/>
      <c r="O22" s="49"/>
      <c r="P22" s="49"/>
      <c r="Q22" s="49"/>
      <c r="R22" s="49"/>
      <c r="S22" s="49"/>
      <c r="T22" s="49"/>
      <c r="U22" s="49"/>
      <c r="V22" s="50" t="s">
        <v>35</v>
      </c>
      <c r="W22" s="43">
        <f>+D48+D49+D50+D51-W21</f>
        <v>0</v>
      </c>
      <c r="X22" s="43">
        <f>+D47-X21</f>
        <v>0</v>
      </c>
    </row>
    <row r="23" spans="1:24" x14ac:dyDescent="0.25">
      <c r="A23" s="27"/>
      <c r="B23" s="43"/>
      <c r="C23" s="43"/>
      <c r="D23" s="43"/>
      <c r="E23" s="43"/>
      <c r="F23" s="46"/>
      <c r="G23" s="43"/>
      <c r="H23" s="43"/>
      <c r="I23" s="43"/>
      <c r="J23" s="44"/>
      <c r="K23" s="47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50"/>
      <c r="W23" s="43"/>
      <c r="X23" s="43"/>
    </row>
    <row r="24" spans="1:24" x14ac:dyDescent="0.25">
      <c r="A24" s="22" t="s">
        <v>26</v>
      </c>
      <c r="B24" s="22" t="s">
        <v>27</v>
      </c>
      <c r="C24" s="22" t="s">
        <v>28</v>
      </c>
      <c r="D24" s="22" t="s">
        <v>29</v>
      </c>
      <c r="E24" s="22" t="s">
        <v>27</v>
      </c>
      <c r="F24" s="22" t="s">
        <v>30</v>
      </c>
      <c r="G24" s="22" t="s">
        <v>28</v>
      </c>
      <c r="H24" s="22" t="s">
        <v>29</v>
      </c>
      <c r="I24" s="22" t="s">
        <v>31</v>
      </c>
      <c r="J24" s="23" t="s">
        <v>32</v>
      </c>
      <c r="K24" s="24" t="s">
        <v>32</v>
      </c>
      <c r="L24" s="25" t="s">
        <v>32</v>
      </c>
      <c r="M24" s="22" t="s">
        <v>33</v>
      </c>
      <c r="N24" s="22" t="s">
        <v>33</v>
      </c>
      <c r="O24" s="22" t="s">
        <v>33</v>
      </c>
      <c r="P24" s="22" t="s">
        <v>33</v>
      </c>
      <c r="Q24" s="22" t="s">
        <v>33</v>
      </c>
      <c r="R24" s="22" t="s">
        <v>33</v>
      </c>
      <c r="S24" s="22" t="s">
        <v>33</v>
      </c>
      <c r="T24" s="22" t="s">
        <v>33</v>
      </c>
      <c r="U24" s="26"/>
      <c r="V24" s="22" t="s">
        <v>26</v>
      </c>
      <c r="W24" s="22" t="s">
        <v>11</v>
      </c>
      <c r="X24" s="22" t="s">
        <v>34</v>
      </c>
    </row>
    <row r="25" spans="1:24" x14ac:dyDescent="0.25">
      <c r="A25" s="27">
        <v>44578</v>
      </c>
      <c r="B25" s="28">
        <v>237</v>
      </c>
      <c r="C25" s="28"/>
      <c r="D25" s="28"/>
      <c r="E25" s="28">
        <v>6</v>
      </c>
      <c r="F25" s="29">
        <v>412</v>
      </c>
      <c r="G25" s="28"/>
      <c r="H25" s="28">
        <v>30</v>
      </c>
      <c r="I25" s="28"/>
      <c r="J25" s="13">
        <v>3483</v>
      </c>
      <c r="K25" s="34">
        <v>1219.3240000000001</v>
      </c>
      <c r="L25" s="28">
        <v>36652</v>
      </c>
      <c r="M25" s="30">
        <v>17870.990000000002</v>
      </c>
      <c r="N25" s="30">
        <v>5343.99</v>
      </c>
      <c r="O25" s="30">
        <v>61501.82</v>
      </c>
      <c r="P25" s="33">
        <v>92.76</v>
      </c>
      <c r="Q25" s="30">
        <v>565</v>
      </c>
      <c r="R25" s="30">
        <v>31.5</v>
      </c>
      <c r="S25" s="30">
        <v>752.83</v>
      </c>
      <c r="T25" s="32">
        <f t="shared" ref="T25:T38" si="5">+B25*46.38+C25*27.83+D25*0.4638+E25*144+F25*24+G25*86.5+H25*1.44+I25*18.55+J25*0.52+K25*1.3+L25*1.59-M25-N25-O25-P25+Q25+R25+S25</f>
        <v>-8.800000002906927E-3</v>
      </c>
      <c r="U25" s="51"/>
      <c r="V25" s="27">
        <f>+A25</f>
        <v>44578</v>
      </c>
      <c r="W25" s="28">
        <f t="shared" ref="W25:W35" si="6">SUM(E25*100+F25*20+G25*60+H25+I25*7+K25*1.1167+L25*1.1167)</f>
        <v>51160.907510799996</v>
      </c>
      <c r="X25" s="28">
        <f t="shared" ref="X25:X35" si="7">SUM(B25*100+C25*60+D25+J25*1.1167)</f>
        <v>27589.466100000001</v>
      </c>
    </row>
    <row r="26" spans="1:24" x14ac:dyDescent="0.25">
      <c r="A26" s="27">
        <v>44579</v>
      </c>
      <c r="B26" s="28">
        <v>236</v>
      </c>
      <c r="C26" s="28"/>
      <c r="D26" s="28"/>
      <c r="E26" s="28">
        <v>6</v>
      </c>
      <c r="F26" s="29">
        <v>356</v>
      </c>
      <c r="G26" s="28"/>
      <c r="H26" s="28">
        <v>180</v>
      </c>
      <c r="I26" s="28"/>
      <c r="J26" s="13">
        <v>2512</v>
      </c>
      <c r="K26" s="34">
        <v>751.81200000000001</v>
      </c>
      <c r="L26" s="52">
        <v>39355</v>
      </c>
      <c r="M26" s="30">
        <v>16660.63</v>
      </c>
      <c r="N26" s="30">
        <v>6474.49</v>
      </c>
      <c r="O26" s="30">
        <v>64777.5</v>
      </c>
      <c r="P26" s="31">
        <v>294.04000000000002</v>
      </c>
      <c r="Q26" s="30">
        <v>800</v>
      </c>
      <c r="R26" s="30">
        <v>44.1</v>
      </c>
      <c r="S26" s="30">
        <v>1891.63</v>
      </c>
      <c r="T26" s="32">
        <f t="shared" si="5"/>
        <v>-4.4000000002597517E-3</v>
      </c>
      <c r="U26" s="30"/>
      <c r="V26" s="27">
        <f t="shared" ref="V26:V38" si="8">+A26</f>
        <v>44579</v>
      </c>
      <c r="W26" s="28">
        <f t="shared" si="6"/>
        <v>52687.276960399999</v>
      </c>
      <c r="X26" s="28">
        <f t="shared" si="7"/>
        <v>26405.150399999999</v>
      </c>
    </row>
    <row r="27" spans="1:24" x14ac:dyDescent="0.25">
      <c r="A27" s="27">
        <v>44580</v>
      </c>
      <c r="B27" s="28">
        <v>210</v>
      </c>
      <c r="C27" s="28"/>
      <c r="D27" s="28"/>
      <c r="E27" s="28">
        <v>10</v>
      </c>
      <c r="F27" s="29">
        <v>267</v>
      </c>
      <c r="G27" s="28"/>
      <c r="H27" s="28">
        <v>70</v>
      </c>
      <c r="I27" s="28"/>
      <c r="J27" s="13">
        <v>3269</v>
      </c>
      <c r="K27" s="34">
        <v>1069.761</v>
      </c>
      <c r="L27" s="52">
        <v>35787</v>
      </c>
      <c r="M27" s="30">
        <v>15262.56</v>
      </c>
      <c r="N27" s="30">
        <v>4211.3999999999996</v>
      </c>
      <c r="O27" s="30">
        <v>59586.81</v>
      </c>
      <c r="P27" s="31">
        <v>46.38</v>
      </c>
      <c r="Q27" s="30">
        <v>465</v>
      </c>
      <c r="R27" s="30">
        <v>48.3</v>
      </c>
      <c r="S27" s="30">
        <v>913.35</v>
      </c>
      <c r="T27" s="32">
        <f t="shared" si="5"/>
        <v>-7.0000000107484084E-4</v>
      </c>
      <c r="U27" s="30"/>
      <c r="V27" s="27">
        <f t="shared" si="8"/>
        <v>44580</v>
      </c>
      <c r="W27" s="28">
        <f t="shared" si="6"/>
        <v>47567.9450087</v>
      </c>
      <c r="X27" s="28">
        <f t="shared" si="7"/>
        <v>24650.492299999998</v>
      </c>
    </row>
    <row r="28" spans="1:24" x14ac:dyDescent="0.25">
      <c r="A28" s="27">
        <v>44581</v>
      </c>
      <c r="B28" s="28">
        <v>200</v>
      </c>
      <c r="C28" s="28"/>
      <c r="D28" s="28"/>
      <c r="E28" s="28">
        <v>11</v>
      </c>
      <c r="F28" s="29">
        <v>314</v>
      </c>
      <c r="G28" s="28"/>
      <c r="H28" s="28">
        <v>90</v>
      </c>
      <c r="I28" s="28"/>
      <c r="J28" s="13">
        <v>4421</v>
      </c>
      <c r="K28" s="6">
        <v>410.649</v>
      </c>
      <c r="L28" s="52">
        <v>32223</v>
      </c>
      <c r="M28" s="30">
        <v>17252.599999999999</v>
      </c>
      <c r="N28" s="30">
        <v>3835.44</v>
      </c>
      <c r="O28" s="30">
        <v>54273</v>
      </c>
      <c r="P28" s="33">
        <v>92.76</v>
      </c>
      <c r="Q28" s="30">
        <v>705</v>
      </c>
      <c r="R28" s="30">
        <v>42</v>
      </c>
      <c r="S28" s="30">
        <v>2113.86</v>
      </c>
      <c r="T28" s="32">
        <f t="shared" si="5"/>
        <v>-6.3000000068313966E-3</v>
      </c>
      <c r="U28" s="30"/>
      <c r="V28" s="27">
        <f t="shared" si="8"/>
        <v>44581</v>
      </c>
      <c r="W28" s="28">
        <f t="shared" si="6"/>
        <v>43911.995838300005</v>
      </c>
      <c r="X28" s="28">
        <f t="shared" si="7"/>
        <v>24936.930700000001</v>
      </c>
    </row>
    <row r="29" spans="1:24" x14ac:dyDescent="0.25">
      <c r="A29" s="27">
        <v>44582</v>
      </c>
      <c r="B29" s="28">
        <v>214</v>
      </c>
      <c r="C29" s="28"/>
      <c r="D29" s="28"/>
      <c r="E29" s="28">
        <v>19</v>
      </c>
      <c r="F29" s="29">
        <v>344</v>
      </c>
      <c r="G29" s="28"/>
      <c r="H29" s="28"/>
      <c r="I29" s="28"/>
      <c r="J29" s="13">
        <v>2363</v>
      </c>
      <c r="K29" s="34">
        <v>1133.6310000000001</v>
      </c>
      <c r="L29" s="52">
        <v>30854</v>
      </c>
      <c r="M29" s="30">
        <v>17470.25</v>
      </c>
      <c r="N29" s="30">
        <v>5761.58</v>
      </c>
      <c r="O29" s="30">
        <v>51813.21</v>
      </c>
      <c r="P29" s="33">
        <v>185.52</v>
      </c>
      <c r="Q29" s="30">
        <v>655</v>
      </c>
      <c r="R29" s="30">
        <v>31.5</v>
      </c>
      <c r="S29" s="30">
        <v>1866.4</v>
      </c>
      <c r="T29" s="32">
        <f t="shared" si="5"/>
        <v>3.0000000242580427E-4</v>
      </c>
      <c r="U29" s="30"/>
      <c r="V29" s="27">
        <f t="shared" si="8"/>
        <v>44582</v>
      </c>
      <c r="W29" s="28">
        <f t="shared" si="6"/>
        <v>44500.587537700005</v>
      </c>
      <c r="X29" s="28">
        <f t="shared" si="7"/>
        <v>24038.7621</v>
      </c>
    </row>
    <row r="30" spans="1:24" x14ac:dyDescent="0.25">
      <c r="A30" s="27">
        <v>44583</v>
      </c>
      <c r="B30" s="28">
        <v>68</v>
      </c>
      <c r="C30" s="28"/>
      <c r="D30" s="28"/>
      <c r="E30" s="28">
        <v>6</v>
      </c>
      <c r="F30" s="29">
        <v>402</v>
      </c>
      <c r="G30" s="28"/>
      <c r="H30" s="28">
        <v>40</v>
      </c>
      <c r="I30" s="28"/>
      <c r="J30" s="13">
        <v>178</v>
      </c>
      <c r="K30" s="34">
        <v>317.738</v>
      </c>
      <c r="L30" s="52"/>
      <c r="M30" s="30">
        <v>14462.12</v>
      </c>
      <c r="N30" s="30"/>
      <c r="O30" s="30">
        <v>237.94</v>
      </c>
      <c r="P30" s="33"/>
      <c r="Q30" s="30">
        <v>265</v>
      </c>
      <c r="R30" s="30">
        <v>75</v>
      </c>
      <c r="S30" s="30">
        <v>131</v>
      </c>
      <c r="T30" s="32">
        <f t="shared" si="5"/>
        <v>-6.0000000070203896E-4</v>
      </c>
      <c r="U30" s="30"/>
      <c r="V30" s="27">
        <f t="shared" si="8"/>
        <v>44583</v>
      </c>
      <c r="W30" s="28">
        <f t="shared" si="6"/>
        <v>9034.8180245999993</v>
      </c>
      <c r="X30" s="28">
        <f t="shared" si="7"/>
        <v>6998.7726000000002</v>
      </c>
    </row>
    <row r="31" spans="1:24" x14ac:dyDescent="0.25">
      <c r="A31" s="27">
        <v>44585</v>
      </c>
      <c r="B31" s="28">
        <v>231</v>
      </c>
      <c r="C31" s="28"/>
      <c r="D31" s="28"/>
      <c r="E31" s="28">
        <v>5</v>
      </c>
      <c r="F31" s="29">
        <v>563</v>
      </c>
      <c r="G31" s="28"/>
      <c r="H31" s="28">
        <v>50</v>
      </c>
      <c r="I31" s="28"/>
      <c r="J31" s="13">
        <v>1293</v>
      </c>
      <c r="K31" s="34">
        <v>1070.491</v>
      </c>
      <c r="L31" s="52">
        <v>62802</v>
      </c>
      <c r="M31" s="30">
        <v>22590.19</v>
      </c>
      <c r="N31" s="30">
        <v>3282.98</v>
      </c>
      <c r="O31" s="30">
        <v>102512.51</v>
      </c>
      <c r="P31" s="33">
        <v>139.13999999999999</v>
      </c>
      <c r="Q31" s="30">
        <v>800</v>
      </c>
      <c r="R31" s="30">
        <v>93.9</v>
      </c>
      <c r="S31" s="30">
        <v>693.97</v>
      </c>
      <c r="T31" s="32">
        <f t="shared" si="5"/>
        <v>8.3000000055335477E-3</v>
      </c>
      <c r="U31" s="30"/>
      <c r="V31" s="27">
        <f t="shared" si="8"/>
        <v>44585</v>
      </c>
      <c r="W31" s="28">
        <f t="shared" si="6"/>
        <v>83136.410699700005</v>
      </c>
      <c r="X31" s="28">
        <f t="shared" si="7"/>
        <v>24543.893100000001</v>
      </c>
    </row>
    <row r="32" spans="1:24" x14ac:dyDescent="0.25">
      <c r="A32" s="27">
        <v>44586</v>
      </c>
      <c r="B32" s="28"/>
      <c r="C32" s="28"/>
      <c r="D32" s="28"/>
      <c r="E32" s="28"/>
      <c r="F32" s="29"/>
      <c r="G32" s="28"/>
      <c r="H32" s="28"/>
      <c r="I32" s="28"/>
      <c r="J32" s="13">
        <v>200</v>
      </c>
      <c r="K32" s="34"/>
      <c r="L32" s="52"/>
      <c r="M32" s="30"/>
      <c r="N32" s="30"/>
      <c r="O32" s="30">
        <v>179</v>
      </c>
      <c r="P32" s="33"/>
      <c r="Q32" s="30"/>
      <c r="R32" s="30">
        <v>75</v>
      </c>
      <c r="S32" s="30"/>
      <c r="T32" s="32">
        <f t="shared" si="5"/>
        <v>0</v>
      </c>
      <c r="U32" s="30"/>
      <c r="V32" s="27">
        <f t="shared" si="8"/>
        <v>44586</v>
      </c>
      <c r="W32" s="28">
        <f t="shared" si="6"/>
        <v>0</v>
      </c>
      <c r="X32" s="28">
        <f t="shared" si="7"/>
        <v>223.34</v>
      </c>
    </row>
    <row r="33" spans="1:24" x14ac:dyDescent="0.25">
      <c r="A33" s="27">
        <v>44587</v>
      </c>
      <c r="B33" s="28">
        <v>163</v>
      </c>
      <c r="C33" s="28"/>
      <c r="D33" s="28"/>
      <c r="E33" s="28">
        <v>8</v>
      </c>
      <c r="F33" s="29">
        <v>401</v>
      </c>
      <c r="G33" s="28">
        <v>2</v>
      </c>
      <c r="H33" s="28">
        <v>85</v>
      </c>
      <c r="I33" s="28"/>
      <c r="J33" s="13">
        <v>4261</v>
      </c>
      <c r="K33" s="34">
        <v>1536.2660000000001</v>
      </c>
      <c r="L33" s="52">
        <v>44004</v>
      </c>
      <c r="M33" s="30">
        <v>17444.72</v>
      </c>
      <c r="N33" s="30">
        <v>4620.67</v>
      </c>
      <c r="O33" s="30">
        <v>73226.95</v>
      </c>
      <c r="P33" s="33">
        <v>69.47</v>
      </c>
      <c r="Q33" s="30">
        <v>685</v>
      </c>
      <c r="R33" s="30">
        <v>21</v>
      </c>
      <c r="S33" s="30">
        <v>1845.25</v>
      </c>
      <c r="T33" s="32">
        <f t="shared" si="5"/>
        <v>5.8000000149149855E-3</v>
      </c>
      <c r="U33" s="30"/>
      <c r="V33" s="27">
        <f t="shared" si="8"/>
        <v>44587</v>
      </c>
      <c r="W33" s="28">
        <f t="shared" si="6"/>
        <v>59879.815042199996</v>
      </c>
      <c r="X33" s="28">
        <f t="shared" si="7"/>
        <v>21058.258699999998</v>
      </c>
    </row>
    <row r="34" spans="1:24" x14ac:dyDescent="0.25">
      <c r="A34" s="27">
        <v>44588</v>
      </c>
      <c r="B34" s="28">
        <v>229</v>
      </c>
      <c r="C34" s="28"/>
      <c r="D34" s="28">
        <v>20</v>
      </c>
      <c r="E34" s="28">
        <v>27</v>
      </c>
      <c r="F34" s="29">
        <v>392</v>
      </c>
      <c r="G34" s="28"/>
      <c r="H34" s="28">
        <v>20</v>
      </c>
      <c r="I34" s="28"/>
      <c r="J34" s="13">
        <v>3823</v>
      </c>
      <c r="K34" s="34">
        <v>322.05399999999997</v>
      </c>
      <c r="L34" s="52">
        <v>34642</v>
      </c>
      <c r="M34" s="30">
        <v>19227.75</v>
      </c>
      <c r="N34" s="30">
        <v>6153.72</v>
      </c>
      <c r="O34" s="30">
        <v>57897.34</v>
      </c>
      <c r="P34" s="33">
        <v>235.28</v>
      </c>
      <c r="Q34" s="30">
        <v>570</v>
      </c>
      <c r="R34" s="30">
        <v>39.9</v>
      </c>
      <c r="S34" s="30">
        <v>1461.68</v>
      </c>
      <c r="T34" s="32">
        <f t="shared" si="5"/>
        <v>-3.7999999942712748E-3</v>
      </c>
      <c r="U34" s="30"/>
      <c r="V34" s="27">
        <f t="shared" si="8"/>
        <v>44588</v>
      </c>
      <c r="W34" s="28">
        <f t="shared" si="6"/>
        <v>49604.359101800001</v>
      </c>
      <c r="X34" s="28">
        <f t="shared" si="7"/>
        <v>27189.144100000001</v>
      </c>
    </row>
    <row r="35" spans="1:24" x14ac:dyDescent="0.25">
      <c r="A35" s="27">
        <v>44589</v>
      </c>
      <c r="B35" s="28">
        <v>238</v>
      </c>
      <c r="C35" s="28"/>
      <c r="D35" s="28"/>
      <c r="E35" s="28">
        <v>22</v>
      </c>
      <c r="F35" s="29">
        <v>352</v>
      </c>
      <c r="G35" s="28"/>
      <c r="H35" s="28">
        <v>95</v>
      </c>
      <c r="I35" s="28">
        <v>1</v>
      </c>
      <c r="J35" s="13">
        <v>4588</v>
      </c>
      <c r="K35" s="34">
        <v>437.36500000000001</v>
      </c>
      <c r="L35" s="52">
        <v>37823</v>
      </c>
      <c r="M35" s="30">
        <v>17683.189999999999</v>
      </c>
      <c r="N35" s="30">
        <v>5513.14</v>
      </c>
      <c r="O35" s="30">
        <v>65860.05</v>
      </c>
      <c r="P35" s="33">
        <v>109.76</v>
      </c>
      <c r="Q35" s="30">
        <v>955</v>
      </c>
      <c r="R35" s="30">
        <v>37.799999999999997</v>
      </c>
      <c r="S35" s="30">
        <v>2270.65</v>
      </c>
      <c r="T35" s="32">
        <f t="shared" si="5"/>
        <v>4.4999999931860657E-3</v>
      </c>
      <c r="U35" s="30"/>
      <c r="V35" s="27">
        <f t="shared" si="8"/>
        <v>44589</v>
      </c>
      <c r="W35" s="28">
        <f t="shared" si="6"/>
        <v>52067.349595499996</v>
      </c>
      <c r="X35" s="28">
        <f t="shared" si="7"/>
        <v>28923.419600000001</v>
      </c>
    </row>
    <row r="36" spans="1:24" x14ac:dyDescent="0.25">
      <c r="A36" s="27">
        <v>44590</v>
      </c>
      <c r="B36" s="28">
        <v>61</v>
      </c>
      <c r="C36" s="28"/>
      <c r="D36" s="28"/>
      <c r="E36" s="28"/>
      <c r="F36" s="29">
        <v>412</v>
      </c>
      <c r="G36" s="28"/>
      <c r="H36" s="28">
        <v>60</v>
      </c>
      <c r="I36" s="28"/>
      <c r="J36" s="13"/>
      <c r="K36" s="34">
        <v>156.50200000000001</v>
      </c>
      <c r="L36" s="52"/>
      <c r="M36" s="30">
        <v>14251.7</v>
      </c>
      <c r="N36" s="30"/>
      <c r="O36" s="30"/>
      <c r="P36" s="33"/>
      <c r="Q36" s="30">
        <v>25</v>
      </c>
      <c r="R36" s="30"/>
      <c r="S36" s="30">
        <v>1219.67</v>
      </c>
      <c r="T36" s="32">
        <f t="shared" si="5"/>
        <v>2.599999999802094E-3</v>
      </c>
      <c r="U36" s="30"/>
      <c r="V36" s="27">
        <f t="shared" si="8"/>
        <v>44590</v>
      </c>
      <c r="W36" s="28">
        <f>SUM(E36*100+F36*20+G36*60+H36+I36*7+K36*1.1167+L36*1.1167)</f>
        <v>8474.7657834000001</v>
      </c>
      <c r="X36" s="28">
        <f>SUM(B36*100+C36*60+D36+J36*1.1167)</f>
        <v>6100</v>
      </c>
    </row>
    <row r="37" spans="1:24" x14ac:dyDescent="0.25">
      <c r="A37" s="27">
        <v>44592</v>
      </c>
      <c r="B37" s="28">
        <v>264</v>
      </c>
      <c r="C37" s="28"/>
      <c r="D37" s="28"/>
      <c r="E37" s="28">
        <v>10</v>
      </c>
      <c r="F37" s="29">
        <v>448</v>
      </c>
      <c r="G37" s="28"/>
      <c r="H37" s="28">
        <v>80</v>
      </c>
      <c r="I37" s="28"/>
      <c r="J37" s="13">
        <v>2816</v>
      </c>
      <c r="K37" s="34">
        <v>901.94500000000005</v>
      </c>
      <c r="L37" s="52">
        <v>45915</v>
      </c>
      <c r="M37" s="30">
        <v>19797.57</v>
      </c>
      <c r="N37" s="30">
        <v>5674.24</v>
      </c>
      <c r="O37" s="30">
        <v>77391.78</v>
      </c>
      <c r="P37" s="33">
        <v>202.52</v>
      </c>
      <c r="Q37" s="30">
        <v>1445</v>
      </c>
      <c r="R37" s="30">
        <v>44.1</v>
      </c>
      <c r="S37" s="30">
        <v>1383.79</v>
      </c>
      <c r="T37" s="32">
        <f t="shared" si="5"/>
        <v>-1.4999999939391273E-3</v>
      </c>
      <c r="U37" s="30"/>
      <c r="V37" s="27">
        <f t="shared" si="8"/>
        <v>44592</v>
      </c>
      <c r="W37" s="28">
        <f>SUM(E37*100+F37*20+G37*60+H37+I37*7+K37*1.1167+L37*1.1167)</f>
        <v>62320.482481500003</v>
      </c>
      <c r="X37" s="28">
        <f>SUM(B37*100+C37*60+D37+J37*1.1167)</f>
        <v>29544.627199999999</v>
      </c>
    </row>
    <row r="38" spans="1:24" x14ac:dyDescent="0.25">
      <c r="A38" s="35"/>
      <c r="B38" s="36"/>
      <c r="C38" s="36"/>
      <c r="D38" s="36"/>
      <c r="E38" s="36"/>
      <c r="F38" s="37"/>
      <c r="G38" s="36"/>
      <c r="H38" s="36"/>
      <c r="I38" s="36"/>
      <c r="J38" s="38"/>
      <c r="K38" s="39"/>
      <c r="L38" s="53"/>
      <c r="M38" s="40"/>
      <c r="N38" s="40"/>
      <c r="O38" s="40"/>
      <c r="P38" s="54"/>
      <c r="Q38" s="40"/>
      <c r="R38" s="40"/>
      <c r="S38" s="40"/>
      <c r="T38" s="42">
        <f t="shared" si="5"/>
        <v>0</v>
      </c>
      <c r="U38" s="40"/>
      <c r="V38" s="35">
        <f t="shared" si="8"/>
        <v>0</v>
      </c>
      <c r="W38" s="36">
        <f>SUM(E38*100+F38*20+G38*60+H38+I38*7+K38*1.1167+L38*1.1167)</f>
        <v>0</v>
      </c>
      <c r="X38" s="36">
        <f>SUM(B38*100+C38*60+D38+J38*1.1167)</f>
        <v>0</v>
      </c>
    </row>
    <row r="39" spans="1:24" x14ac:dyDescent="0.25">
      <c r="A39" s="50" t="s">
        <v>36</v>
      </c>
      <c r="B39" s="43">
        <f>SUM(B25:B38)</f>
        <v>2351</v>
      </c>
      <c r="C39" s="43">
        <f t="shared" ref="C39:X39" si="9">SUM(C25:C38)</f>
        <v>0</v>
      </c>
      <c r="D39" s="43">
        <f t="shared" si="9"/>
        <v>20</v>
      </c>
      <c r="E39" s="43">
        <f t="shared" si="9"/>
        <v>130</v>
      </c>
      <c r="F39" s="43">
        <f t="shared" si="9"/>
        <v>4663</v>
      </c>
      <c r="G39" s="43">
        <f t="shared" si="9"/>
        <v>2</v>
      </c>
      <c r="H39" s="43">
        <f t="shared" si="9"/>
        <v>800</v>
      </c>
      <c r="I39" s="43">
        <f t="shared" si="9"/>
        <v>1</v>
      </c>
      <c r="J39" s="43">
        <f t="shared" si="9"/>
        <v>33207</v>
      </c>
      <c r="K39" s="43">
        <f t="shared" si="9"/>
        <v>9327.5380000000005</v>
      </c>
      <c r="L39" s="43">
        <f t="shared" si="9"/>
        <v>400057</v>
      </c>
      <c r="M39" s="43">
        <f t="shared" si="9"/>
        <v>209974.27000000002</v>
      </c>
      <c r="N39" s="43">
        <f t="shared" si="9"/>
        <v>50871.65</v>
      </c>
      <c r="O39" s="43">
        <f t="shared" si="9"/>
        <v>669257.91000000015</v>
      </c>
      <c r="P39" s="43">
        <f t="shared" si="9"/>
        <v>1467.63</v>
      </c>
      <c r="Q39" s="43">
        <f t="shared" si="9"/>
        <v>7935</v>
      </c>
      <c r="R39" s="43">
        <f t="shared" si="9"/>
        <v>584.09999999999991</v>
      </c>
      <c r="S39" s="43">
        <f t="shared" si="9"/>
        <v>16544.079999999998</v>
      </c>
      <c r="T39" s="43">
        <f t="shared" si="9"/>
        <v>-4.59999998412286E-3</v>
      </c>
      <c r="U39" s="43"/>
      <c r="V39" s="43"/>
      <c r="W39" s="43">
        <f t="shared" si="9"/>
        <v>564346.7135845999</v>
      </c>
      <c r="X39" s="43">
        <f t="shared" si="9"/>
        <v>272202.25690000004</v>
      </c>
    </row>
    <row r="40" spans="1:24" x14ac:dyDescent="0.25">
      <c r="A40" s="55" t="s">
        <v>37</v>
      </c>
      <c r="B40" s="56">
        <f>(B39*100)</f>
        <v>235100</v>
      </c>
      <c r="C40" s="56">
        <f>(C39*60)</f>
        <v>0</v>
      </c>
      <c r="D40" s="56">
        <f>(D39)</f>
        <v>20</v>
      </c>
      <c r="E40" s="56">
        <f>(E39*100)</f>
        <v>13000</v>
      </c>
      <c r="F40" s="56">
        <f>(F39*20)</f>
        <v>93260</v>
      </c>
      <c r="G40" s="56">
        <f>(G39*60)</f>
        <v>120</v>
      </c>
      <c r="H40" s="56">
        <f>(H39)</f>
        <v>800</v>
      </c>
      <c r="I40" s="56">
        <f>+I39*7</f>
        <v>7</v>
      </c>
      <c r="J40" s="57">
        <f>(J39*1.1167)</f>
        <v>37082.2569</v>
      </c>
      <c r="K40" s="58">
        <f>(K39*1.1167)</f>
        <v>10416.061684600001</v>
      </c>
      <c r="L40" s="59">
        <f>(L39*1.1167)</f>
        <v>446743.6519</v>
      </c>
      <c r="M40" s="60"/>
      <c r="N40" s="60"/>
      <c r="O40" s="60"/>
      <c r="P40" s="60"/>
      <c r="Q40" s="60"/>
      <c r="R40" s="60"/>
      <c r="S40" s="60"/>
      <c r="T40" s="60"/>
      <c r="U40" s="56"/>
      <c r="V40" s="61" t="s">
        <v>35</v>
      </c>
      <c r="W40" s="56">
        <f>+L48+L49+L50+L51-W39</f>
        <v>0</v>
      </c>
      <c r="X40" s="56">
        <f>+L47-X39</f>
        <v>0</v>
      </c>
    </row>
    <row r="41" spans="1:24" ht="26.25" x14ac:dyDescent="0.25">
      <c r="A41" s="62" t="s">
        <v>38</v>
      </c>
      <c r="B41" s="43">
        <f>(B21+B39)</f>
        <v>4638</v>
      </c>
      <c r="C41" s="43">
        <f t="shared" ref="C41:X41" si="10">(C21+C39)</f>
        <v>0</v>
      </c>
      <c r="D41" s="43">
        <f t="shared" si="10"/>
        <v>60</v>
      </c>
      <c r="E41" s="43">
        <f t="shared" si="10"/>
        <v>234</v>
      </c>
      <c r="F41" s="43">
        <f t="shared" si="10"/>
        <v>8461</v>
      </c>
      <c r="G41" s="43">
        <f t="shared" si="10"/>
        <v>6</v>
      </c>
      <c r="H41" s="43">
        <f t="shared" si="10"/>
        <v>1775</v>
      </c>
      <c r="I41" s="43">
        <f t="shared" si="10"/>
        <v>2</v>
      </c>
      <c r="J41" s="43">
        <f t="shared" si="10"/>
        <v>60637</v>
      </c>
      <c r="K41" s="45">
        <f t="shared" si="10"/>
        <v>17081.287</v>
      </c>
      <c r="L41" s="43">
        <f t="shared" si="10"/>
        <v>759098</v>
      </c>
      <c r="M41" s="43">
        <f t="shared" si="10"/>
        <v>405269.06999999995</v>
      </c>
      <c r="N41" s="43">
        <f t="shared" si="10"/>
        <v>94192.95</v>
      </c>
      <c r="O41" s="43">
        <f t="shared" si="10"/>
        <v>1271499.6500000001</v>
      </c>
      <c r="P41" s="43">
        <f t="shared" si="10"/>
        <v>3336.1600000000003</v>
      </c>
      <c r="Q41" s="43">
        <f t="shared" si="10"/>
        <v>15080</v>
      </c>
      <c r="R41" s="43">
        <f t="shared" si="10"/>
        <v>955.8</v>
      </c>
      <c r="S41" s="43">
        <f t="shared" si="10"/>
        <v>42548.92</v>
      </c>
      <c r="T41" s="43">
        <f t="shared" si="10"/>
        <v>-8.8999999510122052E-3</v>
      </c>
      <c r="U41" s="43"/>
      <c r="V41" s="43"/>
      <c r="W41" s="43">
        <f t="shared" si="10"/>
        <v>1061528.4097928999</v>
      </c>
      <c r="X41" s="43">
        <f t="shared" si="10"/>
        <v>531573.33790000004</v>
      </c>
    </row>
    <row r="42" spans="1:24" x14ac:dyDescent="0.25">
      <c r="A42" s="55" t="s">
        <v>37</v>
      </c>
      <c r="B42" s="56">
        <f>(B41*100)</f>
        <v>463800</v>
      </c>
      <c r="C42" s="56">
        <f>(C41*60)</f>
        <v>0</v>
      </c>
      <c r="D42" s="56">
        <f>(D41)</f>
        <v>60</v>
      </c>
      <c r="E42" s="56">
        <f>(E41*100)</f>
        <v>23400</v>
      </c>
      <c r="F42" s="63">
        <f>(F41*20)</f>
        <v>169220</v>
      </c>
      <c r="G42" s="56">
        <f>(G41*60)</f>
        <v>360</v>
      </c>
      <c r="H42" s="56">
        <f>(H41)</f>
        <v>1775</v>
      </c>
      <c r="I42" s="56">
        <f>+I41*7</f>
        <v>14</v>
      </c>
      <c r="J42" s="57">
        <f>(J41*1.1167)</f>
        <v>67713.337899999999</v>
      </c>
      <c r="K42" s="58">
        <f>(K41*1.1167)</f>
        <v>19074.673192900002</v>
      </c>
      <c r="L42" s="59">
        <f>(L41*1.1167)</f>
        <v>847684.73660000006</v>
      </c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56">
        <f>+D56+D57+D58+D59-W41</f>
        <v>0</v>
      </c>
      <c r="X42" s="56">
        <f>+D55-X41</f>
        <v>0</v>
      </c>
    </row>
    <row r="43" spans="1:24" x14ac:dyDescent="0.25">
      <c r="A43" s="51"/>
      <c r="B43" s="51"/>
      <c r="C43" s="51"/>
      <c r="D43" s="51"/>
      <c r="E43" s="51"/>
      <c r="F43" s="64"/>
      <c r="G43" s="51"/>
      <c r="H43" s="51"/>
      <c r="I43" s="51"/>
      <c r="J43" s="13"/>
      <c r="K43" s="65"/>
      <c r="L43" s="66"/>
      <c r="M43" s="67"/>
      <c r="N43" s="67"/>
      <c r="O43" s="67"/>
      <c r="P43" s="67"/>
      <c r="Q43" s="67"/>
      <c r="R43" s="67"/>
      <c r="S43" s="67"/>
      <c r="T43" s="67"/>
      <c r="U43" s="1"/>
      <c r="V43" s="1"/>
      <c r="W43" s="1"/>
      <c r="X43" s="1"/>
    </row>
    <row r="44" spans="1:24" x14ac:dyDescent="0.25">
      <c r="A44" s="51"/>
      <c r="B44" s="51"/>
      <c r="C44" s="51"/>
      <c r="D44" s="51"/>
      <c r="E44" s="51"/>
      <c r="F44" s="64"/>
      <c r="G44" s="51"/>
      <c r="H44" s="51"/>
      <c r="I44" s="51"/>
      <c r="J44" s="13"/>
      <c r="K44" s="65"/>
      <c r="L44" s="66"/>
      <c r="M44" s="67"/>
      <c r="N44" s="67"/>
      <c r="O44" s="67"/>
      <c r="P44" s="67"/>
      <c r="Q44" s="67"/>
      <c r="R44" s="67"/>
      <c r="S44" s="67"/>
      <c r="T44" s="67"/>
      <c r="U44" s="1"/>
      <c r="V44" s="1"/>
      <c r="W44" s="1"/>
      <c r="X44" s="1"/>
    </row>
    <row r="45" spans="1:24" x14ac:dyDescent="0.25">
      <c r="A45" s="51"/>
      <c r="B45" s="51"/>
      <c r="C45" s="51"/>
      <c r="D45" s="51"/>
      <c r="E45" s="51"/>
      <c r="F45" s="64"/>
      <c r="G45" s="51"/>
      <c r="H45" s="51"/>
      <c r="I45" s="51"/>
      <c r="J45" s="13"/>
      <c r="K45" s="65"/>
      <c r="L45" s="66"/>
      <c r="M45" s="67"/>
      <c r="N45" s="67"/>
      <c r="O45" s="67"/>
      <c r="P45" s="67"/>
      <c r="Q45" s="67"/>
      <c r="R45" s="67"/>
      <c r="S45" s="67"/>
      <c r="T45" s="67"/>
      <c r="U45" s="1"/>
      <c r="V45" s="1"/>
      <c r="W45" s="1"/>
      <c r="X45" s="1"/>
    </row>
    <row r="46" spans="1:24" x14ac:dyDescent="0.25">
      <c r="A46" s="27"/>
      <c r="B46" s="68" t="s">
        <v>39</v>
      </c>
      <c r="C46" s="56"/>
      <c r="D46" s="56"/>
      <c r="E46" s="56"/>
      <c r="F46" s="43"/>
      <c r="G46" s="43"/>
      <c r="H46" s="43"/>
      <c r="I46" s="43"/>
      <c r="J46" s="57" t="s">
        <v>40</v>
      </c>
      <c r="K46" s="58"/>
      <c r="L46" s="59"/>
      <c r="M46" s="6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27"/>
      <c r="B47" s="69" t="s">
        <v>41</v>
      </c>
      <c r="C47" s="43"/>
      <c r="D47" s="43">
        <f>SUM(B22:D22)+J22</f>
        <v>259371.08100000001</v>
      </c>
      <c r="E47" s="70" t="s">
        <v>42</v>
      </c>
      <c r="F47" s="70"/>
      <c r="G47" s="43"/>
      <c r="H47" s="43"/>
      <c r="I47" s="43"/>
      <c r="J47" s="44" t="s">
        <v>41</v>
      </c>
      <c r="K47" s="47"/>
      <c r="L47" s="48">
        <f>SUM(B40:D40)+J40</f>
        <v>272202.25689999998</v>
      </c>
      <c r="M47" s="2" t="s">
        <v>42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27"/>
      <c r="B48" s="69" t="s">
        <v>43</v>
      </c>
      <c r="C48" s="43"/>
      <c r="D48" s="43">
        <f>F22</f>
        <v>75960</v>
      </c>
      <c r="E48" s="70" t="s">
        <v>42</v>
      </c>
      <c r="F48" s="70"/>
      <c r="G48" s="43"/>
      <c r="H48" s="43"/>
      <c r="I48" s="43"/>
      <c r="J48" s="71" t="s">
        <v>43</v>
      </c>
      <c r="K48" s="47"/>
      <c r="L48" s="48">
        <f>F40</f>
        <v>93260</v>
      </c>
      <c r="M48" s="2" t="s">
        <v>42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27"/>
      <c r="B49" s="69" t="s">
        <v>44</v>
      </c>
      <c r="C49" s="43"/>
      <c r="D49" s="43">
        <f>SUM(E22,G22,H22,I22)</f>
        <v>11622</v>
      </c>
      <c r="E49" s="70" t="s">
        <v>42</v>
      </c>
      <c r="F49" s="70"/>
      <c r="G49" s="43"/>
      <c r="H49" s="43"/>
      <c r="I49" s="43"/>
      <c r="J49" s="44" t="s">
        <v>44</v>
      </c>
      <c r="K49" s="47"/>
      <c r="L49" s="48">
        <f>SUM(E40:I40)-F40</f>
        <v>13927</v>
      </c>
      <c r="M49" s="2" t="s">
        <v>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27"/>
      <c r="B50" s="69" t="s">
        <v>45</v>
      </c>
      <c r="C50" s="43"/>
      <c r="D50" s="43">
        <f>+K22</f>
        <v>8658.6115083000004</v>
      </c>
      <c r="E50" s="70" t="s">
        <v>42</v>
      </c>
      <c r="F50" s="70"/>
      <c r="G50" s="43"/>
      <c r="H50" s="43"/>
      <c r="I50" s="43"/>
      <c r="J50" s="71" t="s">
        <v>45</v>
      </c>
      <c r="K50" s="47"/>
      <c r="L50" s="48">
        <f>+K40</f>
        <v>10416.061684600001</v>
      </c>
      <c r="M50" s="2" t="s">
        <v>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27"/>
      <c r="B51" s="72" t="s">
        <v>46</v>
      </c>
      <c r="C51" s="56"/>
      <c r="D51" s="56">
        <f>+L22</f>
        <v>400941.08470000001</v>
      </c>
      <c r="E51" s="73" t="s">
        <v>42</v>
      </c>
      <c r="F51" s="73"/>
      <c r="G51" s="43"/>
      <c r="H51" s="43"/>
      <c r="I51" s="43"/>
      <c r="J51" s="57" t="s">
        <v>46</v>
      </c>
      <c r="K51" s="58"/>
      <c r="L51" s="59">
        <f>+L40</f>
        <v>446743.6519</v>
      </c>
      <c r="M51" s="74" t="s">
        <v>42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27"/>
      <c r="B52" s="69"/>
      <c r="C52" s="43"/>
      <c r="D52" s="43">
        <f>SUM(D47:D51)</f>
        <v>756552.77720830007</v>
      </c>
      <c r="E52" s="70" t="s">
        <v>42</v>
      </c>
      <c r="F52" s="70"/>
      <c r="G52" s="43"/>
      <c r="H52" s="43"/>
      <c r="I52" s="43"/>
      <c r="J52" s="75"/>
      <c r="K52" s="76"/>
      <c r="L52" s="77">
        <f>SUM(L47:L51)</f>
        <v>836548.97048459994</v>
      </c>
      <c r="M52" s="2" t="s">
        <v>42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27"/>
      <c r="B53" s="69"/>
      <c r="C53" s="43"/>
      <c r="D53" s="43"/>
      <c r="E53" s="70"/>
      <c r="F53" s="70"/>
      <c r="G53" s="43"/>
      <c r="H53" s="43"/>
      <c r="I53" s="43"/>
      <c r="J53" s="75"/>
      <c r="K53" s="76"/>
      <c r="L53" s="77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thickBot="1" x14ac:dyDescent="0.3">
      <c r="A54" s="27"/>
      <c r="B54" s="78"/>
      <c r="C54" s="78"/>
      <c r="D54" s="79" t="s">
        <v>47</v>
      </c>
      <c r="E54" s="78"/>
      <c r="F54" s="78"/>
      <c r="G54" s="78"/>
      <c r="H54" s="78"/>
      <c r="I54" s="78"/>
      <c r="J54" s="80"/>
      <c r="K54" s="47"/>
      <c r="L54" s="48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81" t="s">
        <v>41</v>
      </c>
      <c r="C55" s="43"/>
      <c r="D55" s="43">
        <f>+D47+L47</f>
        <v>531573.33789999993</v>
      </c>
      <c r="E55" s="70" t="s">
        <v>42</v>
      </c>
      <c r="F55" s="70" t="s">
        <v>48</v>
      </c>
      <c r="G55" s="82">
        <f>D5</f>
        <v>0.46379999999999999</v>
      </c>
      <c r="H55" s="70" t="s">
        <v>33</v>
      </c>
      <c r="I55" s="70"/>
      <c r="J55" s="44">
        <f>D55*G55</f>
        <v>246543.71411801997</v>
      </c>
      <c r="K55" s="47">
        <f>+D55-X41</f>
        <v>0</v>
      </c>
      <c r="L55" s="48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69" t="s">
        <v>43</v>
      </c>
      <c r="C56" s="43"/>
      <c r="D56" s="43">
        <f>D48+L48</f>
        <v>169220</v>
      </c>
      <c r="E56" s="70" t="s">
        <v>42</v>
      </c>
      <c r="F56" s="70" t="s">
        <v>48</v>
      </c>
      <c r="G56" s="83">
        <f>F5/20</f>
        <v>1.2</v>
      </c>
      <c r="H56" s="70" t="s">
        <v>33</v>
      </c>
      <c r="I56" s="70"/>
      <c r="J56" s="44">
        <f>D56*G56</f>
        <v>203064</v>
      </c>
      <c r="K56" s="47">
        <f>+D56+D57+D58+D59-W41</f>
        <v>0</v>
      </c>
      <c r="L56" s="48"/>
      <c r="M56" s="4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27"/>
      <c r="B57" s="81" t="s">
        <v>44</v>
      </c>
      <c r="C57" s="43"/>
      <c r="D57" s="43">
        <f>+D49+L49</f>
        <v>25549</v>
      </c>
      <c r="E57" s="70" t="s">
        <v>42</v>
      </c>
      <c r="F57" s="70" t="s">
        <v>48</v>
      </c>
      <c r="G57" s="83">
        <f>E5/100</f>
        <v>1.44</v>
      </c>
      <c r="H57" s="70" t="s">
        <v>33</v>
      </c>
      <c r="I57" s="70"/>
      <c r="J57" s="75">
        <f>D57*G57</f>
        <v>36790.559999999998</v>
      </c>
      <c r="K57" s="47"/>
      <c r="L57" s="48"/>
      <c r="M57" s="4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27"/>
      <c r="B58" s="69" t="s">
        <v>45</v>
      </c>
      <c r="C58" s="43"/>
      <c r="D58" s="43">
        <f>+D50+L50</f>
        <v>19074.673192900002</v>
      </c>
      <c r="E58" s="70" t="s">
        <v>42</v>
      </c>
      <c r="F58" s="70" t="s">
        <v>48</v>
      </c>
      <c r="G58" s="83">
        <f>K5/1.1167</f>
        <v>1.1641443538998837</v>
      </c>
      <c r="H58" s="70" t="s">
        <v>33</v>
      </c>
      <c r="I58" s="70"/>
      <c r="J58" s="75">
        <f>+D58*G58</f>
        <v>22205.673100000004</v>
      </c>
      <c r="K58" s="47"/>
      <c r="L58" s="48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thickBot="1" x14ac:dyDescent="0.3">
      <c r="A59" s="27"/>
      <c r="B59" s="79" t="s">
        <v>46</v>
      </c>
      <c r="C59" s="78"/>
      <c r="D59" s="78">
        <f>+D51+L51</f>
        <v>847684.73659999995</v>
      </c>
      <c r="E59" s="84" t="s">
        <v>42</v>
      </c>
      <c r="F59" s="84" t="s">
        <v>48</v>
      </c>
      <c r="G59" s="85">
        <f>L5/1.1167</f>
        <v>1.4238380943852422</v>
      </c>
      <c r="H59" s="84" t="s">
        <v>33</v>
      </c>
      <c r="I59" s="84"/>
      <c r="J59" s="80">
        <f>D59*G59</f>
        <v>1206965.8199999998</v>
      </c>
      <c r="K59" s="47"/>
      <c r="L59" s="48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27"/>
      <c r="B60" s="81"/>
      <c r="C60" s="43"/>
      <c r="D60" s="43">
        <f>SUM(D55:D59)</f>
        <v>1593101.7476928998</v>
      </c>
      <c r="E60" s="70"/>
      <c r="F60" s="70"/>
      <c r="G60" s="83"/>
      <c r="H60" s="70"/>
      <c r="I60" s="70"/>
      <c r="J60" s="75">
        <f>SUM(J55:J59)</f>
        <v>1715569.7672180198</v>
      </c>
      <c r="K60" s="47"/>
      <c r="L60" s="48"/>
      <c r="M60" s="4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27"/>
      <c r="B61" s="81"/>
      <c r="C61" s="43"/>
      <c r="D61" s="43">
        <f>+D60-W41-X41</f>
        <v>0</v>
      </c>
      <c r="E61" s="70"/>
      <c r="F61" s="70"/>
      <c r="G61" s="83"/>
      <c r="H61" s="70"/>
      <c r="I61" s="70"/>
      <c r="J61" s="75"/>
      <c r="K61" s="47"/>
      <c r="L61" s="48"/>
      <c r="M61" s="4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J62" s="86"/>
    </row>
  </sheetData>
  <pageMargins left="0.17" right="0.17" top="0.7" bottom="0.32" header="0.31" footer="0.17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534D-20BC-4219-B795-F5BD60FB6487}">
  <dimension ref="A1:X61"/>
  <sheetViews>
    <sheetView topLeftCell="A28" workbookViewId="0">
      <selection activeCell="A13" sqref="A13"/>
    </sheetView>
  </sheetViews>
  <sheetFormatPr defaultRowHeight="15" x14ac:dyDescent="0.25"/>
  <cols>
    <col min="1" max="1" width="14" customWidth="1"/>
    <col min="2" max="2" width="10.42578125" customWidth="1"/>
    <col min="4" max="4" width="14.14062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6.85546875" customWidth="1"/>
    <col min="10" max="10" width="13.5703125" customWidth="1"/>
    <col min="11" max="11" width="15.5703125" customWidth="1"/>
    <col min="12" max="12" width="13.42578125" customWidth="1"/>
    <col min="13" max="13" width="16" customWidth="1"/>
    <col min="14" max="14" width="14.85546875" customWidth="1"/>
    <col min="15" max="15" width="15.140625" customWidth="1"/>
    <col min="16" max="16" width="14" customWidth="1"/>
    <col min="17" max="17" width="13.85546875" customWidth="1"/>
    <col min="18" max="18" width="10.140625" customWidth="1"/>
    <col min="19" max="19" width="14" customWidth="1"/>
    <col min="20" max="20" width="8.710937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>
        <v>44835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158.5</v>
      </c>
      <c r="F5" s="18">
        <v>25.5</v>
      </c>
      <c r="G5" s="18">
        <v>95</v>
      </c>
      <c r="H5" s="87">
        <v>1.59</v>
      </c>
      <c r="I5" s="17">
        <v>18.55</v>
      </c>
      <c r="J5" s="88">
        <v>0.52</v>
      </c>
      <c r="K5" s="89">
        <v>1.55</v>
      </c>
      <c r="L5" s="90">
        <v>1.75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44835</v>
      </c>
      <c r="B7" s="28">
        <v>63</v>
      </c>
      <c r="C7" s="28"/>
      <c r="D7" s="28"/>
      <c r="E7" s="28">
        <v>3</v>
      </c>
      <c r="F7" s="29">
        <v>485</v>
      </c>
      <c r="G7" s="28"/>
      <c r="H7" s="28">
        <v>40</v>
      </c>
      <c r="I7" s="28"/>
      <c r="J7" s="13"/>
      <c r="K7" s="6">
        <v>293.64699999999999</v>
      </c>
      <c r="L7" s="28"/>
      <c r="M7" s="30">
        <v>16890.84</v>
      </c>
      <c r="N7" s="30"/>
      <c r="O7" s="30"/>
      <c r="P7" s="31">
        <v>46.38</v>
      </c>
      <c r="Q7" s="30">
        <v>25</v>
      </c>
      <c r="R7" s="30"/>
      <c r="S7" s="30">
        <v>628.53</v>
      </c>
      <c r="T7" s="32">
        <f t="shared" ref="T7:T19" si="0">+B7*46.38+C7*27.83+D7*0.4638+E7*158.5+F7*25.5+G7*95+H7*1.59+I7*18.55+J7*0.52+K7*1.55+L7*1.75-M7-N7-O7-P7+Q7+R7+S7</f>
        <v>2.8500000011035809E-3</v>
      </c>
      <c r="U7" s="1"/>
      <c r="V7" s="27">
        <f>+A7</f>
        <v>44835</v>
      </c>
      <c r="W7" s="28">
        <f>SUM(E7*100+F7*20+G7*60+H7+I7*7+K7*1.1167+L7*1.1167)</f>
        <v>10367.915604899999</v>
      </c>
      <c r="X7" s="28">
        <f t="shared" ref="X7:X19" si="1">SUM(B7*100+C7*60+D7+J7*1.1167)</f>
        <v>6300</v>
      </c>
    </row>
    <row r="8" spans="1:24" x14ac:dyDescent="0.25">
      <c r="A8" s="27">
        <v>44837</v>
      </c>
      <c r="B8" s="28">
        <v>161</v>
      </c>
      <c r="C8" s="28"/>
      <c r="D8" s="28"/>
      <c r="E8" s="28">
        <v>13</v>
      </c>
      <c r="F8" s="29">
        <v>366</v>
      </c>
      <c r="G8" s="28"/>
      <c r="H8" s="28">
        <v>140</v>
      </c>
      <c r="I8" s="28"/>
      <c r="J8" s="13">
        <v>2186</v>
      </c>
      <c r="K8" s="6">
        <v>842.221</v>
      </c>
      <c r="L8" s="28">
        <v>38618</v>
      </c>
      <c r="M8" s="30">
        <v>19221.87</v>
      </c>
      <c r="N8" s="30">
        <v>3017.04</v>
      </c>
      <c r="O8" s="30">
        <v>69430.490000000005</v>
      </c>
      <c r="P8" s="31">
        <v>64.73</v>
      </c>
      <c r="Q8" s="30">
        <v>50</v>
      </c>
      <c r="R8" s="30">
        <v>21</v>
      </c>
      <c r="S8" s="30">
        <v>2556.19</v>
      </c>
      <c r="T8" s="32">
        <f t="shared" si="0"/>
        <v>2.5500000128886313E-3</v>
      </c>
      <c r="U8" s="1"/>
      <c r="V8" s="27">
        <f t="shared" ref="V8:V19" si="2">+A8</f>
        <v>44837</v>
      </c>
      <c r="W8" s="28">
        <f t="shared" ref="W8:W19" si="3">SUM(E8*100+F8*20+G8*60+H8+I8*7+K8*1.1167+L8*1.1167)</f>
        <v>52825.228790699999</v>
      </c>
      <c r="X8" s="28">
        <f t="shared" si="1"/>
        <v>18541.106200000002</v>
      </c>
    </row>
    <row r="9" spans="1:24" x14ac:dyDescent="0.25">
      <c r="A9" s="27">
        <v>44838</v>
      </c>
      <c r="B9" s="28">
        <v>235</v>
      </c>
      <c r="C9" s="28"/>
      <c r="D9" s="28"/>
      <c r="E9" s="28">
        <v>19</v>
      </c>
      <c r="F9" s="29">
        <v>350</v>
      </c>
      <c r="G9" s="28"/>
      <c r="H9" s="28">
        <v>30</v>
      </c>
      <c r="I9" s="28"/>
      <c r="J9" s="13">
        <v>4050</v>
      </c>
      <c r="K9" s="6">
        <v>680.27200000000005</v>
      </c>
      <c r="L9" s="28">
        <v>40288</v>
      </c>
      <c r="M9" s="30">
        <v>18890.14</v>
      </c>
      <c r="N9" s="30">
        <v>3960.27</v>
      </c>
      <c r="O9" s="30">
        <v>76118.61</v>
      </c>
      <c r="P9" s="33">
        <v>287.62</v>
      </c>
      <c r="Q9" s="30">
        <v>980</v>
      </c>
      <c r="R9" s="30">
        <v>27.3</v>
      </c>
      <c r="S9" s="30">
        <v>1701.42</v>
      </c>
      <c r="T9" s="32">
        <f t="shared" si="0"/>
        <v>1.5999999975520041E-3</v>
      </c>
      <c r="U9" s="1"/>
      <c r="V9" s="27">
        <f t="shared" si="2"/>
        <v>44838</v>
      </c>
      <c r="W9" s="28">
        <f t="shared" si="3"/>
        <v>54679.269342400003</v>
      </c>
      <c r="X9" s="28">
        <f t="shared" si="1"/>
        <v>28022.635000000002</v>
      </c>
    </row>
    <row r="10" spans="1:24" x14ac:dyDescent="0.25">
      <c r="A10" s="27">
        <v>44839</v>
      </c>
      <c r="B10" s="28">
        <v>287</v>
      </c>
      <c r="C10" s="28"/>
      <c r="D10" s="28"/>
      <c r="E10" s="28">
        <v>13</v>
      </c>
      <c r="F10" s="29">
        <v>270</v>
      </c>
      <c r="G10" s="28"/>
      <c r="H10" s="28">
        <v>30</v>
      </c>
      <c r="I10" s="28"/>
      <c r="J10" s="13">
        <v>1354</v>
      </c>
      <c r="K10" s="34">
        <v>1668.8420000000001</v>
      </c>
      <c r="L10" s="28">
        <v>37294</v>
      </c>
      <c r="M10" s="30">
        <v>18084.89</v>
      </c>
      <c r="N10" s="30">
        <v>5889.42</v>
      </c>
      <c r="O10" s="30">
        <v>68602.429999999993</v>
      </c>
      <c r="P10" s="31">
        <v>297.64</v>
      </c>
      <c r="Q10" s="30">
        <v>965</v>
      </c>
      <c r="R10" s="30">
        <v>12.6</v>
      </c>
      <c r="S10" s="30">
        <v>1037.23</v>
      </c>
      <c r="T10" s="32">
        <f t="shared" si="0"/>
        <v>-4.8999999876286893E-3</v>
      </c>
      <c r="U10" s="1"/>
      <c r="V10" s="27">
        <f t="shared" si="2"/>
        <v>44839</v>
      </c>
      <c r="W10" s="28">
        <f t="shared" si="3"/>
        <v>50239.805661400009</v>
      </c>
      <c r="X10" s="28">
        <f t="shared" si="1"/>
        <v>30212.0118</v>
      </c>
    </row>
    <row r="11" spans="1:24" x14ac:dyDescent="0.25">
      <c r="A11" s="27">
        <v>44840</v>
      </c>
      <c r="B11" s="28">
        <v>214</v>
      </c>
      <c r="C11" s="28"/>
      <c r="D11" s="28"/>
      <c r="E11" s="28">
        <v>18</v>
      </c>
      <c r="F11" s="29">
        <v>287</v>
      </c>
      <c r="G11" s="28"/>
      <c r="H11" s="28">
        <v>40</v>
      </c>
      <c r="I11" s="28"/>
      <c r="J11" s="13">
        <v>981</v>
      </c>
      <c r="K11" s="34">
        <v>567.36199999999997</v>
      </c>
      <c r="L11" s="28">
        <v>31732</v>
      </c>
      <c r="M11" s="30">
        <v>18095.759999999998</v>
      </c>
      <c r="N11" s="30">
        <v>3452.46</v>
      </c>
      <c r="O11" s="30">
        <v>56904.91</v>
      </c>
      <c r="P11" s="33">
        <v>46.38</v>
      </c>
      <c r="Q11" s="30">
        <v>45</v>
      </c>
      <c r="R11" s="30">
        <v>14.7</v>
      </c>
      <c r="S11" s="30">
        <v>1358.86</v>
      </c>
      <c r="T11" s="32">
        <f t="shared" si="0"/>
        <v>1.1000000081367034E-3</v>
      </c>
      <c r="U11" s="1"/>
      <c r="V11" s="27">
        <f t="shared" si="2"/>
        <v>44840</v>
      </c>
      <c r="W11" s="28">
        <f t="shared" si="3"/>
        <v>43648.697545399998</v>
      </c>
      <c r="X11" s="28">
        <f t="shared" si="1"/>
        <v>22495.4827</v>
      </c>
    </row>
    <row r="12" spans="1:24" x14ac:dyDescent="0.25">
      <c r="A12" s="27">
        <v>44841</v>
      </c>
      <c r="B12" s="28">
        <v>220</v>
      </c>
      <c r="C12" s="28"/>
      <c r="D12" s="28"/>
      <c r="E12" s="28">
        <v>17</v>
      </c>
      <c r="F12" s="29">
        <v>315</v>
      </c>
      <c r="G12" s="28">
        <v>3</v>
      </c>
      <c r="H12" s="28"/>
      <c r="I12" s="28"/>
      <c r="J12" s="13">
        <v>933</v>
      </c>
      <c r="K12" s="34">
        <v>822.28899999999999</v>
      </c>
      <c r="L12" s="28">
        <v>40200</v>
      </c>
      <c r="M12" s="30">
        <v>16801.669999999998</v>
      </c>
      <c r="N12" s="30">
        <v>5247.54</v>
      </c>
      <c r="O12" s="30">
        <v>73003.960000000006</v>
      </c>
      <c r="P12" s="31">
        <v>185.52</v>
      </c>
      <c r="Q12" s="30">
        <v>955</v>
      </c>
      <c r="R12" s="30">
        <v>8.4</v>
      </c>
      <c r="S12" s="30">
        <v>949.99</v>
      </c>
      <c r="T12" s="32">
        <f t="shared" si="0"/>
        <v>7.9500000039161023E-3</v>
      </c>
      <c r="U12" s="1"/>
      <c r="V12" s="27">
        <f t="shared" si="2"/>
        <v>44841</v>
      </c>
      <c r="W12" s="28">
        <f t="shared" si="3"/>
        <v>53989.590126300005</v>
      </c>
      <c r="X12" s="28">
        <f t="shared" si="1"/>
        <v>23041.881099999999</v>
      </c>
    </row>
    <row r="13" spans="1:24" x14ac:dyDescent="0.25">
      <c r="A13" s="27">
        <v>44842</v>
      </c>
      <c r="B13" s="28">
        <v>73</v>
      </c>
      <c r="C13" s="28"/>
      <c r="D13" s="28"/>
      <c r="E13" s="28">
        <v>3</v>
      </c>
      <c r="F13" s="29">
        <v>343</v>
      </c>
      <c r="G13" s="28"/>
      <c r="H13" s="28">
        <v>197</v>
      </c>
      <c r="I13" s="28"/>
      <c r="J13" s="13">
        <v>1356</v>
      </c>
      <c r="K13" s="34">
        <v>417.94200000000001</v>
      </c>
      <c r="L13" s="28">
        <v>3204</v>
      </c>
      <c r="M13" s="30">
        <v>13662.58</v>
      </c>
      <c r="N13" s="30"/>
      <c r="O13" s="30">
        <v>6510.82</v>
      </c>
      <c r="P13" s="31">
        <v>38</v>
      </c>
      <c r="Q13" s="30">
        <v>10</v>
      </c>
      <c r="R13" s="30">
        <v>10.5</v>
      </c>
      <c r="S13" s="30">
        <v>310</v>
      </c>
      <c r="T13" s="32">
        <f t="shared" si="0"/>
        <v>9.999999929277692E-5</v>
      </c>
      <c r="U13" s="1"/>
      <c r="V13" s="27">
        <f t="shared" si="2"/>
        <v>44842</v>
      </c>
      <c r="W13" s="28">
        <f t="shared" si="3"/>
        <v>11401.6226314</v>
      </c>
      <c r="X13" s="28">
        <f t="shared" si="1"/>
        <v>8814.2451999999994</v>
      </c>
    </row>
    <row r="14" spans="1:24" x14ac:dyDescent="0.25">
      <c r="A14" s="27">
        <v>44844</v>
      </c>
      <c r="B14" s="28">
        <v>247</v>
      </c>
      <c r="C14" s="28"/>
      <c r="D14" s="28"/>
      <c r="E14" s="28">
        <v>14</v>
      </c>
      <c r="F14" s="29">
        <v>388</v>
      </c>
      <c r="G14" s="28"/>
      <c r="H14" s="28">
        <v>175</v>
      </c>
      <c r="I14" s="28"/>
      <c r="J14" s="13">
        <f>130+534+126</f>
        <v>790</v>
      </c>
      <c r="K14" s="34">
        <v>1285.069</v>
      </c>
      <c r="L14" s="28">
        <v>42796</v>
      </c>
      <c r="M14" s="30">
        <v>20048.45</v>
      </c>
      <c r="N14" s="30">
        <v>4464.82</v>
      </c>
      <c r="O14" s="30">
        <v>77184.61</v>
      </c>
      <c r="P14" s="31">
        <v>46.38</v>
      </c>
      <c r="Q14" s="30">
        <v>60</v>
      </c>
      <c r="R14" s="30">
        <v>12.6</v>
      </c>
      <c r="S14" s="30">
        <v>528.9</v>
      </c>
      <c r="T14" s="32">
        <f t="shared" si="0"/>
        <v>6.9500000000743967E-3</v>
      </c>
      <c r="U14" s="1"/>
      <c r="V14" s="27">
        <f t="shared" si="2"/>
        <v>44844</v>
      </c>
      <c r="W14" s="28">
        <f t="shared" si="3"/>
        <v>58560.3297523</v>
      </c>
      <c r="X14" s="28">
        <f t="shared" si="1"/>
        <v>25582.192999999999</v>
      </c>
    </row>
    <row r="15" spans="1:24" x14ac:dyDescent="0.25">
      <c r="A15" s="27">
        <v>44845</v>
      </c>
      <c r="B15" s="28">
        <v>223</v>
      </c>
      <c r="C15" s="28"/>
      <c r="D15" s="28">
        <v>20</v>
      </c>
      <c r="E15" s="28">
        <v>15</v>
      </c>
      <c r="F15" s="29">
        <v>346</v>
      </c>
      <c r="G15" s="28"/>
      <c r="H15" s="28">
        <v>201</v>
      </c>
      <c r="I15" s="28"/>
      <c r="J15" s="13">
        <f>2088+281</f>
        <v>2369</v>
      </c>
      <c r="K15" s="34">
        <v>961.34299999999996</v>
      </c>
      <c r="L15" s="28">
        <f>39799-281</f>
        <v>39518</v>
      </c>
      <c r="M15" s="30">
        <v>17861.57</v>
      </c>
      <c r="N15" s="30">
        <v>5496.18</v>
      </c>
      <c r="O15" s="30">
        <f>72372.25-281*1.75+281*0.52</f>
        <v>72026.62</v>
      </c>
      <c r="P15" s="31">
        <f>281.37+158.5-46.38</f>
        <v>393.49</v>
      </c>
      <c r="Q15" s="30">
        <v>400</v>
      </c>
      <c r="R15" s="30">
        <v>21</v>
      </c>
      <c r="S15" s="30">
        <v>1606.29</v>
      </c>
      <c r="T15" s="32">
        <f t="shared" si="0"/>
        <v>-2.3499999836076313E-3</v>
      </c>
      <c r="U15" s="1"/>
      <c r="V15" s="27">
        <f t="shared" si="2"/>
        <v>44845</v>
      </c>
      <c r="W15" s="28">
        <f t="shared" si="3"/>
        <v>53824.282328100002</v>
      </c>
      <c r="X15" s="28">
        <f t="shared" si="1"/>
        <v>24965.462299999999</v>
      </c>
    </row>
    <row r="16" spans="1:24" x14ac:dyDescent="0.25">
      <c r="A16" s="27">
        <v>44846</v>
      </c>
      <c r="B16" s="28">
        <v>230</v>
      </c>
      <c r="C16" s="28"/>
      <c r="D16" s="28"/>
      <c r="E16" s="28">
        <v>24</v>
      </c>
      <c r="F16" s="29">
        <v>241</v>
      </c>
      <c r="G16" s="28"/>
      <c r="H16" s="28"/>
      <c r="I16" s="28"/>
      <c r="J16" s="13">
        <v>5492</v>
      </c>
      <c r="K16" s="34">
        <v>1241.528</v>
      </c>
      <c r="L16" s="28">
        <v>37148</v>
      </c>
      <c r="M16" s="30">
        <v>18774.349999999999</v>
      </c>
      <c r="N16" s="30">
        <v>4670.3599999999997</v>
      </c>
      <c r="O16" s="30">
        <v>70225.440000000002</v>
      </c>
      <c r="P16" s="31">
        <v>342.45</v>
      </c>
      <c r="Q16" s="30">
        <v>550</v>
      </c>
      <c r="R16" s="30">
        <v>18.899999999999999</v>
      </c>
      <c r="S16" s="30">
        <v>3037.59</v>
      </c>
      <c r="T16" s="32">
        <f t="shared" si="0"/>
        <v>-1.6000000109670509E-3</v>
      </c>
      <c r="U16" s="1"/>
      <c r="V16" s="27">
        <f t="shared" si="2"/>
        <v>44846</v>
      </c>
      <c r="W16" s="28">
        <f t="shared" si="3"/>
        <v>50089.585917600001</v>
      </c>
      <c r="X16" s="28">
        <f t="shared" si="1"/>
        <v>29132.916400000002</v>
      </c>
    </row>
    <row r="17" spans="1:24" x14ac:dyDescent="0.25">
      <c r="A17" s="27">
        <v>44847</v>
      </c>
      <c r="B17" s="28">
        <v>219</v>
      </c>
      <c r="C17" s="28"/>
      <c r="D17" s="28"/>
      <c r="E17" s="28">
        <v>13</v>
      </c>
      <c r="F17" s="29">
        <v>257</v>
      </c>
      <c r="G17" s="28"/>
      <c r="H17" s="28">
        <v>110</v>
      </c>
      <c r="I17" s="28"/>
      <c r="J17" s="13">
        <v>2420</v>
      </c>
      <c r="K17" s="34">
        <v>1068.047</v>
      </c>
      <c r="L17" s="28">
        <v>31326</v>
      </c>
      <c r="M17" s="30">
        <v>18753.91</v>
      </c>
      <c r="N17" s="30">
        <v>4715.82</v>
      </c>
      <c r="O17" s="30">
        <v>59468.25</v>
      </c>
      <c r="P17" s="31">
        <v>62.95</v>
      </c>
      <c r="Q17" s="30">
        <v>690</v>
      </c>
      <c r="R17" s="30">
        <v>16.8</v>
      </c>
      <c r="S17" s="30">
        <v>5613.64</v>
      </c>
      <c r="T17" s="32">
        <f t="shared" si="0"/>
        <v>2.8500000071289833E-3</v>
      </c>
      <c r="U17" s="1"/>
      <c r="V17" s="27">
        <f t="shared" si="2"/>
        <v>44847</v>
      </c>
      <c r="W17" s="28">
        <f t="shared" si="3"/>
        <v>42724.432284900002</v>
      </c>
      <c r="X17" s="28">
        <f t="shared" si="1"/>
        <v>24602.414000000001</v>
      </c>
    </row>
    <row r="18" spans="1:24" x14ac:dyDescent="0.25">
      <c r="A18" s="27">
        <v>44848</v>
      </c>
      <c r="B18" s="28">
        <v>218</v>
      </c>
      <c r="C18" s="28"/>
      <c r="D18" s="28"/>
      <c r="E18" s="28">
        <v>20</v>
      </c>
      <c r="F18" s="29">
        <v>331</v>
      </c>
      <c r="G18" s="28"/>
      <c r="H18" s="28">
        <v>35</v>
      </c>
      <c r="I18" s="28"/>
      <c r="J18" s="13">
        <v>750</v>
      </c>
      <c r="K18" s="34">
        <v>1205.1559999999999</v>
      </c>
      <c r="L18" s="28">
        <v>32153</v>
      </c>
      <c r="M18" s="30">
        <v>17298.16</v>
      </c>
      <c r="N18" s="30">
        <v>5043.72</v>
      </c>
      <c r="O18" s="30">
        <v>59226.83</v>
      </c>
      <c r="P18" s="31">
        <v>115.95</v>
      </c>
      <c r="Q18" s="30">
        <v>305</v>
      </c>
      <c r="R18" s="30">
        <v>16.8</v>
      </c>
      <c r="S18" s="30">
        <v>1060.1300000000001</v>
      </c>
      <c r="T18" s="32">
        <f t="shared" si="0"/>
        <v>1.8000000022766471E-3</v>
      </c>
      <c r="U18" s="1"/>
      <c r="V18" s="27">
        <f t="shared" si="2"/>
        <v>44848</v>
      </c>
      <c r="W18" s="28">
        <f t="shared" si="3"/>
        <v>45906.052805200001</v>
      </c>
      <c r="X18" s="28">
        <f t="shared" si="1"/>
        <v>22637.525000000001</v>
      </c>
    </row>
    <row r="19" spans="1:24" x14ac:dyDescent="0.25">
      <c r="A19" s="35">
        <v>44849</v>
      </c>
      <c r="B19" s="36">
        <v>68</v>
      </c>
      <c r="C19" s="36"/>
      <c r="D19" s="36"/>
      <c r="E19" s="36">
        <v>2</v>
      </c>
      <c r="F19" s="37">
        <v>318</v>
      </c>
      <c r="G19" s="36"/>
      <c r="H19" s="36">
        <v>10</v>
      </c>
      <c r="I19" s="36">
        <v>2</v>
      </c>
      <c r="J19" s="38"/>
      <c r="K19" s="39">
        <v>364.46800000000002</v>
      </c>
      <c r="L19" s="36">
        <v>200</v>
      </c>
      <c r="M19" s="40">
        <v>12251.05</v>
      </c>
      <c r="N19" s="40"/>
      <c r="O19" s="40">
        <f>851.72-50</f>
        <v>801.72</v>
      </c>
      <c r="P19" s="41"/>
      <c r="Q19" s="40">
        <v>275</v>
      </c>
      <c r="R19" s="40">
        <v>75</v>
      </c>
      <c r="S19" s="40">
        <v>155</v>
      </c>
      <c r="T19" s="42">
        <f t="shared" si="0"/>
        <v>-4.5999999990726792E-3</v>
      </c>
      <c r="U19" s="16"/>
      <c r="V19" s="35">
        <f t="shared" si="2"/>
        <v>44849</v>
      </c>
      <c r="W19" s="36">
        <f t="shared" si="3"/>
        <v>7214.3414155999999</v>
      </c>
      <c r="X19" s="36">
        <f t="shared" si="1"/>
        <v>6800</v>
      </c>
    </row>
    <row r="20" spans="1:24" x14ac:dyDescent="0.25">
      <c r="A20" s="27"/>
      <c r="B20" s="43">
        <f>SUM(B7:B19)</f>
        <v>2458</v>
      </c>
      <c r="C20" s="43">
        <f t="shared" ref="C20:T20" si="4">SUM(C7:C19)</f>
        <v>0</v>
      </c>
      <c r="D20" s="43">
        <f t="shared" si="4"/>
        <v>20</v>
      </c>
      <c r="E20" s="43">
        <f t="shared" si="4"/>
        <v>174</v>
      </c>
      <c r="F20" s="43">
        <f t="shared" si="4"/>
        <v>4297</v>
      </c>
      <c r="G20" s="43">
        <f t="shared" si="4"/>
        <v>3</v>
      </c>
      <c r="H20" s="43">
        <f t="shared" si="4"/>
        <v>1008</v>
      </c>
      <c r="I20" s="43">
        <f t="shared" si="4"/>
        <v>2</v>
      </c>
      <c r="J20" s="43">
        <f t="shared" si="4"/>
        <v>22681</v>
      </c>
      <c r="K20" s="94">
        <f t="shared" si="4"/>
        <v>11418.186000000002</v>
      </c>
      <c r="L20" s="43">
        <f t="shared" si="4"/>
        <v>374477</v>
      </c>
      <c r="M20" s="45">
        <f t="shared" si="4"/>
        <v>226635.24</v>
      </c>
      <c r="N20" s="45">
        <f t="shared" si="4"/>
        <v>45957.63</v>
      </c>
      <c r="O20" s="45">
        <f t="shared" si="4"/>
        <v>689504.69</v>
      </c>
      <c r="P20" s="45">
        <f t="shared" si="4"/>
        <v>1927.49</v>
      </c>
      <c r="Q20" s="45">
        <f t="shared" si="4"/>
        <v>5310</v>
      </c>
      <c r="R20" s="45">
        <f t="shared" si="4"/>
        <v>255.60000000000002</v>
      </c>
      <c r="S20" s="45">
        <f t="shared" si="4"/>
        <v>20543.77</v>
      </c>
      <c r="T20" s="45">
        <f t="shared" si="4"/>
        <v>1.4300000051093775E-2</v>
      </c>
      <c r="U20" s="43"/>
      <c r="V20" s="43"/>
      <c r="W20" s="43">
        <f>SUM(W7:W19)</f>
        <v>535471.15420620004</v>
      </c>
      <c r="X20" s="43">
        <f>SUM(X7:X19)</f>
        <v>271147.87270000001</v>
      </c>
    </row>
    <row r="21" spans="1:24" x14ac:dyDescent="0.25">
      <c r="A21" s="27"/>
      <c r="B21" s="43">
        <f>(B20*100)</f>
        <v>245800</v>
      </c>
      <c r="C21" s="43">
        <f>(C20*60)</f>
        <v>0</v>
      </c>
      <c r="D21" s="43">
        <f>(D20)</f>
        <v>20</v>
      </c>
      <c r="E21" s="43">
        <f>(E20*100)</f>
        <v>17400</v>
      </c>
      <c r="F21" s="46">
        <f>(F20*20)</f>
        <v>85940</v>
      </c>
      <c r="G21" s="43">
        <f>(G20*60)</f>
        <v>180</v>
      </c>
      <c r="H21" s="43">
        <f>(H20)</f>
        <v>1008</v>
      </c>
      <c r="I21" s="43">
        <f>+I20*7</f>
        <v>14</v>
      </c>
      <c r="J21" s="44">
        <f>(J20*1.1167)</f>
        <v>25327.8727</v>
      </c>
      <c r="K21" s="47">
        <f>(K20*1.1167)</f>
        <v>12750.688306200002</v>
      </c>
      <c r="L21" s="48">
        <f>(L20*1.1167)</f>
        <v>418178.46590000001</v>
      </c>
      <c r="M21" s="49"/>
      <c r="N21" s="49"/>
      <c r="O21" s="49"/>
      <c r="P21" s="49"/>
      <c r="Q21" s="49"/>
      <c r="R21" s="49"/>
      <c r="S21" s="49"/>
      <c r="T21" s="49"/>
      <c r="U21" s="49"/>
      <c r="V21" s="50" t="s">
        <v>35</v>
      </c>
      <c r="W21" s="43">
        <f>+D47+D48+D49+D50-W20</f>
        <v>0</v>
      </c>
      <c r="X21" s="43">
        <f>+D46-X20</f>
        <v>0</v>
      </c>
    </row>
    <row r="22" spans="1:24" x14ac:dyDescent="0.25">
      <c r="A22" s="27"/>
      <c r="B22" s="43"/>
      <c r="C22" s="43"/>
      <c r="D22" s="43"/>
      <c r="E22" s="43"/>
      <c r="F22" s="46"/>
      <c r="G22" s="43"/>
      <c r="H22" s="43"/>
      <c r="I22" s="43"/>
      <c r="J22" s="44"/>
      <c r="K22" s="47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50"/>
      <c r="W22" s="43"/>
      <c r="X22" s="43"/>
    </row>
    <row r="23" spans="1:24" x14ac:dyDescent="0.25">
      <c r="A23" s="22" t="s">
        <v>26</v>
      </c>
      <c r="B23" s="22" t="s">
        <v>27</v>
      </c>
      <c r="C23" s="22" t="s">
        <v>28</v>
      </c>
      <c r="D23" s="22" t="s">
        <v>29</v>
      </c>
      <c r="E23" s="22" t="s">
        <v>27</v>
      </c>
      <c r="F23" s="22" t="s">
        <v>30</v>
      </c>
      <c r="G23" s="22" t="s">
        <v>28</v>
      </c>
      <c r="H23" s="22" t="s">
        <v>29</v>
      </c>
      <c r="I23" s="22" t="s">
        <v>31</v>
      </c>
      <c r="J23" s="23" t="s">
        <v>32</v>
      </c>
      <c r="K23" s="24" t="s">
        <v>32</v>
      </c>
      <c r="L23" s="25" t="s">
        <v>32</v>
      </c>
      <c r="M23" s="22" t="s">
        <v>33</v>
      </c>
      <c r="N23" s="22" t="s">
        <v>33</v>
      </c>
      <c r="O23" s="22" t="s">
        <v>33</v>
      </c>
      <c r="P23" s="22" t="s">
        <v>33</v>
      </c>
      <c r="Q23" s="22" t="s">
        <v>33</v>
      </c>
      <c r="R23" s="22" t="s">
        <v>33</v>
      </c>
      <c r="S23" s="22" t="s">
        <v>33</v>
      </c>
      <c r="T23" s="22" t="s">
        <v>33</v>
      </c>
      <c r="U23" s="26"/>
      <c r="V23" s="22" t="s">
        <v>26</v>
      </c>
      <c r="W23" s="22" t="s">
        <v>11</v>
      </c>
      <c r="X23" s="22" t="s">
        <v>34</v>
      </c>
    </row>
    <row r="24" spans="1:24" x14ac:dyDescent="0.25">
      <c r="A24" s="27">
        <v>44851</v>
      </c>
      <c r="B24" s="28">
        <v>152</v>
      </c>
      <c r="C24" s="28"/>
      <c r="D24" s="28"/>
      <c r="E24" s="28">
        <v>18</v>
      </c>
      <c r="F24" s="29">
        <v>334</v>
      </c>
      <c r="G24" s="28">
        <v>3</v>
      </c>
      <c r="H24" s="28">
        <v>10</v>
      </c>
      <c r="I24" s="28"/>
      <c r="J24" s="13">
        <v>1638</v>
      </c>
      <c r="K24" s="34">
        <v>878.35500000000002</v>
      </c>
      <c r="L24" s="28">
        <v>41381</v>
      </c>
      <c r="M24" s="30">
        <v>17336.47</v>
      </c>
      <c r="N24" s="30">
        <v>3092.78</v>
      </c>
      <c r="O24" s="30">
        <v>74856.73</v>
      </c>
      <c r="P24" s="33">
        <v>52.37</v>
      </c>
      <c r="Q24" s="30">
        <v>585</v>
      </c>
      <c r="R24" s="30">
        <v>25.2</v>
      </c>
      <c r="S24" s="30">
        <v>1377.53</v>
      </c>
      <c r="T24" s="32">
        <f t="shared" ref="T24:T37" si="5">+B24*46.38+C24*27.83+D24*0.4638+E24*158.5+F24*25.5+G24*95+H24*1.59+I24*18.55+J24*0.52+K24*1.55+L24*1.75-M24-N24-O24-P24+Q24+R24+S24</f>
        <v>2.5000001141961548E-4</v>
      </c>
      <c r="U24" s="51"/>
      <c r="V24" s="27">
        <f>+A24</f>
        <v>44851</v>
      </c>
      <c r="W24" s="28">
        <f t="shared" ref="W24:W37" si="6">SUM(E24*100+F24*20+G24*60+H24+I24*7+K24*1.1167+L24*1.1167)</f>
        <v>55861.021728499996</v>
      </c>
      <c r="X24" s="28">
        <f t="shared" ref="X24:X37" si="7">SUM(B24*100+C24*60+D24+J24*1.1167)</f>
        <v>17029.154600000002</v>
      </c>
    </row>
    <row r="25" spans="1:24" x14ac:dyDescent="0.25">
      <c r="A25" s="27">
        <v>44852</v>
      </c>
      <c r="B25" s="28">
        <v>233</v>
      </c>
      <c r="C25" s="28"/>
      <c r="D25" s="28"/>
      <c r="E25" s="28">
        <v>10</v>
      </c>
      <c r="F25" s="29">
        <v>299</v>
      </c>
      <c r="G25" s="28"/>
      <c r="H25" s="28">
        <v>30</v>
      </c>
      <c r="I25" s="28"/>
      <c r="J25" s="13">
        <v>2720</v>
      </c>
      <c r="K25" s="34">
        <v>1049.28</v>
      </c>
      <c r="L25" s="52">
        <v>41470</v>
      </c>
      <c r="M25" s="30">
        <v>16527.580000000002</v>
      </c>
      <c r="N25" s="30">
        <v>5015.1400000000003</v>
      </c>
      <c r="O25" s="30">
        <v>76116.38</v>
      </c>
      <c r="P25" s="31">
        <v>210.65</v>
      </c>
      <c r="Q25" s="30">
        <v>440</v>
      </c>
      <c r="R25" s="30">
        <v>18.899999999999999</v>
      </c>
      <c r="S25" s="30">
        <v>1733.82</v>
      </c>
      <c r="T25" s="32">
        <f t="shared" si="5"/>
        <v>-6.0000000009949872E-3</v>
      </c>
      <c r="U25" s="30"/>
      <c r="V25" s="27">
        <f t="shared" ref="V25:V37" si="8">+A25</f>
        <v>44852</v>
      </c>
      <c r="W25" s="28">
        <f t="shared" si="6"/>
        <v>54491.279975999998</v>
      </c>
      <c r="X25" s="28">
        <f t="shared" si="7"/>
        <v>26337.423999999999</v>
      </c>
    </row>
    <row r="26" spans="1:24" x14ac:dyDescent="0.25">
      <c r="A26" s="27">
        <v>44853</v>
      </c>
      <c r="B26" s="28">
        <v>207</v>
      </c>
      <c r="C26" s="28"/>
      <c r="D26" s="28"/>
      <c r="E26" s="28">
        <v>22</v>
      </c>
      <c r="F26" s="29">
        <v>241</v>
      </c>
      <c r="G26" s="28"/>
      <c r="H26" s="28">
        <v>225</v>
      </c>
      <c r="I26" s="28"/>
      <c r="J26" s="13">
        <v>1030</v>
      </c>
      <c r="K26" s="34">
        <v>1246.086</v>
      </c>
      <c r="L26" s="52">
        <v>35766</v>
      </c>
      <c r="M26" s="30">
        <v>17069.5</v>
      </c>
      <c r="N26" s="30">
        <v>4983.88</v>
      </c>
      <c r="O26" s="30">
        <v>65210.31</v>
      </c>
      <c r="P26" s="31">
        <v>126.96</v>
      </c>
      <c r="Q26" s="30">
        <v>195</v>
      </c>
      <c r="R26" s="30">
        <v>8.4</v>
      </c>
      <c r="S26" s="30">
        <v>2538.81</v>
      </c>
      <c r="T26" s="32">
        <f t="shared" si="5"/>
        <v>3.3000000039464794E-3</v>
      </c>
      <c r="U26" s="30"/>
      <c r="V26" s="27">
        <f t="shared" si="8"/>
        <v>44853</v>
      </c>
      <c r="W26" s="28">
        <f t="shared" si="6"/>
        <v>48576.396436200004</v>
      </c>
      <c r="X26" s="28">
        <f t="shared" si="7"/>
        <v>21850.201000000001</v>
      </c>
    </row>
    <row r="27" spans="1:24" x14ac:dyDescent="0.25">
      <c r="A27" s="27">
        <v>44854</v>
      </c>
      <c r="B27" s="28">
        <v>149</v>
      </c>
      <c r="C27" s="28"/>
      <c r="D27" s="28"/>
      <c r="E27" s="28">
        <v>19</v>
      </c>
      <c r="F27" s="29">
        <v>229</v>
      </c>
      <c r="G27" s="28"/>
      <c r="H27" s="28"/>
      <c r="I27" s="28"/>
      <c r="J27" s="13">
        <v>814</v>
      </c>
      <c r="K27" s="6">
        <f>1298.907-27.836</f>
        <v>1271.0709999999999</v>
      </c>
      <c r="L27" s="52">
        <v>31316</v>
      </c>
      <c r="M27" s="30">
        <v>17887.25</v>
      </c>
      <c r="N27" s="30">
        <v>1833.18</v>
      </c>
      <c r="O27" s="30">
        <v>57227.24</v>
      </c>
      <c r="P27" s="33">
        <v>158.5</v>
      </c>
      <c r="Q27" s="30">
        <v>1035</v>
      </c>
      <c r="R27" s="30">
        <v>4.2</v>
      </c>
      <c r="S27" s="30">
        <v>3108.91</v>
      </c>
      <c r="T27" s="32">
        <f t="shared" si="5"/>
        <v>5.0000001465377863E-5</v>
      </c>
      <c r="U27" s="30"/>
      <c r="V27" s="27">
        <f t="shared" si="8"/>
        <v>44854</v>
      </c>
      <c r="W27" s="28">
        <f t="shared" si="6"/>
        <v>42869.982185699999</v>
      </c>
      <c r="X27" s="28">
        <f t="shared" si="7"/>
        <v>15808.9938</v>
      </c>
    </row>
    <row r="28" spans="1:24" x14ac:dyDescent="0.25">
      <c r="A28" s="27">
        <v>44855</v>
      </c>
      <c r="B28" s="28">
        <v>214</v>
      </c>
      <c r="C28" s="28">
        <v>1</v>
      </c>
      <c r="D28" s="28">
        <v>20</v>
      </c>
      <c r="E28" s="28">
        <v>24</v>
      </c>
      <c r="F28" s="29">
        <v>307</v>
      </c>
      <c r="G28" s="28"/>
      <c r="H28" s="28">
        <v>118</v>
      </c>
      <c r="I28" s="28"/>
      <c r="J28" s="13">
        <v>2288</v>
      </c>
      <c r="K28" s="34">
        <v>629.36500000000001</v>
      </c>
      <c r="L28" s="52">
        <v>31743</v>
      </c>
      <c r="M28" s="30">
        <v>16844.46</v>
      </c>
      <c r="N28" s="30">
        <v>4394.6400000000003</v>
      </c>
      <c r="O28" s="30">
        <v>60873.02</v>
      </c>
      <c r="P28" s="33">
        <v>142.52000000000001</v>
      </c>
      <c r="Q28" s="30">
        <v>1340</v>
      </c>
      <c r="R28" s="30">
        <v>25.2</v>
      </c>
      <c r="S28" s="30">
        <v>1391.36</v>
      </c>
      <c r="T28" s="32">
        <f t="shared" si="5"/>
        <v>-8.2499999925857992E-3</v>
      </c>
      <c r="U28" s="30"/>
      <c r="V28" s="27">
        <f t="shared" si="8"/>
        <v>44855</v>
      </c>
      <c r="W28" s="28">
        <f t="shared" si="6"/>
        <v>44808.219995499996</v>
      </c>
      <c r="X28" s="28">
        <f t="shared" si="7"/>
        <v>24035.009600000001</v>
      </c>
    </row>
    <row r="29" spans="1:24" x14ac:dyDescent="0.25">
      <c r="A29" s="27">
        <v>44856</v>
      </c>
      <c r="B29" s="28">
        <v>62</v>
      </c>
      <c r="C29" s="28"/>
      <c r="D29" s="28"/>
      <c r="E29" s="28">
        <v>3</v>
      </c>
      <c r="F29" s="29">
        <v>369</v>
      </c>
      <c r="G29" s="28">
        <v>3</v>
      </c>
      <c r="H29" s="28">
        <v>45</v>
      </c>
      <c r="I29" s="28"/>
      <c r="J29" s="13"/>
      <c r="K29" s="34">
        <v>243.79400000000001</v>
      </c>
      <c r="L29" s="52"/>
      <c r="M29" s="30">
        <v>13689.99</v>
      </c>
      <c r="N29" s="30"/>
      <c r="O29" s="30">
        <v>89.79</v>
      </c>
      <c r="P29" s="33"/>
      <c r="Q29" s="30">
        <v>30</v>
      </c>
      <c r="R29" s="30"/>
      <c r="S29" s="30">
        <v>254.79</v>
      </c>
      <c r="T29" s="32">
        <f t="shared" si="5"/>
        <v>6.9999999865899554E-4</v>
      </c>
      <c r="U29" s="30"/>
      <c r="V29" s="27">
        <f t="shared" si="8"/>
        <v>44856</v>
      </c>
      <c r="W29" s="28">
        <f t="shared" si="6"/>
        <v>8177.2447597999999</v>
      </c>
      <c r="X29" s="28">
        <f t="shared" si="7"/>
        <v>6200</v>
      </c>
    </row>
    <row r="30" spans="1:24" x14ac:dyDescent="0.25">
      <c r="A30" s="27">
        <v>44858</v>
      </c>
      <c r="B30" s="28">
        <v>133</v>
      </c>
      <c r="C30" s="28"/>
      <c r="D30" s="28"/>
      <c r="E30" s="28">
        <v>8</v>
      </c>
      <c r="F30" s="29">
        <v>338</v>
      </c>
      <c r="G30" s="28"/>
      <c r="H30" s="28">
        <v>75</v>
      </c>
      <c r="I30" s="28"/>
      <c r="J30" s="13">
        <f>1434+135</f>
        <v>1569</v>
      </c>
      <c r="K30" s="34">
        <v>1003.785</v>
      </c>
      <c r="L30" s="52">
        <f>41815-135</f>
        <v>41680</v>
      </c>
      <c r="M30" s="30">
        <v>16653.78</v>
      </c>
      <c r="N30" s="30">
        <v>1942.86</v>
      </c>
      <c r="O30" s="30">
        <f>74826.97+135*0.52-135*1.75+2.1</f>
        <v>74663.02</v>
      </c>
      <c r="P30" s="33">
        <v>123.47</v>
      </c>
      <c r="Q30" s="30">
        <v>1080</v>
      </c>
      <c r="R30" s="30">
        <f>31.5+2.1</f>
        <v>33.6</v>
      </c>
      <c r="S30" s="30">
        <v>783</v>
      </c>
      <c r="T30" s="32">
        <f t="shared" si="5"/>
        <v>6.7499999958045009E-3</v>
      </c>
      <c r="U30" s="30"/>
      <c r="V30" s="27">
        <f t="shared" si="8"/>
        <v>44858</v>
      </c>
      <c r="W30" s="28">
        <f t="shared" si="6"/>
        <v>55299.982709500007</v>
      </c>
      <c r="X30" s="28">
        <f t="shared" si="7"/>
        <v>15052.1023</v>
      </c>
    </row>
    <row r="31" spans="1:24" x14ac:dyDescent="0.25">
      <c r="A31" s="27">
        <v>44859</v>
      </c>
      <c r="B31" s="28">
        <v>268</v>
      </c>
      <c r="C31" s="28"/>
      <c r="D31" s="28"/>
      <c r="E31" s="28">
        <v>23</v>
      </c>
      <c r="F31" s="29">
        <v>281</v>
      </c>
      <c r="G31" s="28"/>
      <c r="H31" s="28">
        <v>90</v>
      </c>
      <c r="I31" s="28">
        <v>1</v>
      </c>
      <c r="J31" s="13">
        <v>1677</v>
      </c>
      <c r="K31" s="34">
        <v>750.82399999999996</v>
      </c>
      <c r="L31" s="52">
        <v>54445</v>
      </c>
      <c r="M31" s="30">
        <v>18524.400000000001</v>
      </c>
      <c r="N31" s="30">
        <v>5382.9</v>
      </c>
      <c r="O31" s="30">
        <v>98611.57</v>
      </c>
      <c r="P31" s="33">
        <v>322.17</v>
      </c>
      <c r="Q31" s="30">
        <v>1060</v>
      </c>
      <c r="R31" s="30">
        <v>25.2</v>
      </c>
      <c r="S31" s="30">
        <v>1038.78</v>
      </c>
      <c r="T31" s="32">
        <f t="shared" si="5"/>
        <v>-2.8000000143038051E-3</v>
      </c>
      <c r="U31" s="30"/>
      <c r="V31" s="27">
        <f t="shared" si="8"/>
        <v>44859</v>
      </c>
      <c r="W31" s="28">
        <f t="shared" si="6"/>
        <v>69654.176660800003</v>
      </c>
      <c r="X31" s="28">
        <f t="shared" si="7"/>
        <v>28672.705900000001</v>
      </c>
    </row>
    <row r="32" spans="1:24" x14ac:dyDescent="0.25">
      <c r="A32" s="27">
        <v>44860</v>
      </c>
      <c r="B32" s="28">
        <v>210</v>
      </c>
      <c r="C32" s="28"/>
      <c r="D32" s="28"/>
      <c r="E32" s="28">
        <v>20</v>
      </c>
      <c r="F32" s="7">
        <v>282</v>
      </c>
      <c r="G32" s="28"/>
      <c r="H32" s="28"/>
      <c r="I32" s="28"/>
      <c r="J32" s="13">
        <v>1468</v>
      </c>
      <c r="K32" s="34">
        <v>627.92999999999995</v>
      </c>
      <c r="L32" s="52">
        <v>38856</v>
      </c>
      <c r="M32" s="30">
        <v>16557.16</v>
      </c>
      <c r="N32" s="30">
        <v>3027.68</v>
      </c>
      <c r="O32" s="30">
        <v>71089.2</v>
      </c>
      <c r="P32" s="33">
        <v>112.12</v>
      </c>
      <c r="Q32" s="30">
        <v>225</v>
      </c>
      <c r="R32" s="30">
        <v>27.3</v>
      </c>
      <c r="S32" s="30">
        <v>698.41</v>
      </c>
      <c r="T32" s="32">
        <f t="shared" si="5"/>
        <v>1.5000000018972059E-3</v>
      </c>
      <c r="U32" s="30"/>
      <c r="V32" s="27">
        <f t="shared" si="8"/>
        <v>44860</v>
      </c>
      <c r="W32" s="28">
        <f t="shared" si="6"/>
        <v>51731.704631000001</v>
      </c>
      <c r="X32" s="28">
        <f t="shared" si="7"/>
        <v>22639.315600000002</v>
      </c>
    </row>
    <row r="33" spans="1:24" x14ac:dyDescent="0.25">
      <c r="A33" s="27">
        <v>44861</v>
      </c>
      <c r="B33" s="28">
        <v>208</v>
      </c>
      <c r="C33" s="28"/>
      <c r="D33" s="28"/>
      <c r="E33" s="28">
        <v>21</v>
      </c>
      <c r="F33" s="29">
        <v>275</v>
      </c>
      <c r="G33" s="28"/>
      <c r="H33" s="28">
        <v>60</v>
      </c>
      <c r="I33" s="28"/>
      <c r="J33" s="13">
        <v>2427</v>
      </c>
      <c r="K33" s="34">
        <v>748.27599999999995</v>
      </c>
      <c r="L33" s="52">
        <v>31716</v>
      </c>
      <c r="M33" s="30">
        <v>20938.12</v>
      </c>
      <c r="N33" s="30">
        <v>4041.97</v>
      </c>
      <c r="O33" s="30">
        <v>58432.91</v>
      </c>
      <c r="P33" s="33">
        <v>502.52</v>
      </c>
      <c r="Q33" s="30">
        <v>555</v>
      </c>
      <c r="R33" s="30">
        <v>25.2</v>
      </c>
      <c r="S33" s="30">
        <v>5327.02</v>
      </c>
      <c r="T33" s="32">
        <f t="shared" si="5"/>
        <v>7.8000000094107236E-3</v>
      </c>
      <c r="U33" s="30"/>
      <c r="V33" s="27">
        <f t="shared" si="8"/>
        <v>44861</v>
      </c>
      <c r="W33" s="28">
        <f t="shared" si="6"/>
        <v>43912.857009200001</v>
      </c>
      <c r="X33" s="28">
        <f t="shared" si="7"/>
        <v>23510.230899999999</v>
      </c>
    </row>
    <row r="34" spans="1:24" x14ac:dyDescent="0.25">
      <c r="A34" s="27">
        <v>44862</v>
      </c>
      <c r="B34" s="28">
        <v>218</v>
      </c>
      <c r="C34" s="28"/>
      <c r="D34" s="28"/>
      <c r="E34" s="28">
        <v>22</v>
      </c>
      <c r="F34" s="29">
        <v>366</v>
      </c>
      <c r="G34" s="28"/>
      <c r="H34" s="28">
        <v>40</v>
      </c>
      <c r="I34" s="28">
        <v>1</v>
      </c>
      <c r="J34" s="98">
        <v>1119</v>
      </c>
      <c r="K34" s="99">
        <v>721.33799999999997</v>
      </c>
      <c r="L34" s="100">
        <v>35008</v>
      </c>
      <c r="M34" s="30">
        <v>19522.64</v>
      </c>
      <c r="N34" s="30">
        <v>5386.8</v>
      </c>
      <c r="O34" s="30">
        <v>64887.14</v>
      </c>
      <c r="P34" s="101">
        <v>145.76</v>
      </c>
      <c r="Q34" s="30">
        <v>730</v>
      </c>
      <c r="R34" s="30">
        <v>18.899999999999999</v>
      </c>
      <c r="S34" s="30">
        <v>3216.5</v>
      </c>
      <c r="T34" s="32">
        <f t="shared" si="5"/>
        <v>3.8999999965199095E-3</v>
      </c>
      <c r="U34" s="30"/>
      <c r="V34" s="27">
        <f t="shared" si="8"/>
        <v>44862</v>
      </c>
      <c r="W34" s="28">
        <f t="shared" si="6"/>
        <v>49465.951744600003</v>
      </c>
      <c r="X34" s="28">
        <f t="shared" si="7"/>
        <v>23049.587299999999</v>
      </c>
    </row>
    <row r="35" spans="1:24" x14ac:dyDescent="0.25">
      <c r="A35" s="27">
        <v>44863</v>
      </c>
      <c r="B35" s="28">
        <v>114</v>
      </c>
      <c r="C35" s="28"/>
      <c r="D35" s="28"/>
      <c r="E35" s="28">
        <v>4</v>
      </c>
      <c r="F35" s="29">
        <v>391</v>
      </c>
      <c r="G35" s="28"/>
      <c r="H35" s="28">
        <v>80</v>
      </c>
      <c r="I35" s="28"/>
      <c r="J35" s="98"/>
      <c r="K35" s="99">
        <v>426.52</v>
      </c>
      <c r="L35" s="100"/>
      <c r="M35" s="30">
        <v>18913.259999999998</v>
      </c>
      <c r="N35" s="30"/>
      <c r="O35" s="30">
        <v>40.49</v>
      </c>
      <c r="P35" s="101">
        <v>46.38</v>
      </c>
      <c r="Q35" s="30">
        <v>35</v>
      </c>
      <c r="R35" s="30"/>
      <c r="S35" s="30">
        <v>2285</v>
      </c>
      <c r="T35" s="32">
        <f t="shared" si="5"/>
        <v>-3.9999999980864231E-3</v>
      </c>
      <c r="U35" s="30"/>
      <c r="V35" s="27">
        <f t="shared" si="8"/>
        <v>44863</v>
      </c>
      <c r="W35" s="28">
        <f>SUM(E35*100+F35*20+G35*60+H35+I35*7+K35*1.1167+L35*1.1167)</f>
        <v>8776.2948840000008</v>
      </c>
      <c r="X35" s="28">
        <f>SUM(B35*100+C35*60+D35+J35*1.1167)</f>
        <v>11400</v>
      </c>
    </row>
    <row r="36" spans="1:24" x14ac:dyDescent="0.25">
      <c r="A36" s="27">
        <v>44865</v>
      </c>
      <c r="B36" s="28">
        <v>236</v>
      </c>
      <c r="C36" s="28"/>
      <c r="D36" s="28">
        <v>20</v>
      </c>
      <c r="E36" s="28">
        <v>19</v>
      </c>
      <c r="F36" s="29">
        <v>432</v>
      </c>
      <c r="G36" s="28"/>
      <c r="H36" s="28">
        <v>15</v>
      </c>
      <c r="I36" s="28"/>
      <c r="J36" s="98">
        <v>1599</v>
      </c>
      <c r="K36" s="99">
        <v>1553.0730000000001</v>
      </c>
      <c r="L36" s="100">
        <v>41891</v>
      </c>
      <c r="M36" s="30">
        <v>22318.49</v>
      </c>
      <c r="N36" s="30">
        <v>3282.55</v>
      </c>
      <c r="O36" s="30">
        <f>76923.15-2.1</f>
        <v>76921.049999999988</v>
      </c>
      <c r="P36" s="101">
        <v>83.76</v>
      </c>
      <c r="Q36" s="30">
        <v>185</v>
      </c>
      <c r="R36" s="30">
        <f>18.9-2.1</f>
        <v>16.799999999999997</v>
      </c>
      <c r="S36" s="30">
        <v>849.75</v>
      </c>
      <c r="T36" s="32">
        <f t="shared" si="5"/>
        <v>-8.5000000490254024E-4</v>
      </c>
      <c r="U36" s="30"/>
      <c r="V36" s="27">
        <f t="shared" si="8"/>
        <v>44865</v>
      </c>
      <c r="W36" s="28">
        <f>SUM(E36*100+F36*20+G36*60+H36+I36*7+K36*1.1167+L36*1.1167)</f>
        <v>59068.996319099999</v>
      </c>
      <c r="X36" s="28">
        <f>SUM(B36*100+C36*60+D36+J36*1.1167)</f>
        <v>25405.603299999999</v>
      </c>
    </row>
    <row r="37" spans="1:24" x14ac:dyDescent="0.25">
      <c r="A37" s="35"/>
      <c r="B37" s="36"/>
      <c r="C37" s="36"/>
      <c r="D37" s="36"/>
      <c r="E37" s="36"/>
      <c r="F37" s="37"/>
      <c r="G37" s="36"/>
      <c r="H37" s="36"/>
      <c r="I37" s="36"/>
      <c r="J37" s="38"/>
      <c r="K37" s="39"/>
      <c r="L37" s="53"/>
      <c r="M37" s="40"/>
      <c r="N37" s="40"/>
      <c r="O37" s="40"/>
      <c r="P37" s="54"/>
      <c r="Q37" s="40"/>
      <c r="R37" s="40"/>
      <c r="S37" s="40"/>
      <c r="T37" s="42">
        <f t="shared" si="5"/>
        <v>0</v>
      </c>
      <c r="U37" s="40"/>
      <c r="V37" s="35">
        <f t="shared" si="8"/>
        <v>0</v>
      </c>
      <c r="W37" s="36">
        <f t="shared" si="6"/>
        <v>0</v>
      </c>
      <c r="X37" s="36">
        <f t="shared" si="7"/>
        <v>0</v>
      </c>
    </row>
    <row r="38" spans="1:24" x14ac:dyDescent="0.25">
      <c r="A38" s="50" t="s">
        <v>36</v>
      </c>
      <c r="B38" s="43">
        <f t="shared" ref="B38:Q38" si="9">SUM(B24:B37)</f>
        <v>2404</v>
      </c>
      <c r="C38" s="43">
        <f t="shared" si="9"/>
        <v>1</v>
      </c>
      <c r="D38" s="43">
        <f t="shared" si="9"/>
        <v>40</v>
      </c>
      <c r="E38" s="43">
        <f t="shared" si="9"/>
        <v>213</v>
      </c>
      <c r="F38" s="43">
        <f t="shared" si="9"/>
        <v>4144</v>
      </c>
      <c r="G38" s="43">
        <f t="shared" si="9"/>
        <v>6</v>
      </c>
      <c r="H38" s="43">
        <f t="shared" si="9"/>
        <v>788</v>
      </c>
      <c r="I38" s="43">
        <f t="shared" si="9"/>
        <v>2</v>
      </c>
      <c r="J38" s="43">
        <f t="shared" si="9"/>
        <v>18349</v>
      </c>
      <c r="K38" s="94">
        <f t="shared" si="9"/>
        <v>11149.697</v>
      </c>
      <c r="L38" s="43">
        <f t="shared" si="9"/>
        <v>425272</v>
      </c>
      <c r="M38" s="43">
        <f t="shared" si="9"/>
        <v>232783.10000000003</v>
      </c>
      <c r="N38" s="43">
        <f t="shared" si="9"/>
        <v>42384.380000000005</v>
      </c>
      <c r="O38" s="43">
        <f t="shared" si="9"/>
        <v>779018.85000000009</v>
      </c>
      <c r="P38" s="43">
        <f t="shared" si="9"/>
        <v>2027.1800000000003</v>
      </c>
      <c r="Q38" s="43">
        <f t="shared" si="9"/>
        <v>7495</v>
      </c>
      <c r="R38" s="43">
        <f>SUM(R24:R37)</f>
        <v>228.89999999999998</v>
      </c>
      <c r="S38" s="43">
        <f>SUM(S24:S37)</f>
        <v>24603.68</v>
      </c>
      <c r="T38" s="43">
        <f>SUM(T24:T36)</f>
        <v>2.3500000082492534E-3</v>
      </c>
      <c r="U38" s="43"/>
      <c r="V38" s="43"/>
      <c r="W38" s="43">
        <f>SUM(W24:W37)</f>
        <v>592694.10903990001</v>
      </c>
      <c r="X38" s="43">
        <f>SUM(X24:X37)</f>
        <v>260990.32830000002</v>
      </c>
    </row>
    <row r="39" spans="1:24" x14ac:dyDescent="0.25">
      <c r="A39" s="55" t="s">
        <v>37</v>
      </c>
      <c r="B39" s="56">
        <f>(B38*100)</f>
        <v>240400</v>
      </c>
      <c r="C39" s="56">
        <f>(C38*60)</f>
        <v>60</v>
      </c>
      <c r="D39" s="56">
        <f>(D38)</f>
        <v>40</v>
      </c>
      <c r="E39" s="56">
        <f>(E38*100)</f>
        <v>21300</v>
      </c>
      <c r="F39" s="56">
        <f>(F38*20)</f>
        <v>82880</v>
      </c>
      <c r="G39" s="56">
        <f>(G38*60)</f>
        <v>360</v>
      </c>
      <c r="H39" s="56">
        <f>(H38)</f>
        <v>788</v>
      </c>
      <c r="I39" s="56">
        <f>+I38*7</f>
        <v>14</v>
      </c>
      <c r="J39" s="57">
        <f>(J38*1.1167)</f>
        <v>20490.328300000001</v>
      </c>
      <c r="K39" s="58">
        <f>(K38*1.1167)</f>
        <v>12450.866639900001</v>
      </c>
      <c r="L39" s="59">
        <f>(L38*1.1167)</f>
        <v>474901.24239999999</v>
      </c>
      <c r="M39" s="60"/>
      <c r="N39" s="60"/>
      <c r="O39" s="60"/>
      <c r="P39" s="60"/>
      <c r="Q39" s="60"/>
      <c r="R39" s="60"/>
      <c r="S39" s="60"/>
      <c r="T39" s="60"/>
      <c r="U39" s="56"/>
      <c r="V39" s="61" t="s">
        <v>35</v>
      </c>
      <c r="W39" s="56">
        <f>+L47+L48+L49+L50-W38</f>
        <v>0</v>
      </c>
      <c r="X39" s="56">
        <f>+L46-X38</f>
        <v>0</v>
      </c>
    </row>
    <row r="40" spans="1:24" ht="26.25" x14ac:dyDescent="0.25">
      <c r="A40" s="62" t="s">
        <v>38</v>
      </c>
      <c r="B40" s="43">
        <f t="shared" ref="B40:T40" si="10">(B20+B38)</f>
        <v>4862</v>
      </c>
      <c r="C40" s="43">
        <f t="shared" si="10"/>
        <v>1</v>
      </c>
      <c r="D40" s="43">
        <f t="shared" si="10"/>
        <v>60</v>
      </c>
      <c r="E40" s="43">
        <f t="shared" si="10"/>
        <v>387</v>
      </c>
      <c r="F40" s="43">
        <f t="shared" si="10"/>
        <v>8441</v>
      </c>
      <c r="G40" s="43">
        <f t="shared" si="10"/>
        <v>9</v>
      </c>
      <c r="H40" s="43">
        <f t="shared" si="10"/>
        <v>1796</v>
      </c>
      <c r="I40" s="43">
        <f t="shared" si="10"/>
        <v>4</v>
      </c>
      <c r="J40" s="43">
        <f t="shared" si="10"/>
        <v>41030</v>
      </c>
      <c r="K40" s="45">
        <f t="shared" si="10"/>
        <v>22567.883000000002</v>
      </c>
      <c r="L40" s="43">
        <f t="shared" si="10"/>
        <v>799749</v>
      </c>
      <c r="M40" s="43">
        <f t="shared" si="10"/>
        <v>459418.34</v>
      </c>
      <c r="N40" s="43">
        <f t="shared" si="10"/>
        <v>88342.010000000009</v>
      </c>
      <c r="O40" s="43">
        <f t="shared" si="10"/>
        <v>1468523.54</v>
      </c>
      <c r="P40" s="43">
        <f t="shared" si="10"/>
        <v>3954.67</v>
      </c>
      <c r="Q40" s="43">
        <f t="shared" si="10"/>
        <v>12805</v>
      </c>
      <c r="R40" s="43">
        <f t="shared" si="10"/>
        <v>484.5</v>
      </c>
      <c r="S40" s="43">
        <f t="shared" si="10"/>
        <v>45147.45</v>
      </c>
      <c r="T40" s="43">
        <f t="shared" si="10"/>
        <v>1.6650000059343029E-2</v>
      </c>
      <c r="U40" s="43"/>
      <c r="V40" s="43"/>
      <c r="W40" s="43">
        <f>(W20+W38)</f>
        <v>1128165.2632460999</v>
      </c>
      <c r="X40" s="43">
        <f>(X20+X38)</f>
        <v>532138.201</v>
      </c>
    </row>
    <row r="41" spans="1:24" x14ac:dyDescent="0.25">
      <c r="A41" s="55" t="s">
        <v>37</v>
      </c>
      <c r="B41" s="56">
        <f>(B40*100)</f>
        <v>486200</v>
      </c>
      <c r="C41" s="56">
        <f>(C40*60)</f>
        <v>60</v>
      </c>
      <c r="D41" s="56">
        <f>(D40)</f>
        <v>60</v>
      </c>
      <c r="E41" s="56">
        <f>(E40*100)</f>
        <v>38700</v>
      </c>
      <c r="F41" s="63">
        <f>(F40*20)</f>
        <v>168820</v>
      </c>
      <c r="G41" s="56">
        <f>(G40*60)</f>
        <v>540</v>
      </c>
      <c r="H41" s="56">
        <f>(H40)</f>
        <v>1796</v>
      </c>
      <c r="I41" s="56">
        <f>+I40*7</f>
        <v>28</v>
      </c>
      <c r="J41" s="57">
        <f>(J40*1.1167)</f>
        <v>45818.201000000001</v>
      </c>
      <c r="K41" s="58">
        <f>(K40*1.1167)</f>
        <v>25201.554946100001</v>
      </c>
      <c r="L41" s="59">
        <f>(L40*1.1167)</f>
        <v>893079.70830000006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56">
        <f>+D55+D56+D57+D58-W40</f>
        <v>0</v>
      </c>
      <c r="X41" s="56">
        <f>+D54-X40</f>
        <v>0</v>
      </c>
    </row>
    <row r="42" spans="1:24" x14ac:dyDescent="0.25">
      <c r="A42" s="51"/>
      <c r="B42" s="51"/>
      <c r="C42" s="51"/>
      <c r="D42" s="51"/>
      <c r="E42" s="51"/>
      <c r="F42" s="64"/>
      <c r="G42" s="51"/>
      <c r="H42" s="51"/>
      <c r="I42" s="51"/>
      <c r="J42" s="13"/>
      <c r="K42" s="65"/>
      <c r="L42" s="66"/>
      <c r="M42" s="67"/>
      <c r="N42" s="67"/>
      <c r="O42" s="67"/>
      <c r="P42" s="67"/>
      <c r="Q42" s="67"/>
      <c r="R42" s="67"/>
      <c r="S42" s="67"/>
      <c r="T42" s="67"/>
      <c r="U42" s="1"/>
      <c r="V42" s="1"/>
      <c r="W42" s="1"/>
      <c r="X42" s="1"/>
    </row>
    <row r="43" spans="1:24" x14ac:dyDescent="0.25">
      <c r="A43" s="51"/>
      <c r="B43" s="51"/>
      <c r="C43" s="51"/>
      <c r="D43" s="51"/>
      <c r="E43" s="51"/>
      <c r="F43" s="64"/>
      <c r="G43" s="51"/>
      <c r="H43" s="51"/>
      <c r="I43" s="51"/>
      <c r="J43" s="13"/>
      <c r="K43" s="65"/>
      <c r="L43" s="66"/>
      <c r="M43" s="67"/>
      <c r="N43" s="67"/>
      <c r="O43" s="67"/>
      <c r="P43" s="67"/>
      <c r="Q43" s="67"/>
      <c r="R43" s="67"/>
      <c r="S43" s="67"/>
      <c r="T43" s="67"/>
      <c r="U43" s="1"/>
      <c r="V43" s="1"/>
      <c r="W43" s="1"/>
      <c r="X43" s="1"/>
    </row>
    <row r="44" spans="1:24" x14ac:dyDescent="0.25">
      <c r="A44" s="51"/>
      <c r="B44" s="51"/>
      <c r="C44" s="51"/>
      <c r="D44" s="51"/>
      <c r="E44" s="51"/>
      <c r="F44" s="64"/>
      <c r="G44" s="51"/>
      <c r="H44" s="51"/>
      <c r="I44" s="51"/>
      <c r="J44" s="13"/>
      <c r="K44" s="65"/>
      <c r="L44" s="66"/>
      <c r="M44" s="67"/>
      <c r="N44" s="67"/>
      <c r="O44" s="67"/>
      <c r="P44" s="67"/>
      <c r="Q44" s="67"/>
      <c r="R44" s="67"/>
      <c r="S44" s="67"/>
      <c r="T44" s="67"/>
      <c r="U44" s="1"/>
      <c r="V44" s="1"/>
      <c r="W44" s="1"/>
      <c r="X44" s="1"/>
    </row>
    <row r="45" spans="1:24" x14ac:dyDescent="0.25">
      <c r="A45" s="27"/>
      <c r="B45" s="68" t="s">
        <v>39</v>
      </c>
      <c r="C45" s="56"/>
      <c r="D45" s="56"/>
      <c r="E45" s="56"/>
      <c r="F45" s="43"/>
      <c r="G45" s="43"/>
      <c r="H45" s="43"/>
      <c r="I45" s="43"/>
      <c r="J45" s="57" t="s">
        <v>40</v>
      </c>
      <c r="K45" s="58"/>
      <c r="L45" s="59"/>
      <c r="M45" s="6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27"/>
      <c r="B46" s="69" t="s">
        <v>41</v>
      </c>
      <c r="C46" s="43"/>
      <c r="D46" s="43">
        <f>SUM(B21:D21)+J21</f>
        <v>271147.87270000001</v>
      </c>
      <c r="E46" s="70" t="s">
        <v>42</v>
      </c>
      <c r="F46" s="70"/>
      <c r="G46" s="43"/>
      <c r="H46" s="43"/>
      <c r="I46" s="43"/>
      <c r="J46" s="44" t="s">
        <v>41</v>
      </c>
      <c r="K46" s="47"/>
      <c r="L46" s="48">
        <f>SUM(B39:D39)+J39</f>
        <v>260990.32829999999</v>
      </c>
      <c r="M46" s="2" t="s">
        <v>42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27"/>
      <c r="B47" s="69" t="s">
        <v>43</v>
      </c>
      <c r="C47" s="43"/>
      <c r="D47" s="43">
        <f>F21</f>
        <v>85940</v>
      </c>
      <c r="E47" s="70" t="s">
        <v>42</v>
      </c>
      <c r="F47" s="70"/>
      <c r="G47" s="43"/>
      <c r="H47" s="43"/>
      <c r="I47" s="43"/>
      <c r="J47" s="71" t="s">
        <v>43</v>
      </c>
      <c r="K47" s="47"/>
      <c r="L47" s="48">
        <f>F39</f>
        <v>82880</v>
      </c>
      <c r="M47" s="2" t="s">
        <v>42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27"/>
      <c r="B48" s="69" t="s">
        <v>44</v>
      </c>
      <c r="C48" s="43"/>
      <c r="D48" s="43">
        <f>SUM(E21,G21,H21,I21)</f>
        <v>18602</v>
      </c>
      <c r="E48" s="70" t="s">
        <v>42</v>
      </c>
      <c r="F48" s="70"/>
      <c r="G48" s="43"/>
      <c r="H48" s="43"/>
      <c r="I48" s="43"/>
      <c r="J48" s="44" t="s">
        <v>44</v>
      </c>
      <c r="K48" s="47"/>
      <c r="L48" s="48">
        <f>SUM(E39:I39)-F39</f>
        <v>22462</v>
      </c>
      <c r="M48" s="2" t="s">
        <v>42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27"/>
      <c r="B49" s="69" t="s">
        <v>45</v>
      </c>
      <c r="C49" s="43"/>
      <c r="D49" s="94">
        <f>+K21</f>
        <v>12750.688306200002</v>
      </c>
      <c r="E49" s="70" t="s">
        <v>42</v>
      </c>
      <c r="F49" s="70"/>
      <c r="G49" s="43"/>
      <c r="H49" s="43"/>
      <c r="I49" s="43"/>
      <c r="J49" s="71" t="s">
        <v>45</v>
      </c>
      <c r="K49" s="47"/>
      <c r="L49" s="48">
        <f>+K39</f>
        <v>12450.866639900001</v>
      </c>
      <c r="M49" s="2" t="s">
        <v>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27"/>
      <c r="B50" s="72" t="s">
        <v>46</v>
      </c>
      <c r="C50" s="56"/>
      <c r="D50" s="56">
        <f>+L21</f>
        <v>418178.46590000001</v>
      </c>
      <c r="E50" s="73" t="s">
        <v>42</v>
      </c>
      <c r="F50" s="73"/>
      <c r="G50" s="43"/>
      <c r="H50" s="43"/>
      <c r="I50" s="43"/>
      <c r="J50" s="57" t="s">
        <v>46</v>
      </c>
      <c r="K50" s="58"/>
      <c r="L50" s="59">
        <f>+L39</f>
        <v>474901.24239999999</v>
      </c>
      <c r="M50" s="74" t="s">
        <v>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27"/>
      <c r="B51" s="69"/>
      <c r="C51" s="43"/>
      <c r="D51" s="43">
        <f>SUM(D46:D50)</f>
        <v>806619.02690619999</v>
      </c>
      <c r="E51" s="70" t="s">
        <v>42</v>
      </c>
      <c r="F51" s="70"/>
      <c r="G51" s="43"/>
      <c r="H51" s="43"/>
      <c r="I51" s="43"/>
      <c r="J51" s="75"/>
      <c r="K51" s="76"/>
      <c r="L51" s="77">
        <f>SUM(L46:L50)</f>
        <v>853684.43733990006</v>
      </c>
      <c r="M51" s="2" t="s">
        <v>42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27"/>
      <c r="B52" s="69"/>
      <c r="C52" s="43"/>
      <c r="D52" s="43"/>
      <c r="E52" s="70"/>
      <c r="F52" s="70"/>
      <c r="G52" s="43"/>
      <c r="H52" s="43"/>
      <c r="I52" s="43"/>
      <c r="J52" s="75"/>
      <c r="K52" s="76"/>
      <c r="L52" s="77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thickBot="1" x14ac:dyDescent="0.3">
      <c r="A53" s="27"/>
      <c r="B53" s="78"/>
      <c r="C53" s="78"/>
      <c r="D53" s="79" t="s">
        <v>47</v>
      </c>
      <c r="E53" s="78"/>
      <c r="F53" s="78"/>
      <c r="G53" s="78"/>
      <c r="H53" s="78"/>
      <c r="I53" s="78"/>
      <c r="J53" s="80"/>
      <c r="K53" s="47"/>
      <c r="L53" s="48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27"/>
      <c r="B54" s="81" t="s">
        <v>41</v>
      </c>
      <c r="C54" s="43"/>
      <c r="D54" s="43">
        <f>+D46+L46</f>
        <v>532138.201</v>
      </c>
      <c r="E54" s="70" t="s">
        <v>42</v>
      </c>
      <c r="F54" s="70" t="s">
        <v>48</v>
      </c>
      <c r="G54" s="82">
        <f>D5</f>
        <v>0.46379999999999999</v>
      </c>
      <c r="H54" s="70" t="s">
        <v>33</v>
      </c>
      <c r="I54" s="70"/>
      <c r="J54" s="44">
        <f>D54*G54</f>
        <v>246805.69762379999</v>
      </c>
      <c r="K54" s="47">
        <f>+D54-X40</f>
        <v>0</v>
      </c>
      <c r="L54" s="48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69" t="s">
        <v>43</v>
      </c>
      <c r="C55" s="43"/>
      <c r="D55" s="43">
        <f>D47+L47</f>
        <v>168820</v>
      </c>
      <c r="E55" s="70" t="s">
        <v>42</v>
      </c>
      <c r="F55" s="70" t="s">
        <v>48</v>
      </c>
      <c r="G55" s="83">
        <f>F5/20</f>
        <v>1.2749999999999999</v>
      </c>
      <c r="H55" s="70" t="s">
        <v>33</v>
      </c>
      <c r="I55" s="70"/>
      <c r="J55" s="44">
        <f>D55*G55</f>
        <v>215245.49999999997</v>
      </c>
      <c r="K55" s="47">
        <f>+D55+D56+D57+D58-W40</f>
        <v>0</v>
      </c>
      <c r="L55" s="48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81" t="s">
        <v>44</v>
      </c>
      <c r="C56" s="43"/>
      <c r="D56" s="43">
        <f>+D48+L48</f>
        <v>41064</v>
      </c>
      <c r="E56" s="70" t="s">
        <v>42</v>
      </c>
      <c r="F56" s="70" t="s">
        <v>48</v>
      </c>
      <c r="G56" s="83">
        <f>E5/100</f>
        <v>1.585</v>
      </c>
      <c r="H56" s="70" t="s">
        <v>33</v>
      </c>
      <c r="I56" s="70"/>
      <c r="J56" s="75">
        <f>D56*G56</f>
        <v>65086.439999999995</v>
      </c>
      <c r="K56" s="47"/>
      <c r="L56" s="48"/>
      <c r="M56" s="4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27"/>
      <c r="B57" s="69" t="s">
        <v>45</v>
      </c>
      <c r="C57" s="43"/>
      <c r="D57" s="43">
        <f>+D49+L49</f>
        <v>25201.554946100005</v>
      </c>
      <c r="E57" s="70" t="s">
        <v>42</v>
      </c>
      <c r="F57" s="70" t="s">
        <v>48</v>
      </c>
      <c r="G57" s="83">
        <f>K5/1.1167</f>
        <v>1.3880182681113997</v>
      </c>
      <c r="H57" s="70" t="s">
        <v>33</v>
      </c>
      <c r="I57" s="70"/>
      <c r="J57" s="75">
        <f>+D57*G57</f>
        <v>34980.21865000001</v>
      </c>
      <c r="K57" s="47"/>
      <c r="L57" s="48"/>
      <c r="M57" s="4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thickBot="1" x14ac:dyDescent="0.3">
      <c r="A58" s="27"/>
      <c r="B58" s="79" t="s">
        <v>46</v>
      </c>
      <c r="C58" s="78"/>
      <c r="D58" s="78">
        <f>+D50+L50</f>
        <v>893079.70830000006</v>
      </c>
      <c r="E58" s="84" t="s">
        <v>42</v>
      </c>
      <c r="F58" s="84" t="s">
        <v>48</v>
      </c>
      <c r="G58" s="85">
        <f>L5/1.1167</f>
        <v>1.5671173994806125</v>
      </c>
      <c r="H58" s="84" t="s">
        <v>33</v>
      </c>
      <c r="I58" s="84"/>
      <c r="J58" s="80">
        <f>D58*G58</f>
        <v>1399560.75</v>
      </c>
      <c r="K58" s="47"/>
      <c r="L58" s="48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27"/>
      <c r="B59" s="81"/>
      <c r="C59" s="43"/>
      <c r="D59" s="43">
        <f>SUM(D54:D58)</f>
        <v>1660303.4642461</v>
      </c>
      <c r="E59" s="70"/>
      <c r="F59" s="70"/>
      <c r="G59" s="83"/>
      <c r="H59" s="70"/>
      <c r="I59" s="70"/>
      <c r="J59" s="75">
        <f>SUM(J54:J58)</f>
        <v>1961678.6062738001</v>
      </c>
      <c r="K59" s="47"/>
      <c r="L59" s="48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27"/>
      <c r="B60" s="81"/>
      <c r="C60" s="43"/>
      <c r="D60" s="43">
        <f>+D59-W40-X40</f>
        <v>0</v>
      </c>
      <c r="E60" s="70"/>
      <c r="F60" s="70"/>
      <c r="G60" s="83"/>
      <c r="H60" s="70"/>
      <c r="I60" s="70"/>
      <c r="J60" s="75"/>
      <c r="K60" s="47"/>
      <c r="L60" s="48"/>
      <c r="M60" s="4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J61" s="86"/>
    </row>
  </sheetData>
  <pageMargins left="0.17" right="0.17" top="0.49" bottom="0.44" header="0.3" footer="0.3"/>
  <pageSetup scale="5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32B8-CE4A-4530-8309-B00E448C1825}">
  <dimension ref="A1:Y63"/>
  <sheetViews>
    <sheetView topLeftCell="A28" workbookViewId="0">
      <selection activeCell="Y7" sqref="Y7"/>
    </sheetView>
  </sheetViews>
  <sheetFormatPr defaultColWidth="11.140625" defaultRowHeight="12.75" x14ac:dyDescent="0.2"/>
  <cols>
    <col min="1" max="1" width="13.42578125" style="103" customWidth="1"/>
    <col min="2" max="2" width="10.42578125" style="103" customWidth="1"/>
    <col min="3" max="3" width="11.140625" style="103" customWidth="1"/>
    <col min="4" max="4" width="9.28515625" style="103" customWidth="1"/>
    <col min="5" max="5" width="14" style="103" customWidth="1"/>
    <col min="6" max="6" width="10.28515625" style="103" customWidth="1"/>
    <col min="7" max="7" width="9.42578125" style="103" customWidth="1"/>
    <col min="8" max="10" width="11.140625" style="103"/>
    <col min="11" max="11" width="14.140625" style="103" customWidth="1"/>
    <col min="12" max="12" width="14.7109375" style="103" customWidth="1"/>
    <col min="13" max="13" width="12.85546875" style="103" customWidth="1"/>
    <col min="14" max="14" width="14.7109375" style="103" customWidth="1"/>
    <col min="15" max="15" width="14.28515625" style="103" customWidth="1"/>
    <col min="16" max="16" width="15.42578125" style="103" customWidth="1"/>
    <col min="17" max="17" width="14.140625" style="103" customWidth="1"/>
    <col min="18" max="18" width="12.5703125" style="103" customWidth="1"/>
    <col min="19" max="19" width="11.140625" style="103"/>
    <col min="20" max="20" width="13.42578125" style="103" customWidth="1"/>
    <col min="21" max="21" width="12.42578125" style="103" bestFit="1" customWidth="1"/>
    <col min="22" max="22" width="11.140625" style="103"/>
    <col min="23" max="23" width="14" style="103" customWidth="1"/>
    <col min="24" max="16384" width="11.140625" style="103"/>
  </cols>
  <sheetData>
    <row r="1" spans="1:25" x14ac:dyDescent="0.2">
      <c r="A1" s="1" t="s">
        <v>49</v>
      </c>
      <c r="B1" s="1"/>
      <c r="C1" s="1"/>
      <c r="D1" s="2" t="s">
        <v>0</v>
      </c>
      <c r="E1" s="3">
        <v>44866</v>
      </c>
      <c r="F1" s="4"/>
      <c r="G1" s="1"/>
      <c r="H1" s="1"/>
      <c r="I1" s="1"/>
      <c r="J1" s="1"/>
      <c r="K1" s="5"/>
      <c r="L1" s="6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5"/>
      <c r="L2" s="6"/>
      <c r="M2" s="7"/>
      <c r="N2" s="1"/>
      <c r="O2" s="1"/>
      <c r="P2" s="1"/>
      <c r="Q2" s="1"/>
      <c r="R2" s="1"/>
      <c r="S2" s="1"/>
      <c r="T2" s="1"/>
      <c r="U2" s="1"/>
      <c r="V2" s="1"/>
      <c r="W2" s="1" t="s">
        <v>1</v>
      </c>
      <c r="X2" s="1"/>
      <c r="Y2" s="1"/>
    </row>
    <row r="3" spans="1:25" x14ac:dyDescent="0.2">
      <c r="A3" s="1"/>
      <c r="B3" s="1"/>
      <c r="C3" s="1"/>
      <c r="D3" s="8" t="s">
        <v>2</v>
      </c>
      <c r="E3" s="9"/>
      <c r="F3" s="1"/>
      <c r="G3" s="8" t="s">
        <v>3</v>
      </c>
      <c r="H3" s="1"/>
      <c r="I3" s="1"/>
      <c r="J3" s="8" t="s">
        <v>4</v>
      </c>
      <c r="K3" s="5" t="s">
        <v>5</v>
      </c>
      <c r="L3" s="10" t="s">
        <v>6</v>
      </c>
      <c r="M3" s="11" t="s">
        <v>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1"/>
      <c r="B4" s="12"/>
      <c r="C4" s="12"/>
      <c r="D4" s="9"/>
      <c r="E4" s="1"/>
      <c r="F4" s="1"/>
      <c r="G4" s="9"/>
      <c r="H4" s="9"/>
      <c r="I4" s="1"/>
      <c r="J4" s="8" t="s">
        <v>8</v>
      </c>
      <c r="K4" s="13" t="s">
        <v>9</v>
      </c>
      <c r="L4" s="14" t="s">
        <v>10</v>
      </c>
      <c r="M4" s="11" t="s">
        <v>11</v>
      </c>
      <c r="N4" s="15" t="s">
        <v>12</v>
      </c>
      <c r="O4" s="15" t="s">
        <v>13</v>
      </c>
      <c r="P4" s="15" t="s">
        <v>14</v>
      </c>
      <c r="Q4" s="15" t="s">
        <v>15</v>
      </c>
      <c r="R4" s="15" t="s">
        <v>16</v>
      </c>
      <c r="S4" s="15" t="s">
        <v>17</v>
      </c>
      <c r="T4" s="15" t="s">
        <v>18</v>
      </c>
      <c r="U4" s="15" t="s">
        <v>19</v>
      </c>
      <c r="V4" s="15"/>
      <c r="W4" s="9" t="s">
        <v>20</v>
      </c>
      <c r="X4" s="1"/>
      <c r="Y4" s="1"/>
    </row>
    <row r="5" spans="1:25" x14ac:dyDescent="0.2">
      <c r="A5" s="16"/>
      <c r="B5" s="104">
        <v>46.38</v>
      </c>
      <c r="C5" s="104">
        <v>60</v>
      </c>
      <c r="D5" s="21">
        <v>27.83</v>
      </c>
      <c r="E5" s="105">
        <v>0.46379999999999999</v>
      </c>
      <c r="F5" s="106">
        <v>158.5</v>
      </c>
      <c r="G5" s="21">
        <v>25.5</v>
      </c>
      <c r="H5" s="21">
        <v>95</v>
      </c>
      <c r="I5" s="107">
        <v>1.59</v>
      </c>
      <c r="J5" s="104">
        <v>18.55</v>
      </c>
      <c r="K5" s="108">
        <v>0.52</v>
      </c>
      <c r="L5" s="109">
        <v>1.5</v>
      </c>
      <c r="M5" s="110">
        <v>1.75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21</v>
      </c>
      <c r="S5" s="21" t="s">
        <v>22</v>
      </c>
      <c r="T5" s="21" t="s">
        <v>23</v>
      </c>
      <c r="U5" s="21" t="s">
        <v>24</v>
      </c>
      <c r="V5" s="21"/>
      <c r="W5" s="16" t="s">
        <v>25</v>
      </c>
      <c r="X5" s="16"/>
      <c r="Y5" s="16"/>
    </row>
    <row r="6" spans="1:25" x14ac:dyDescent="0.2">
      <c r="A6" s="22" t="s">
        <v>26</v>
      </c>
      <c r="B6" s="22" t="s">
        <v>27</v>
      </c>
      <c r="C6" s="22" t="s">
        <v>27</v>
      </c>
      <c r="D6" s="22" t="s">
        <v>28</v>
      </c>
      <c r="E6" s="22" t="s">
        <v>29</v>
      </c>
      <c r="F6" s="22" t="s">
        <v>27</v>
      </c>
      <c r="G6" s="22" t="s">
        <v>30</v>
      </c>
      <c r="H6" s="22" t="s">
        <v>28</v>
      </c>
      <c r="I6" s="22" t="s">
        <v>29</v>
      </c>
      <c r="J6" s="22" t="s">
        <v>31</v>
      </c>
      <c r="K6" s="23" t="s">
        <v>32</v>
      </c>
      <c r="L6" s="24" t="s">
        <v>32</v>
      </c>
      <c r="M6" s="25" t="s">
        <v>32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2" t="s">
        <v>33</v>
      </c>
      <c r="V6" s="26"/>
      <c r="W6" s="22" t="s">
        <v>26</v>
      </c>
      <c r="X6" s="22" t="s">
        <v>11</v>
      </c>
      <c r="Y6" s="22" t="s">
        <v>34</v>
      </c>
    </row>
    <row r="7" spans="1:25" x14ac:dyDescent="0.2">
      <c r="A7" s="27">
        <v>44866</v>
      </c>
      <c r="B7" s="28">
        <v>237</v>
      </c>
      <c r="C7" s="28"/>
      <c r="D7" s="28"/>
      <c r="E7" s="28"/>
      <c r="F7" s="28">
        <v>18</v>
      </c>
      <c r="G7" s="29">
        <v>376</v>
      </c>
      <c r="H7" s="28">
        <v>3</v>
      </c>
      <c r="I7" s="28">
        <v>35</v>
      </c>
      <c r="J7" s="28"/>
      <c r="K7" s="13">
        <v>1608</v>
      </c>
      <c r="L7" s="6">
        <v>1322.7370000000001</v>
      </c>
      <c r="M7" s="28">
        <v>43371</v>
      </c>
      <c r="N7" s="30">
        <v>22626.63</v>
      </c>
      <c r="O7" s="30">
        <v>3856.88</v>
      </c>
      <c r="P7" s="30">
        <v>77535.59</v>
      </c>
      <c r="Q7" s="31">
        <v>250.76</v>
      </c>
      <c r="R7" s="30">
        <v>310</v>
      </c>
      <c r="S7" s="30">
        <v>29.4</v>
      </c>
      <c r="T7" s="30">
        <v>1437.23</v>
      </c>
      <c r="U7" s="101">
        <f>+B7*46.38+D7*27.83+E7*0.4638+F7*158.5+G7*25.5+H7*95+I7*1.59+J7*18.55+K7*0.52+L7*1.5+M7*1.75-N7-O7-P7-Q7+R7+S7+T7</f>
        <v>-4.5000000052368705E-3</v>
      </c>
      <c r="V7" s="1"/>
      <c r="W7" s="27">
        <f>+A7</f>
        <v>44866</v>
      </c>
      <c r="X7" s="28">
        <f>SUM(F7*100+G7*20+H7*60+I7+J7*7+L7*1.1167+M7*1.1167)</f>
        <v>59444.496107899999</v>
      </c>
      <c r="Y7" s="28">
        <f>SUM(B7*100+C7*100+D7*60+E7+K7*1.1167)</f>
        <v>25495.653600000001</v>
      </c>
    </row>
    <row r="8" spans="1:25" x14ac:dyDescent="0.2">
      <c r="A8" s="27">
        <v>44867</v>
      </c>
      <c r="B8" s="28">
        <v>280</v>
      </c>
      <c r="C8" s="28"/>
      <c r="D8" s="28"/>
      <c r="E8" s="28"/>
      <c r="F8" s="28">
        <v>33</v>
      </c>
      <c r="G8" s="29">
        <v>336</v>
      </c>
      <c r="H8" s="28"/>
      <c r="I8" s="28">
        <v>75</v>
      </c>
      <c r="J8" s="28"/>
      <c r="K8" s="13">
        <v>1190</v>
      </c>
      <c r="L8" s="6">
        <v>1298.6759999999999</v>
      </c>
      <c r="M8" s="28">
        <v>37968</v>
      </c>
      <c r="N8" s="30">
        <v>22453.64</v>
      </c>
      <c r="O8" s="30">
        <v>5941.53</v>
      </c>
      <c r="P8" s="30">
        <v>68750.94</v>
      </c>
      <c r="Q8" s="31">
        <v>175.13</v>
      </c>
      <c r="R8" s="30">
        <v>220</v>
      </c>
      <c r="S8" s="30">
        <v>21</v>
      </c>
      <c r="T8" s="30">
        <v>1165.27</v>
      </c>
      <c r="U8" s="101">
        <f t="shared" ref="U8:U18" si="0">+B8*46.38+D8*27.83+E8*0.4638+F8*158.5+G8*25.5+H8*95+I8*1.59+J8*18.55+K8*0.52+L8*1.5+M8*1.75-N8-O8-P8-Q8+R8+S8+T8</f>
        <v>-5.9999999934916559E-3</v>
      </c>
      <c r="V8" s="1"/>
      <c r="W8" s="27">
        <f t="shared" ref="W8:W19" si="1">+A8</f>
        <v>44867</v>
      </c>
      <c r="X8" s="28">
        <f t="shared" ref="X8:X19" si="2">SUM(F8*100+G8*20+H8*60+I8+J8*7+L8*1.1167+M8*1.1167)</f>
        <v>53944.097089199997</v>
      </c>
      <c r="Y8" s="28">
        <f t="shared" ref="Y8:Y19" si="3">SUM(B8*100+C8*100+D8*60+E8+K8*1.1167)</f>
        <v>29328.873</v>
      </c>
    </row>
    <row r="9" spans="1:25" x14ac:dyDescent="0.2">
      <c r="A9" s="27">
        <v>44868</v>
      </c>
      <c r="B9" s="28">
        <v>311</v>
      </c>
      <c r="C9" s="28"/>
      <c r="D9" s="28"/>
      <c r="E9" s="28"/>
      <c r="F9" s="28">
        <v>18</v>
      </c>
      <c r="G9" s="29">
        <v>329</v>
      </c>
      <c r="H9" s="28"/>
      <c r="I9" s="28">
        <v>65</v>
      </c>
      <c r="J9" s="28">
        <v>1</v>
      </c>
      <c r="K9" s="13">
        <v>1314</v>
      </c>
      <c r="L9" s="6">
        <v>1115.085</v>
      </c>
      <c r="M9" s="28">
        <v>28969</v>
      </c>
      <c r="N9" s="30">
        <v>21716.83</v>
      </c>
      <c r="O9" s="30">
        <v>6419.9</v>
      </c>
      <c r="P9" s="30">
        <v>52760.4</v>
      </c>
      <c r="Q9" s="33">
        <v>496.65</v>
      </c>
      <c r="R9" s="30">
        <v>1225</v>
      </c>
      <c r="S9" s="30">
        <v>14.7</v>
      </c>
      <c r="T9" s="30">
        <v>1313.84</v>
      </c>
      <c r="U9" s="101">
        <f t="shared" si="0"/>
        <v>-2.5000000164254743E-3</v>
      </c>
      <c r="V9" s="1"/>
      <c r="W9" s="27">
        <f t="shared" si="1"/>
        <v>44868</v>
      </c>
      <c r="X9" s="28">
        <f t="shared" si="2"/>
        <v>42046.897719500004</v>
      </c>
      <c r="Y9" s="28">
        <f t="shared" si="3"/>
        <v>32567.343799999999</v>
      </c>
    </row>
    <row r="10" spans="1:25" x14ac:dyDescent="0.2">
      <c r="A10" s="27">
        <v>44869</v>
      </c>
      <c r="B10" s="28">
        <v>359</v>
      </c>
      <c r="C10" s="28"/>
      <c r="D10" s="28"/>
      <c r="E10" s="28"/>
      <c r="F10" s="28">
        <v>24</v>
      </c>
      <c r="G10" s="29">
        <v>440</v>
      </c>
      <c r="H10" s="28"/>
      <c r="I10" s="28">
        <v>80</v>
      </c>
      <c r="J10" s="28"/>
      <c r="K10" s="13">
        <v>1416</v>
      </c>
      <c r="L10" s="34">
        <v>698.31799999999998</v>
      </c>
      <c r="M10" s="28">
        <v>35928</v>
      </c>
      <c r="N10" s="30">
        <v>26825.13</v>
      </c>
      <c r="O10" s="30">
        <v>6410.46</v>
      </c>
      <c r="P10" s="30">
        <v>66297</v>
      </c>
      <c r="Q10" s="31">
        <v>192.5</v>
      </c>
      <c r="R10" s="30">
        <v>970</v>
      </c>
      <c r="S10" s="30">
        <v>388.4</v>
      </c>
      <c r="T10" s="30">
        <v>1907.28</v>
      </c>
      <c r="U10" s="101">
        <f t="shared" si="0"/>
        <v>6.9999999975607352E-3</v>
      </c>
      <c r="V10" s="1"/>
      <c r="W10" s="27">
        <f t="shared" si="1"/>
        <v>44869</v>
      </c>
      <c r="X10" s="28">
        <f t="shared" si="2"/>
        <v>52180.609310599997</v>
      </c>
      <c r="Y10" s="28">
        <f t="shared" si="3"/>
        <v>37481.247199999998</v>
      </c>
    </row>
    <row r="11" spans="1:25" x14ac:dyDescent="0.2">
      <c r="A11" s="27">
        <v>44870</v>
      </c>
      <c r="B11" s="28">
        <v>152</v>
      </c>
      <c r="C11" s="28"/>
      <c r="D11" s="28"/>
      <c r="E11" s="28"/>
      <c r="F11" s="28">
        <v>1</v>
      </c>
      <c r="G11" s="29">
        <v>416</v>
      </c>
      <c r="H11" s="28"/>
      <c r="I11" s="28">
        <v>50</v>
      </c>
      <c r="J11" s="28"/>
      <c r="K11" s="13"/>
      <c r="L11" s="34">
        <v>561.096</v>
      </c>
      <c r="M11" s="28"/>
      <c r="N11" s="30">
        <v>18793.23</v>
      </c>
      <c r="O11" s="30"/>
      <c r="P11" s="30">
        <v>206.42</v>
      </c>
      <c r="Q11" s="33">
        <v>92.76</v>
      </c>
      <c r="R11" s="30">
        <v>45</v>
      </c>
      <c r="S11" s="30"/>
      <c r="T11" s="30">
        <v>310</v>
      </c>
      <c r="U11" s="101">
        <f t="shared" si="0"/>
        <v>-5.9999999972433216E-3</v>
      </c>
      <c r="V11" s="1"/>
      <c r="W11" s="27">
        <f t="shared" si="1"/>
        <v>44870</v>
      </c>
      <c r="X11" s="28">
        <f t="shared" si="2"/>
        <v>9096.5759032000005</v>
      </c>
      <c r="Y11" s="28">
        <f t="shared" si="3"/>
        <v>15200</v>
      </c>
    </row>
    <row r="12" spans="1:25" x14ac:dyDescent="0.2">
      <c r="A12" s="27">
        <v>44872</v>
      </c>
      <c r="B12" s="28">
        <v>384</v>
      </c>
      <c r="C12" s="28"/>
      <c r="D12" s="28"/>
      <c r="E12" s="28"/>
      <c r="F12" s="28">
        <v>7</v>
      </c>
      <c r="G12" s="29">
        <v>405</v>
      </c>
      <c r="H12" s="28"/>
      <c r="I12" s="28">
        <v>70</v>
      </c>
      <c r="J12" s="28">
        <v>1</v>
      </c>
      <c r="K12" s="13">
        <v>3105</v>
      </c>
      <c r="L12" s="34">
        <v>1283.2059999999999</v>
      </c>
      <c r="M12" s="28">
        <v>40306</v>
      </c>
      <c r="N12" s="30">
        <v>26216.67</v>
      </c>
      <c r="O12" s="30">
        <v>5301.62</v>
      </c>
      <c r="P12" s="30">
        <f>73783.79+6*25.5</f>
        <v>73936.789999999994</v>
      </c>
      <c r="Q12" s="31">
        <v>492.83</v>
      </c>
      <c r="R12" s="30">
        <v>1140</v>
      </c>
      <c r="S12" s="30">
        <v>33.6</v>
      </c>
      <c r="T12" s="30">
        <v>1322.63</v>
      </c>
      <c r="U12" s="101">
        <f t="shared" si="0"/>
        <v>-9.9999998337807483E-4</v>
      </c>
      <c r="V12" s="1"/>
      <c r="W12" s="27">
        <f t="shared" si="1"/>
        <v>44872</v>
      </c>
      <c r="X12" s="28">
        <f t="shared" si="2"/>
        <v>55319.666340199998</v>
      </c>
      <c r="Y12" s="28">
        <f t="shared" si="3"/>
        <v>41867.353499999997</v>
      </c>
    </row>
    <row r="13" spans="1:25" x14ac:dyDescent="0.2">
      <c r="A13" s="27">
        <v>44873</v>
      </c>
      <c r="B13" s="28">
        <v>366</v>
      </c>
      <c r="C13" s="28"/>
      <c r="D13" s="28"/>
      <c r="E13" s="28"/>
      <c r="F13" s="28">
        <v>23</v>
      </c>
      <c r="G13" s="29">
        <v>321</v>
      </c>
      <c r="H13" s="28"/>
      <c r="I13" s="28">
        <v>60</v>
      </c>
      <c r="J13" s="28"/>
      <c r="K13" s="13">
        <v>4522</v>
      </c>
      <c r="L13" s="34">
        <v>700.71500000000003</v>
      </c>
      <c r="M13" s="28">
        <v>43798</v>
      </c>
      <c r="N13" s="30">
        <v>23286.38</v>
      </c>
      <c r="O13" s="30">
        <v>7656.64</v>
      </c>
      <c r="P13" s="30">
        <v>80641.789999999994</v>
      </c>
      <c r="Q13" s="31">
        <v>241.52</v>
      </c>
      <c r="R13" s="30">
        <v>980</v>
      </c>
      <c r="S13" s="30">
        <v>29.4</v>
      </c>
      <c r="T13" s="30">
        <v>1866.44</v>
      </c>
      <c r="U13" s="101">
        <f t="shared" si="0"/>
        <v>2.4999999955070962E-3</v>
      </c>
      <c r="V13" s="1"/>
      <c r="W13" s="27">
        <f t="shared" si="1"/>
        <v>44873</v>
      </c>
      <c r="X13" s="28">
        <f t="shared" si="2"/>
        <v>58471.715040499999</v>
      </c>
      <c r="Y13" s="28">
        <f t="shared" si="3"/>
        <v>41649.717400000001</v>
      </c>
    </row>
    <row r="14" spans="1:25" x14ac:dyDescent="0.2">
      <c r="A14" s="27">
        <v>44874</v>
      </c>
      <c r="B14" s="28">
        <v>325</v>
      </c>
      <c r="C14" s="28"/>
      <c r="D14" s="28"/>
      <c r="E14" s="28">
        <v>20</v>
      </c>
      <c r="F14" s="28">
        <v>29</v>
      </c>
      <c r="G14" s="29">
        <v>311</v>
      </c>
      <c r="H14" s="28"/>
      <c r="I14" s="28"/>
      <c r="J14" s="28"/>
      <c r="K14" s="13">
        <v>1430</v>
      </c>
      <c r="L14" s="34">
        <v>738.36400000000003</v>
      </c>
      <c r="M14" s="28">
        <v>36888</v>
      </c>
      <c r="N14" s="30">
        <v>26412.58</v>
      </c>
      <c r="O14" s="30">
        <v>5892.68</v>
      </c>
      <c r="P14" s="30">
        <v>68669.45</v>
      </c>
      <c r="Q14" s="31">
        <v>355.05</v>
      </c>
      <c r="R14" s="30">
        <v>1660</v>
      </c>
      <c r="S14" s="30">
        <v>23.1</v>
      </c>
      <c r="T14" s="30">
        <v>5631.74</v>
      </c>
      <c r="U14" s="101">
        <f t="shared" si="0"/>
        <v>1.9999999922220013E-3</v>
      </c>
      <c r="V14" s="1"/>
      <c r="W14" s="27">
        <f t="shared" si="1"/>
        <v>44874</v>
      </c>
      <c r="X14" s="28">
        <f t="shared" si="2"/>
        <v>51137.360678800003</v>
      </c>
      <c r="Y14" s="28">
        <f t="shared" si="3"/>
        <v>34116.881000000001</v>
      </c>
    </row>
    <row r="15" spans="1:25" x14ac:dyDescent="0.2">
      <c r="A15" s="27">
        <v>44875</v>
      </c>
      <c r="B15" s="28">
        <v>326</v>
      </c>
      <c r="C15" s="28"/>
      <c r="D15" s="28"/>
      <c r="E15" s="28">
        <v>20</v>
      </c>
      <c r="F15" s="28">
        <v>17</v>
      </c>
      <c r="G15" s="29">
        <v>319</v>
      </c>
      <c r="H15" s="28"/>
      <c r="I15" s="28">
        <v>45</v>
      </c>
      <c r="J15" s="28"/>
      <c r="K15" s="13">
        <v>2713</v>
      </c>
      <c r="L15" s="34">
        <v>1037.71</v>
      </c>
      <c r="M15" s="28">
        <f>34036+150+200</f>
        <v>34386</v>
      </c>
      <c r="N15" s="30">
        <v>25428.959999999999</v>
      </c>
      <c r="O15" s="30">
        <v>3740.46</v>
      </c>
      <c r="P15" s="30">
        <f>62475.24+350*1.75-350*0.52-2.1</f>
        <v>62903.64</v>
      </c>
      <c r="Q15" s="31">
        <v>66.5</v>
      </c>
      <c r="R15" s="30">
        <v>1455</v>
      </c>
      <c r="S15" s="30">
        <f>33.6-2.1</f>
        <v>31.5</v>
      </c>
      <c r="T15" s="30">
        <v>1480.54</v>
      </c>
      <c r="U15" s="101">
        <f t="shared" si="0"/>
        <v>1.1000000004969479E-2</v>
      </c>
      <c r="V15" s="1"/>
      <c r="W15" s="27">
        <f t="shared" si="1"/>
        <v>44875</v>
      </c>
      <c r="X15" s="28">
        <f t="shared" si="2"/>
        <v>47682.656956999999</v>
      </c>
      <c r="Y15" s="28">
        <f t="shared" si="3"/>
        <v>35649.607100000001</v>
      </c>
    </row>
    <row r="16" spans="1:25" x14ac:dyDescent="0.2">
      <c r="A16" s="27">
        <v>44876</v>
      </c>
      <c r="B16" s="28">
        <v>306</v>
      </c>
      <c r="C16" s="28"/>
      <c r="D16" s="28"/>
      <c r="E16" s="28"/>
      <c r="F16" s="28">
        <v>23</v>
      </c>
      <c r="G16" s="29">
        <v>359</v>
      </c>
      <c r="H16" s="28">
        <v>4</v>
      </c>
      <c r="I16" s="28">
        <v>35</v>
      </c>
      <c r="J16" s="28"/>
      <c r="K16" s="13">
        <v>1600</v>
      </c>
      <c r="L16" s="34">
        <v>1247.347</v>
      </c>
      <c r="M16" s="28">
        <v>31995</v>
      </c>
      <c r="N16" s="30">
        <v>25044.85</v>
      </c>
      <c r="O16" s="30">
        <v>5614.4</v>
      </c>
      <c r="P16" s="30">
        <v>59922.39</v>
      </c>
      <c r="Q16" s="31">
        <v>453.78</v>
      </c>
      <c r="R16" s="30">
        <v>1075</v>
      </c>
      <c r="S16" s="30">
        <v>27.3</v>
      </c>
      <c r="T16" s="30">
        <v>3810.92</v>
      </c>
      <c r="U16" s="101">
        <f t="shared" si="0"/>
        <v>5.0000000737782102E-4</v>
      </c>
      <c r="V16" s="1"/>
      <c r="W16" s="27">
        <f t="shared" si="1"/>
        <v>44876</v>
      </c>
      <c r="X16" s="28">
        <f t="shared" si="2"/>
        <v>46876.728894899999</v>
      </c>
      <c r="Y16" s="28">
        <f t="shared" si="3"/>
        <v>32386.720000000001</v>
      </c>
    </row>
    <row r="17" spans="1:25" x14ac:dyDescent="0.2">
      <c r="A17" s="27">
        <v>44877</v>
      </c>
      <c r="B17" s="28">
        <v>369</v>
      </c>
      <c r="C17" s="28"/>
      <c r="D17" s="28"/>
      <c r="E17" s="28"/>
      <c r="F17" s="28"/>
      <c r="G17" s="29">
        <v>383</v>
      </c>
      <c r="H17" s="28"/>
      <c r="I17" s="28">
        <v>80</v>
      </c>
      <c r="J17" s="28"/>
      <c r="K17" s="13"/>
      <c r="L17" s="34">
        <v>787.88900000000001</v>
      </c>
      <c r="M17" s="28"/>
      <c r="N17" s="30">
        <v>16727.38</v>
      </c>
      <c r="O17" s="30">
        <v>11184.82</v>
      </c>
      <c r="P17" s="30">
        <v>376.17</v>
      </c>
      <c r="Q17" s="31">
        <v>46.38</v>
      </c>
      <c r="R17" s="30">
        <v>145</v>
      </c>
      <c r="S17" s="30"/>
      <c r="T17" s="30"/>
      <c r="U17" s="101">
        <f t="shared" si="0"/>
        <v>3.5000000017930688E-3</v>
      </c>
      <c r="V17" s="1"/>
      <c r="W17" s="27">
        <f t="shared" si="1"/>
        <v>44877</v>
      </c>
      <c r="X17" s="28">
        <f t="shared" si="2"/>
        <v>8619.8356463</v>
      </c>
      <c r="Y17" s="28">
        <f t="shared" si="3"/>
        <v>36900</v>
      </c>
    </row>
    <row r="18" spans="1:25" x14ac:dyDescent="0.2">
      <c r="A18" s="27">
        <v>44878</v>
      </c>
      <c r="B18" s="28"/>
      <c r="C18" s="28"/>
      <c r="D18" s="28"/>
      <c r="E18" s="28"/>
      <c r="F18" s="28"/>
      <c r="G18" s="29"/>
      <c r="H18" s="28"/>
      <c r="I18" s="28"/>
      <c r="J18" s="28"/>
      <c r="K18" s="13"/>
      <c r="L18" s="34"/>
      <c r="M18" s="28">
        <v>200</v>
      </c>
      <c r="N18" s="30"/>
      <c r="O18" s="30"/>
      <c r="P18" s="30">
        <v>425</v>
      </c>
      <c r="Q18" s="31"/>
      <c r="R18" s="30"/>
      <c r="S18" s="30">
        <v>75</v>
      </c>
      <c r="T18" s="30"/>
      <c r="U18" s="101">
        <f t="shared" si="0"/>
        <v>0</v>
      </c>
      <c r="V18" s="1"/>
      <c r="W18" s="27">
        <f t="shared" si="1"/>
        <v>44878</v>
      </c>
      <c r="X18" s="28">
        <f t="shared" si="2"/>
        <v>223.34</v>
      </c>
      <c r="Y18" s="28">
        <f t="shared" si="3"/>
        <v>0</v>
      </c>
    </row>
    <row r="19" spans="1:25" x14ac:dyDescent="0.2">
      <c r="A19" s="35">
        <v>44879</v>
      </c>
      <c r="B19" s="36">
        <v>359</v>
      </c>
      <c r="C19" s="36">
        <v>6</v>
      </c>
      <c r="D19" s="36"/>
      <c r="E19" s="36"/>
      <c r="F19" s="36">
        <v>15</v>
      </c>
      <c r="G19" s="37">
        <v>430</v>
      </c>
      <c r="H19" s="36"/>
      <c r="I19" s="36">
        <v>50</v>
      </c>
      <c r="J19" s="36"/>
      <c r="K19" s="38">
        <v>1580</v>
      </c>
      <c r="L19" s="39">
        <v>1269.1890000000001</v>
      </c>
      <c r="M19" s="36">
        <v>42955</v>
      </c>
      <c r="N19" s="40">
        <f>28946.66-25.5</f>
        <v>28921.16</v>
      </c>
      <c r="O19" s="40">
        <v>6294.8</v>
      </c>
      <c r="P19" s="40">
        <f>78149.77+60</f>
        <v>78209.77</v>
      </c>
      <c r="Q19" s="41">
        <v>404.04</v>
      </c>
      <c r="R19" s="40">
        <v>710</v>
      </c>
      <c r="S19" s="40">
        <v>21</v>
      </c>
      <c r="T19" s="40">
        <v>4769.72</v>
      </c>
      <c r="U19" s="54">
        <f>+B19*46.38+C19*60+D19*27.83+E19*0.4638+F19*158.5+G19*25.5+H19*95+I19*1.59+J19*18.55+K19*0.52+L19*1.5+M19*1.75-N19-O19-P19-Q19+R19+S19+T19</f>
        <v>3.4999999988940544E-3</v>
      </c>
      <c r="V19" s="16"/>
      <c r="W19" s="35">
        <f t="shared" si="1"/>
        <v>44879</v>
      </c>
      <c r="X19" s="36">
        <f t="shared" si="2"/>
        <v>59535.151856299999</v>
      </c>
      <c r="Y19" s="36">
        <f t="shared" si="3"/>
        <v>38264.385999999999</v>
      </c>
    </row>
    <row r="20" spans="1:25" x14ac:dyDescent="0.2">
      <c r="A20" s="27"/>
      <c r="B20" s="43">
        <f>SUM(B7:B19)</f>
        <v>3774</v>
      </c>
      <c r="C20" s="43">
        <f>SUM(C7:C19)</f>
        <v>6</v>
      </c>
      <c r="D20" s="43">
        <f t="shared" ref="D20:U20" si="4">SUM(D7:D19)</f>
        <v>0</v>
      </c>
      <c r="E20" s="43">
        <f t="shared" si="4"/>
        <v>40</v>
      </c>
      <c r="F20" s="43">
        <f t="shared" si="4"/>
        <v>208</v>
      </c>
      <c r="G20" s="43">
        <f t="shared" si="4"/>
        <v>4425</v>
      </c>
      <c r="H20" s="43">
        <f t="shared" si="4"/>
        <v>7</v>
      </c>
      <c r="I20" s="43">
        <f t="shared" si="4"/>
        <v>645</v>
      </c>
      <c r="J20" s="43">
        <f t="shared" si="4"/>
        <v>2</v>
      </c>
      <c r="K20" s="43">
        <f t="shared" si="4"/>
        <v>20478</v>
      </c>
      <c r="L20" s="94">
        <f t="shared" si="4"/>
        <v>12060.331999999999</v>
      </c>
      <c r="M20" s="43">
        <f t="shared" si="4"/>
        <v>376764</v>
      </c>
      <c r="N20" s="45">
        <f t="shared" si="4"/>
        <v>284453.44</v>
      </c>
      <c r="O20" s="45">
        <f t="shared" si="4"/>
        <v>68314.19</v>
      </c>
      <c r="P20" s="45">
        <f t="shared" si="4"/>
        <v>690635.35</v>
      </c>
      <c r="Q20" s="45">
        <f t="shared" si="4"/>
        <v>3267.8999999999996</v>
      </c>
      <c r="R20" s="45">
        <f t="shared" si="4"/>
        <v>9935</v>
      </c>
      <c r="S20" s="45">
        <f t="shared" si="4"/>
        <v>694.4</v>
      </c>
      <c r="T20" s="45">
        <f t="shared" si="4"/>
        <v>25015.61</v>
      </c>
      <c r="U20" s="45">
        <f t="shared" si="4"/>
        <v>1.0000000002548859E-2</v>
      </c>
      <c r="V20" s="43"/>
      <c r="W20" s="43"/>
      <c r="X20" s="43">
        <f>SUM(X7:X19)</f>
        <v>544579.13154440001</v>
      </c>
      <c r="Y20" s="43">
        <f>SUM(Y7:Y19)</f>
        <v>400907.78259999998</v>
      </c>
    </row>
    <row r="21" spans="1:25" x14ac:dyDescent="0.2">
      <c r="A21" s="35"/>
      <c r="B21" s="56">
        <f>(B20*100)</f>
        <v>377400</v>
      </c>
      <c r="C21" s="56">
        <f>(C20*100)</f>
        <v>600</v>
      </c>
      <c r="D21" s="56">
        <f>(D20*60)</f>
        <v>0</v>
      </c>
      <c r="E21" s="56">
        <f>(E20)</f>
        <v>40</v>
      </c>
      <c r="F21" s="56">
        <f>(F20*100)</f>
        <v>20800</v>
      </c>
      <c r="G21" s="63">
        <f>(G20*20)</f>
        <v>88500</v>
      </c>
      <c r="H21" s="56">
        <f>(H20*60)</f>
        <v>420</v>
      </c>
      <c r="I21" s="56">
        <f>(I20)</f>
        <v>645</v>
      </c>
      <c r="J21" s="56">
        <f>+J20*7</f>
        <v>14</v>
      </c>
      <c r="K21" s="57">
        <f>(K20*1.1167)</f>
        <v>22867.782600000002</v>
      </c>
      <c r="L21" s="58">
        <f>(L20*1.1167)</f>
        <v>13467.772744399999</v>
      </c>
      <c r="M21" s="59">
        <f>(M20*1.1167)</f>
        <v>420732.35879999999</v>
      </c>
      <c r="N21" s="60"/>
      <c r="O21" s="60"/>
      <c r="P21" s="60"/>
      <c r="Q21" s="60"/>
      <c r="R21" s="60"/>
      <c r="S21" s="60"/>
      <c r="T21" s="60"/>
      <c r="U21" s="60"/>
      <c r="V21" s="60"/>
      <c r="W21" s="61" t="s">
        <v>35</v>
      </c>
      <c r="X21" s="56">
        <f>+E48+E49+E50+E51-X20</f>
        <v>0</v>
      </c>
      <c r="Y21" s="56">
        <f>+E47-Y20</f>
        <v>0</v>
      </c>
    </row>
    <row r="22" spans="1:25" x14ac:dyDescent="0.2">
      <c r="A22" s="35"/>
      <c r="B22" s="56"/>
      <c r="C22" s="56"/>
      <c r="D22" s="56"/>
      <c r="E22" s="56"/>
      <c r="F22" s="56"/>
      <c r="G22" s="63"/>
      <c r="H22" s="56"/>
      <c r="I22" s="56"/>
      <c r="J22" s="56"/>
      <c r="K22" s="57"/>
      <c r="L22" s="58"/>
      <c r="M22" s="59"/>
      <c r="N22" s="49"/>
      <c r="O22" s="49"/>
      <c r="P22" s="49"/>
      <c r="Q22" s="49"/>
      <c r="R22" s="49"/>
      <c r="S22" s="49"/>
      <c r="T22" s="49"/>
      <c r="U22" s="49"/>
      <c r="V22" s="49"/>
      <c r="W22" s="50"/>
      <c r="X22" s="43"/>
      <c r="Y22" s="43"/>
    </row>
    <row r="23" spans="1:25" x14ac:dyDescent="0.2">
      <c r="A23" s="16"/>
      <c r="B23" s="104">
        <v>46.38</v>
      </c>
      <c r="C23" s="104">
        <v>60</v>
      </c>
      <c r="D23" s="21">
        <v>27.83</v>
      </c>
      <c r="E23" s="105">
        <v>0.46379999999999999</v>
      </c>
      <c r="F23" s="106">
        <v>158.5</v>
      </c>
      <c r="G23" s="21">
        <v>25.5</v>
      </c>
      <c r="H23" s="21">
        <v>95</v>
      </c>
      <c r="I23" s="107">
        <v>1.59</v>
      </c>
      <c r="J23" s="104">
        <v>18.55</v>
      </c>
      <c r="K23" s="108">
        <v>0.66</v>
      </c>
      <c r="L23" s="109">
        <v>1.5</v>
      </c>
      <c r="M23" s="110">
        <v>1.75</v>
      </c>
      <c r="N23" s="49"/>
      <c r="O23" s="49"/>
      <c r="P23" s="49"/>
      <c r="Q23" s="49"/>
      <c r="R23" s="49"/>
      <c r="S23" s="49"/>
      <c r="T23" s="49"/>
      <c r="U23" s="49"/>
      <c r="V23" s="49"/>
      <c r="W23" s="50"/>
      <c r="X23" s="43"/>
      <c r="Y23" s="43"/>
    </row>
    <row r="24" spans="1:25" x14ac:dyDescent="0.2">
      <c r="A24" s="22" t="s">
        <v>26</v>
      </c>
      <c r="B24" s="22" t="s">
        <v>27</v>
      </c>
      <c r="C24" s="22" t="s">
        <v>27</v>
      </c>
      <c r="D24" s="22" t="s">
        <v>28</v>
      </c>
      <c r="E24" s="22" t="s">
        <v>29</v>
      </c>
      <c r="F24" s="22" t="s">
        <v>27</v>
      </c>
      <c r="G24" s="22" t="s">
        <v>30</v>
      </c>
      <c r="H24" s="22" t="s">
        <v>28</v>
      </c>
      <c r="I24" s="22" t="s">
        <v>29</v>
      </c>
      <c r="J24" s="22" t="s">
        <v>31</v>
      </c>
      <c r="K24" s="23" t="s">
        <v>32</v>
      </c>
      <c r="L24" s="24" t="s">
        <v>32</v>
      </c>
      <c r="M24" s="25" t="s">
        <v>32</v>
      </c>
      <c r="N24" s="22" t="s">
        <v>33</v>
      </c>
      <c r="O24" s="22" t="s">
        <v>33</v>
      </c>
      <c r="P24" s="22" t="s">
        <v>33</v>
      </c>
      <c r="Q24" s="22" t="s">
        <v>33</v>
      </c>
      <c r="R24" s="22" t="s">
        <v>33</v>
      </c>
      <c r="S24" s="22" t="s">
        <v>33</v>
      </c>
      <c r="T24" s="22" t="s">
        <v>33</v>
      </c>
      <c r="U24" s="22" t="s">
        <v>33</v>
      </c>
      <c r="V24" s="26"/>
      <c r="W24" s="22" t="s">
        <v>26</v>
      </c>
      <c r="X24" s="22" t="s">
        <v>11</v>
      </c>
      <c r="Y24" s="22" t="s">
        <v>34</v>
      </c>
    </row>
    <row r="25" spans="1:25" x14ac:dyDescent="0.2">
      <c r="A25" s="27">
        <v>44880</v>
      </c>
      <c r="B25" s="28">
        <v>179</v>
      </c>
      <c r="C25" s="28">
        <v>54</v>
      </c>
      <c r="D25" s="28"/>
      <c r="E25" s="28"/>
      <c r="F25" s="28">
        <v>21</v>
      </c>
      <c r="G25" s="29">
        <v>309</v>
      </c>
      <c r="H25" s="28"/>
      <c r="I25" s="28">
        <v>160</v>
      </c>
      <c r="J25" s="28"/>
      <c r="K25" s="13">
        <v>2191</v>
      </c>
      <c r="L25" s="34">
        <v>902.68299999999999</v>
      </c>
      <c r="M25" s="28">
        <v>45804</v>
      </c>
      <c r="N25" s="30">
        <v>18121.93</v>
      </c>
      <c r="O25" s="30">
        <v>6781.12</v>
      </c>
      <c r="P25" s="30">
        <v>83624.22</v>
      </c>
      <c r="Q25" s="33">
        <v>298.56</v>
      </c>
      <c r="R25" s="30">
        <v>1965</v>
      </c>
      <c r="S25" s="30">
        <v>25.2</v>
      </c>
      <c r="T25" s="30">
        <v>874.12</v>
      </c>
      <c r="U25" s="101">
        <f>B25*46.38+C25*60+D25*36+E25*0.66+F25*158.5+G25*25.5+H25*95+I25*1.59+J25*18.55+K25*0.66+L25*1.5+M25*1.75-N25-O25-P25-Q25+R25+S25+T25</f>
        <v>-5.4999999794063115E-3</v>
      </c>
      <c r="V25" s="51"/>
      <c r="W25" s="27">
        <f>+A25</f>
        <v>44880</v>
      </c>
      <c r="X25" s="28">
        <f t="shared" ref="X25:X38" si="5">SUM(F25*100+G25*20+H25*60+I25+J25*7+L25*1.1167+M25*1.1167)</f>
        <v>60597.352906100001</v>
      </c>
      <c r="Y25" s="28">
        <f>SUM(B25*100+C25*100+D25*60+E25+K25*1.1167)</f>
        <v>25746.689699999999</v>
      </c>
    </row>
    <row r="26" spans="1:25" x14ac:dyDescent="0.2">
      <c r="A26" s="27">
        <v>44881</v>
      </c>
      <c r="B26" s="28">
        <v>153</v>
      </c>
      <c r="C26" s="28">
        <v>45</v>
      </c>
      <c r="D26" s="28"/>
      <c r="E26" s="28"/>
      <c r="F26" s="28">
        <v>34</v>
      </c>
      <c r="G26" s="29">
        <v>290</v>
      </c>
      <c r="H26" s="28"/>
      <c r="I26" s="28">
        <v>10</v>
      </c>
      <c r="J26" s="28">
        <v>4</v>
      </c>
      <c r="K26" s="13">
        <v>927</v>
      </c>
      <c r="L26" s="34">
        <v>588.71799999999996</v>
      </c>
      <c r="M26" s="52">
        <v>39462</v>
      </c>
      <c r="N26" s="30">
        <v>17253.419999999998</v>
      </c>
      <c r="O26" s="30">
        <v>5535.34</v>
      </c>
      <c r="P26" s="30">
        <f>72730.92+100*0.66-100*1.75+2.1</f>
        <v>72624.02</v>
      </c>
      <c r="Q26" s="31">
        <v>99.01</v>
      </c>
      <c r="R26" s="30">
        <v>1190</v>
      </c>
      <c r="S26" s="30">
        <f>4.2+10.5</f>
        <v>14.7</v>
      </c>
      <c r="T26" s="30">
        <f>1096.05-2.1-10.5</f>
        <v>1083.45</v>
      </c>
      <c r="U26" s="101">
        <f t="shared" ref="U26:U27" si="6">B26*46.38+C26*60+D26*36+E26*0.66+F26*158.5+G26*25.5+H26*95+I26*1.59+J26*18.55+K26*0.66+L26*1.5+M26*1.75-N26-O26-P26-Q26+R26+S26+T26</f>
        <v>-2.9999999965184543E-3</v>
      </c>
      <c r="V26" s="30"/>
      <c r="W26" s="27">
        <f t="shared" ref="W26:W38" si="7">+A26</f>
        <v>44881</v>
      </c>
      <c r="X26" s="28">
        <f t="shared" si="5"/>
        <v>53962.636790600001</v>
      </c>
      <c r="Y26" s="28">
        <f t="shared" ref="Y26:Y38" si="8">SUM(B26*100+C26*100+D26*60+E26+K26*1.1167)</f>
        <v>20835.180899999999</v>
      </c>
    </row>
    <row r="27" spans="1:25" x14ac:dyDescent="0.2">
      <c r="A27" s="27">
        <v>44882</v>
      </c>
      <c r="B27" s="28">
        <v>162</v>
      </c>
      <c r="C27" s="28">
        <v>62</v>
      </c>
      <c r="D27" s="28"/>
      <c r="E27" s="28"/>
      <c r="F27" s="28">
        <v>27</v>
      </c>
      <c r="G27" s="29">
        <v>260</v>
      </c>
      <c r="H27" s="28"/>
      <c r="I27" s="28">
        <v>20</v>
      </c>
      <c r="J27" s="28"/>
      <c r="K27" s="13">
        <f>1481+151</f>
        <v>1632</v>
      </c>
      <c r="L27" s="34">
        <v>1023.823</v>
      </c>
      <c r="M27" s="52">
        <f>39632-151</f>
        <v>39481</v>
      </c>
      <c r="N27" s="30">
        <v>17167.12</v>
      </c>
      <c r="O27" s="30">
        <v>5958.2</v>
      </c>
      <c r="P27" s="30">
        <f>72606.04+151*0.66-151*1.75+102+76.5</f>
        <v>72619.95</v>
      </c>
      <c r="Q27" s="31">
        <v>317</v>
      </c>
      <c r="R27" s="30">
        <v>830</v>
      </c>
      <c r="S27" s="30">
        <v>12.6</v>
      </c>
      <c r="T27" s="30">
        <v>1340.18</v>
      </c>
      <c r="U27" s="101">
        <f t="shared" si="6"/>
        <v>-2.5499999987687261E-2</v>
      </c>
      <c r="V27" s="30"/>
      <c r="W27" s="27">
        <f t="shared" si="7"/>
        <v>44882</v>
      </c>
      <c r="X27" s="28">
        <f t="shared" si="5"/>
        <v>53151.735844099996</v>
      </c>
      <c r="Y27" s="28">
        <f t="shared" si="8"/>
        <v>24222.454399999999</v>
      </c>
    </row>
    <row r="28" spans="1:25" x14ac:dyDescent="0.2">
      <c r="A28" s="27">
        <v>44883</v>
      </c>
      <c r="B28" s="28">
        <v>150</v>
      </c>
      <c r="C28" s="28">
        <v>66</v>
      </c>
      <c r="D28" s="28"/>
      <c r="E28" s="28">
        <v>20</v>
      </c>
      <c r="F28" s="28">
        <v>24</v>
      </c>
      <c r="G28" s="29">
        <v>263</v>
      </c>
      <c r="H28" s="28"/>
      <c r="I28" s="28">
        <v>30</v>
      </c>
      <c r="J28" s="28"/>
      <c r="K28" s="13">
        <f>2301+190</f>
        <v>2491</v>
      </c>
      <c r="L28" s="6">
        <v>932.61</v>
      </c>
      <c r="M28" s="52">
        <f>30794-190</f>
        <v>30604</v>
      </c>
      <c r="N28" s="30">
        <v>17870.099999999999</v>
      </c>
      <c r="O28" s="30">
        <v>5476.5</v>
      </c>
      <c r="P28" s="30">
        <f>57028.09+190*0.66-190*1.75</f>
        <v>56820.99</v>
      </c>
      <c r="Q28" s="33">
        <v>136.76</v>
      </c>
      <c r="R28" s="30">
        <v>450</v>
      </c>
      <c r="S28" s="30">
        <v>16.8</v>
      </c>
      <c r="T28" s="30">
        <v>1750.36</v>
      </c>
      <c r="U28" s="101">
        <f>B28*46.38+C28*60+D28*36+E28*0.6+F28*158.5+G28*25.5+H28*95+I28*1.59+J28*18.55+K28*0.66+L28*1.5+M28*1.75-N28-O28-P28-Q28+R28+S28+T28</f>
        <v>-1.4999999993960955E-2</v>
      </c>
      <c r="V28" s="30"/>
      <c r="W28" s="27">
        <f t="shared" si="7"/>
        <v>44883</v>
      </c>
      <c r="X28" s="28">
        <f t="shared" si="5"/>
        <v>42906.932387000001</v>
      </c>
      <c r="Y28" s="28">
        <f t="shared" si="8"/>
        <v>24401.699700000001</v>
      </c>
    </row>
    <row r="29" spans="1:25" x14ac:dyDescent="0.2">
      <c r="A29" s="27">
        <v>44884</v>
      </c>
      <c r="B29" s="28">
        <v>181</v>
      </c>
      <c r="C29" s="28">
        <v>45</v>
      </c>
      <c r="D29" s="28"/>
      <c r="E29" s="28"/>
      <c r="F29" s="28">
        <v>4</v>
      </c>
      <c r="G29" s="29">
        <v>286</v>
      </c>
      <c r="H29" s="28"/>
      <c r="I29" s="28">
        <v>80</v>
      </c>
      <c r="J29" s="28"/>
      <c r="K29" s="13">
        <v>150</v>
      </c>
      <c r="L29" s="34">
        <v>373.70499999999998</v>
      </c>
      <c r="M29" s="52">
        <v>380</v>
      </c>
      <c r="N29" s="30">
        <v>13272</v>
      </c>
      <c r="O29" s="30">
        <v>8402.02</v>
      </c>
      <c r="P29" s="30">
        <v>1308.76</v>
      </c>
      <c r="Q29" s="33"/>
      <c r="R29" s="30">
        <v>60</v>
      </c>
      <c r="S29" s="30">
        <v>75</v>
      </c>
      <c r="T29" s="30">
        <v>2374.2399999999998</v>
      </c>
      <c r="U29" s="101">
        <f t="shared" ref="U29:U38" si="9">B29*46.38+C29*60+D29*36+E29*0.6+F29*158.5+G29*25.5+H29*95+I29*1.59+J29*18.55+K29*0.66+L29*1.5+M29*1.75-N29-O29-P29-Q29+R29+S29+T29</f>
        <v>-2.5000000023283064E-3</v>
      </c>
      <c r="V29" s="30"/>
      <c r="W29" s="27">
        <f t="shared" si="7"/>
        <v>44884</v>
      </c>
      <c r="X29" s="28">
        <f t="shared" si="5"/>
        <v>7041.6623734999994</v>
      </c>
      <c r="Y29" s="28">
        <f t="shared" si="8"/>
        <v>22767.505000000001</v>
      </c>
    </row>
    <row r="30" spans="1:25" x14ac:dyDescent="0.2">
      <c r="A30" s="27">
        <v>44886</v>
      </c>
      <c r="B30" s="28">
        <v>201</v>
      </c>
      <c r="C30" s="28">
        <v>71</v>
      </c>
      <c r="D30" s="28"/>
      <c r="E30" s="28">
        <v>20</v>
      </c>
      <c r="F30" s="28">
        <v>22</v>
      </c>
      <c r="G30" s="29">
        <v>362</v>
      </c>
      <c r="H30" s="28"/>
      <c r="I30" s="28">
        <v>110</v>
      </c>
      <c r="J30" s="28"/>
      <c r="K30" s="13">
        <v>2370</v>
      </c>
      <c r="L30" s="34">
        <v>1397.875</v>
      </c>
      <c r="M30" s="52">
        <v>46080</v>
      </c>
      <c r="N30" s="30">
        <v>20552.64</v>
      </c>
      <c r="O30" s="30">
        <v>8017</v>
      </c>
      <c r="P30" s="30">
        <v>84295.24</v>
      </c>
      <c r="Q30" s="33">
        <v>259.68</v>
      </c>
      <c r="R30" s="30">
        <v>240</v>
      </c>
      <c r="S30" s="30">
        <v>14.7</v>
      </c>
      <c r="T30" s="30">
        <v>2081.5700000000002</v>
      </c>
      <c r="U30" s="101">
        <f t="shared" si="9"/>
        <v>2.5000000059662852E-3</v>
      </c>
      <c r="V30" s="30"/>
      <c r="W30" s="27">
        <f t="shared" si="7"/>
        <v>44886</v>
      </c>
      <c r="X30" s="28">
        <f t="shared" si="5"/>
        <v>62568.543012499998</v>
      </c>
      <c r="Y30" s="28">
        <f t="shared" si="8"/>
        <v>29866.579000000002</v>
      </c>
    </row>
    <row r="31" spans="1:25" x14ac:dyDescent="0.2">
      <c r="A31" s="27">
        <v>44887</v>
      </c>
      <c r="B31" s="28">
        <v>212</v>
      </c>
      <c r="C31" s="28">
        <v>75</v>
      </c>
      <c r="D31" s="28"/>
      <c r="E31" s="28"/>
      <c r="F31" s="28">
        <v>12</v>
      </c>
      <c r="G31" s="29">
        <v>349</v>
      </c>
      <c r="H31" s="28"/>
      <c r="I31" s="28">
        <v>20</v>
      </c>
      <c r="J31" s="28"/>
      <c r="K31" s="13">
        <v>1985</v>
      </c>
      <c r="L31" s="34">
        <v>1074.1769999999999</v>
      </c>
      <c r="M31" s="52">
        <v>42029</v>
      </c>
      <c r="N31" s="30">
        <v>19509.900000000001</v>
      </c>
      <c r="O31" s="30">
        <f>7659.22-46.38</f>
        <v>7612.84</v>
      </c>
      <c r="P31" s="30">
        <f>77829.08+60</f>
        <v>77889.08</v>
      </c>
      <c r="Q31" s="33">
        <v>180</v>
      </c>
      <c r="R31" s="30">
        <v>1195</v>
      </c>
      <c r="S31" s="30">
        <v>16.8</v>
      </c>
      <c r="T31" s="30">
        <v>2342.04</v>
      </c>
      <c r="U31" s="101">
        <f t="shared" si="9"/>
        <v>-4.4999999918218236E-3</v>
      </c>
      <c r="V31" s="30"/>
      <c r="W31" s="27">
        <f t="shared" si="7"/>
        <v>44887</v>
      </c>
      <c r="X31" s="28">
        <f t="shared" si="5"/>
        <v>56333.317755900003</v>
      </c>
      <c r="Y31" s="28">
        <f t="shared" si="8"/>
        <v>30916.6495</v>
      </c>
    </row>
    <row r="32" spans="1:25" x14ac:dyDescent="0.2">
      <c r="A32" s="27">
        <v>44888</v>
      </c>
      <c r="B32" s="28">
        <v>114</v>
      </c>
      <c r="C32" s="28">
        <v>117</v>
      </c>
      <c r="D32" s="28"/>
      <c r="E32" s="28"/>
      <c r="F32" s="28">
        <v>15</v>
      </c>
      <c r="G32" s="29">
        <v>252</v>
      </c>
      <c r="H32" s="28"/>
      <c r="I32" s="28"/>
      <c r="J32" s="28"/>
      <c r="K32" s="13">
        <v>4000</v>
      </c>
      <c r="L32" s="34">
        <v>1373.1489999999999</v>
      </c>
      <c r="M32" s="52">
        <v>37584</v>
      </c>
      <c r="N32" s="30">
        <v>18199.810000000001</v>
      </c>
      <c r="O32" s="30">
        <v>6920.46</v>
      </c>
      <c r="P32" s="30">
        <v>70234.47</v>
      </c>
      <c r="Q32" s="33">
        <v>200.12</v>
      </c>
      <c r="R32" s="30">
        <v>800</v>
      </c>
      <c r="S32" s="30">
        <v>25.2</v>
      </c>
      <c r="T32" s="30">
        <v>3147.11</v>
      </c>
      <c r="U32" s="101">
        <f t="shared" si="9"/>
        <v>-6.5000000054169504E-3</v>
      </c>
      <c r="V32" s="30"/>
      <c r="W32" s="27">
        <f t="shared" si="7"/>
        <v>44888</v>
      </c>
      <c r="X32" s="28">
        <f t="shared" si="5"/>
        <v>50043.448288299995</v>
      </c>
      <c r="Y32" s="28">
        <f t="shared" si="8"/>
        <v>27566.799999999999</v>
      </c>
    </row>
    <row r="33" spans="1:25" x14ac:dyDescent="0.2">
      <c r="A33" s="27">
        <v>44889</v>
      </c>
      <c r="B33" s="28">
        <v>187</v>
      </c>
      <c r="C33" s="28">
        <v>106</v>
      </c>
      <c r="D33" s="28"/>
      <c r="E33" s="28">
        <v>20</v>
      </c>
      <c r="F33" s="28">
        <v>20</v>
      </c>
      <c r="G33" s="7">
        <v>282</v>
      </c>
      <c r="H33" s="28"/>
      <c r="I33" s="28">
        <v>60</v>
      </c>
      <c r="J33" s="28"/>
      <c r="K33" s="13">
        <v>60</v>
      </c>
      <c r="L33" s="34">
        <v>667.39499999999998</v>
      </c>
      <c r="M33" s="52">
        <v>35852</v>
      </c>
      <c r="N33" s="30">
        <v>18087.18</v>
      </c>
      <c r="O33" s="30">
        <v>9792.73</v>
      </c>
      <c r="P33" s="30">
        <v>65369.81</v>
      </c>
      <c r="Q33" s="33">
        <v>354.13</v>
      </c>
      <c r="R33" s="30">
        <v>1805</v>
      </c>
      <c r="S33" s="30">
        <v>2.1</v>
      </c>
      <c r="T33" s="30">
        <v>2513.6</v>
      </c>
      <c r="U33" s="101">
        <f t="shared" si="9"/>
        <v>2.5000000096042641E-3</v>
      </c>
      <c r="V33" s="30"/>
      <c r="W33" s="27">
        <f t="shared" si="7"/>
        <v>44889</v>
      </c>
      <c r="X33" s="28">
        <f t="shared" si="5"/>
        <v>48481.208396500006</v>
      </c>
      <c r="Y33" s="28">
        <f t="shared" si="8"/>
        <v>29387.002</v>
      </c>
    </row>
    <row r="34" spans="1:25" x14ac:dyDescent="0.2">
      <c r="A34" s="27">
        <v>44890</v>
      </c>
      <c r="B34" s="28">
        <v>76</v>
      </c>
      <c r="C34" s="28">
        <v>141</v>
      </c>
      <c r="D34" s="28"/>
      <c r="E34" s="28"/>
      <c r="F34" s="28">
        <v>20</v>
      </c>
      <c r="G34" s="29">
        <v>322</v>
      </c>
      <c r="H34" s="28">
        <v>2</v>
      </c>
      <c r="I34" s="28">
        <v>80</v>
      </c>
      <c r="J34" s="28"/>
      <c r="K34" s="13">
        <v>1031</v>
      </c>
      <c r="L34" s="34">
        <v>1031.835</v>
      </c>
      <c r="M34" s="52">
        <v>32126</v>
      </c>
      <c r="N34" s="30">
        <v>19381.97</v>
      </c>
      <c r="O34" s="30">
        <v>5823.34</v>
      </c>
      <c r="P34" s="30">
        <v>59190.91</v>
      </c>
      <c r="Q34" s="33">
        <v>51.69</v>
      </c>
      <c r="R34" s="30">
        <v>670</v>
      </c>
      <c r="S34" s="30">
        <v>18.899999999999999</v>
      </c>
      <c r="T34" s="30">
        <v>1627.21</v>
      </c>
      <c r="U34" s="101">
        <f t="shared" si="9"/>
        <v>-7.5000000051659299E-3</v>
      </c>
      <c r="V34" s="30"/>
      <c r="W34" s="27">
        <f t="shared" si="7"/>
        <v>44890</v>
      </c>
      <c r="X34" s="28">
        <f t="shared" si="5"/>
        <v>45667.354344500003</v>
      </c>
      <c r="Y34" s="28">
        <f t="shared" si="8"/>
        <v>22851.3177</v>
      </c>
    </row>
    <row r="35" spans="1:25" x14ac:dyDescent="0.2">
      <c r="A35" s="27">
        <v>44891</v>
      </c>
      <c r="B35" s="28">
        <v>137</v>
      </c>
      <c r="C35" s="28">
        <v>116</v>
      </c>
      <c r="D35" s="28"/>
      <c r="E35" s="28">
        <v>20</v>
      </c>
      <c r="F35" s="28">
        <v>8</v>
      </c>
      <c r="G35" s="29">
        <v>329</v>
      </c>
      <c r="H35" s="28"/>
      <c r="I35" s="28">
        <v>95</v>
      </c>
      <c r="J35" s="28"/>
      <c r="K35" s="98"/>
      <c r="L35" s="99">
        <v>427.98200000000003</v>
      </c>
      <c r="M35" s="100">
        <v>100</v>
      </c>
      <c r="N35" s="30">
        <f>16798.69-60</f>
        <v>16738.689999999999</v>
      </c>
      <c r="O35" s="30">
        <v>9391.68</v>
      </c>
      <c r="P35" s="30">
        <f>154.38+46.38+175</f>
        <v>375.76</v>
      </c>
      <c r="Q35" s="101">
        <v>4.37</v>
      </c>
      <c r="R35" s="30">
        <v>220</v>
      </c>
      <c r="S35" s="30"/>
      <c r="T35" s="30">
        <v>2338.92</v>
      </c>
      <c r="U35" s="101">
        <f t="shared" si="9"/>
        <v>3.0000000033396645E-3</v>
      </c>
      <c r="V35" s="30"/>
      <c r="W35" s="27">
        <f t="shared" si="7"/>
        <v>44891</v>
      </c>
      <c r="X35" s="28">
        <f t="shared" si="5"/>
        <v>8064.5974993999998</v>
      </c>
      <c r="Y35" s="28">
        <f t="shared" si="8"/>
        <v>25320</v>
      </c>
    </row>
    <row r="36" spans="1:25" x14ac:dyDescent="0.2">
      <c r="A36" s="27">
        <v>44893</v>
      </c>
      <c r="B36" s="28">
        <v>66</v>
      </c>
      <c r="C36" s="28">
        <v>191</v>
      </c>
      <c r="D36" s="28"/>
      <c r="E36" s="28"/>
      <c r="F36" s="28">
        <v>14</v>
      </c>
      <c r="G36" s="29">
        <v>376</v>
      </c>
      <c r="H36" s="28"/>
      <c r="I36" s="28">
        <v>355</v>
      </c>
      <c r="J36" s="28"/>
      <c r="K36" s="98">
        <v>1572</v>
      </c>
      <c r="L36" s="99">
        <v>1466.873</v>
      </c>
      <c r="M36" s="100">
        <v>44251</v>
      </c>
      <c r="N36" s="30">
        <v>22823.67</v>
      </c>
      <c r="O36" s="30">
        <f>6989.66-60+46.38</f>
        <v>6976.04</v>
      </c>
      <c r="P36" s="30">
        <v>81708.55</v>
      </c>
      <c r="Q36" s="101">
        <v>346.24</v>
      </c>
      <c r="R36" s="30">
        <v>950</v>
      </c>
      <c r="S36" s="30">
        <v>98.1</v>
      </c>
      <c r="T36" s="30">
        <v>3236.79</v>
      </c>
      <c r="U36" s="101">
        <f t="shared" si="9"/>
        <v>-4.9999998873317963E-4</v>
      </c>
      <c r="V36" s="30"/>
      <c r="W36" s="27">
        <f t="shared" si="7"/>
        <v>44893</v>
      </c>
      <c r="X36" s="28">
        <f>SUM(F36*100+G36*20+H36*60+I36+J36*7+L36*1.1167+M36*1.1167)</f>
        <v>60328.148779100004</v>
      </c>
      <c r="Y36" s="28">
        <f t="shared" si="8"/>
        <v>27455.452400000002</v>
      </c>
    </row>
    <row r="37" spans="1:25" x14ac:dyDescent="0.2">
      <c r="A37" s="27">
        <v>44894</v>
      </c>
      <c r="B37" s="28">
        <v>72</v>
      </c>
      <c r="C37" s="28">
        <v>169</v>
      </c>
      <c r="D37" s="28"/>
      <c r="E37" s="28"/>
      <c r="F37" s="28">
        <v>19</v>
      </c>
      <c r="G37" s="29">
        <v>395</v>
      </c>
      <c r="H37" s="28">
        <v>1</v>
      </c>
      <c r="I37" s="28"/>
      <c r="J37" s="28"/>
      <c r="K37" s="98">
        <f>1589+383</f>
        <v>1972</v>
      </c>
      <c r="L37" s="99">
        <v>460.09899999999999</v>
      </c>
      <c r="M37" s="100">
        <f>47438-383</f>
        <v>47055</v>
      </c>
      <c r="N37" s="30">
        <v>19135.79</v>
      </c>
      <c r="O37" s="30">
        <v>7743.34</v>
      </c>
      <c r="P37" s="30">
        <f>87153.94+383*0.66-383*1.75+2.1</f>
        <v>86738.57</v>
      </c>
      <c r="Q37" s="101">
        <f>143.19+98.5</f>
        <v>241.69</v>
      </c>
      <c r="R37" s="30">
        <v>1480</v>
      </c>
      <c r="S37" s="30">
        <f>18.9+2.1</f>
        <v>21</v>
      </c>
      <c r="T37" s="30">
        <v>1362.11</v>
      </c>
      <c r="U37" s="101">
        <f t="shared" si="9"/>
        <v>-1.4999999968949851E-3</v>
      </c>
      <c r="V37" s="30"/>
      <c r="W37" s="27">
        <f t="shared" si="7"/>
        <v>44894</v>
      </c>
      <c r="X37" s="28">
        <f>SUM(F37*100+G37*20+H37*60+I37+J37*7+L37*1.1167+M37*1.1167)</f>
        <v>62920.111053300003</v>
      </c>
      <c r="Y37" s="28">
        <f t="shared" si="8"/>
        <v>26302.132399999999</v>
      </c>
    </row>
    <row r="38" spans="1:25" x14ac:dyDescent="0.2">
      <c r="A38" s="35">
        <v>44895</v>
      </c>
      <c r="B38" s="36">
        <v>27</v>
      </c>
      <c r="C38" s="36">
        <v>182</v>
      </c>
      <c r="D38" s="36"/>
      <c r="E38" s="36">
        <v>20</v>
      </c>
      <c r="F38" s="36">
        <v>9</v>
      </c>
      <c r="G38" s="37">
        <v>338</v>
      </c>
      <c r="H38" s="36"/>
      <c r="I38" s="36">
        <v>30</v>
      </c>
      <c r="J38" s="36"/>
      <c r="K38" s="38">
        <f>1718+280</f>
        <v>1998</v>
      </c>
      <c r="L38" s="39">
        <v>748.41099999999994</v>
      </c>
      <c r="M38" s="53">
        <f>41192-280</f>
        <v>40912</v>
      </c>
      <c r="N38" s="40">
        <v>19991.25</v>
      </c>
      <c r="O38" s="40">
        <v>3722.02</v>
      </c>
      <c r="P38" s="40">
        <f>76107.91+280*0.66-280*1.75</f>
        <v>75802.710000000006</v>
      </c>
      <c r="Q38" s="54">
        <v>278.05</v>
      </c>
      <c r="R38" s="40">
        <v>305</v>
      </c>
      <c r="S38" s="40">
        <v>10.5</v>
      </c>
      <c r="T38" s="40">
        <v>3163.78</v>
      </c>
      <c r="U38" s="54">
        <f t="shared" si="9"/>
        <v>6.4999999926840246E-3</v>
      </c>
      <c r="V38" s="40"/>
      <c r="W38" s="35">
        <f t="shared" si="7"/>
        <v>44895</v>
      </c>
      <c r="X38" s="36">
        <f t="shared" si="5"/>
        <v>54212.180963699997</v>
      </c>
      <c r="Y38" s="36">
        <f t="shared" si="8"/>
        <v>23151.1666</v>
      </c>
    </row>
    <row r="39" spans="1:25" x14ac:dyDescent="0.2">
      <c r="A39" s="50" t="s">
        <v>36</v>
      </c>
      <c r="B39" s="43">
        <f t="shared" ref="B39:R39" si="10">SUM(B25:B38)</f>
        <v>1917</v>
      </c>
      <c r="C39" s="43">
        <f t="shared" ref="C39" si="11">SUM(C25:C38)</f>
        <v>1440</v>
      </c>
      <c r="D39" s="43">
        <f t="shared" si="10"/>
        <v>0</v>
      </c>
      <c r="E39" s="43">
        <f t="shared" si="10"/>
        <v>100</v>
      </c>
      <c r="F39" s="43">
        <f t="shared" si="10"/>
        <v>249</v>
      </c>
      <c r="G39" s="43">
        <f t="shared" si="10"/>
        <v>4413</v>
      </c>
      <c r="H39" s="43">
        <f t="shared" si="10"/>
        <v>3</v>
      </c>
      <c r="I39" s="43">
        <f t="shared" si="10"/>
        <v>1050</v>
      </c>
      <c r="J39" s="43">
        <f t="shared" si="10"/>
        <v>4</v>
      </c>
      <c r="K39" s="43">
        <f t="shared" si="10"/>
        <v>22379</v>
      </c>
      <c r="L39" s="94">
        <f t="shared" si="10"/>
        <v>12469.335000000001</v>
      </c>
      <c r="M39" s="43">
        <f t="shared" si="10"/>
        <v>481720</v>
      </c>
      <c r="N39" s="43">
        <f t="shared" si="10"/>
        <v>258105.47</v>
      </c>
      <c r="O39" s="43">
        <f t="shared" si="10"/>
        <v>98152.63</v>
      </c>
      <c r="P39" s="43">
        <f t="shared" si="10"/>
        <v>888603.04</v>
      </c>
      <c r="Q39" s="43">
        <f t="shared" si="10"/>
        <v>2767.3000000000006</v>
      </c>
      <c r="R39" s="43">
        <f t="shared" si="10"/>
        <v>12160</v>
      </c>
      <c r="S39" s="43">
        <f>SUM(S25:S38)</f>
        <v>351.6</v>
      </c>
      <c r="T39" s="43">
        <f>SUM(T25:T38)</f>
        <v>29235.479999999996</v>
      </c>
      <c r="U39" s="43">
        <f>SUM(U25:U37)</f>
        <v>-6.3999999929023943E-2</v>
      </c>
      <c r="V39" s="43"/>
      <c r="W39" s="43"/>
      <c r="X39" s="43">
        <f>SUM(X25:X38)</f>
        <v>666279.23039450007</v>
      </c>
      <c r="Y39" s="43">
        <f>SUM(Y25:Y38)</f>
        <v>360790.62930000003</v>
      </c>
    </row>
    <row r="40" spans="1:25" x14ac:dyDescent="0.2">
      <c r="A40" s="55" t="s">
        <v>37</v>
      </c>
      <c r="B40" s="56">
        <f>(B39*100)</f>
        <v>191700</v>
      </c>
      <c r="C40" s="56">
        <f>(C39*100)</f>
        <v>144000</v>
      </c>
      <c r="D40" s="56">
        <f>(D39*60)</f>
        <v>0</v>
      </c>
      <c r="E40" s="56">
        <f>(E39)</f>
        <v>100</v>
      </c>
      <c r="F40" s="56">
        <f>(F39*100)</f>
        <v>24900</v>
      </c>
      <c r="G40" s="56">
        <f>(G39*20)</f>
        <v>88260</v>
      </c>
      <c r="H40" s="56">
        <f>(H39*60)</f>
        <v>180</v>
      </c>
      <c r="I40" s="56">
        <f>(I39)</f>
        <v>1050</v>
      </c>
      <c r="J40" s="56">
        <f>+J39*7</f>
        <v>28</v>
      </c>
      <c r="K40" s="57">
        <f>(K39*1.1167)</f>
        <v>24990.629300000001</v>
      </c>
      <c r="L40" s="58">
        <f>(L39*1.1167)</f>
        <v>13924.506394500002</v>
      </c>
      <c r="M40" s="59">
        <f>(M39*1.1167)</f>
        <v>537936.72400000005</v>
      </c>
      <c r="N40" s="60"/>
      <c r="O40" s="60"/>
      <c r="P40" s="60"/>
      <c r="Q40" s="60"/>
      <c r="R40" s="60"/>
      <c r="S40" s="60"/>
      <c r="T40" s="60"/>
      <c r="U40" s="60"/>
      <c r="V40" s="56"/>
      <c r="W40" s="61" t="s">
        <v>35</v>
      </c>
      <c r="X40" s="56">
        <f>+M48+M49+M50+M51-X39</f>
        <v>0</v>
      </c>
      <c r="Y40" s="56">
        <f>+M47-Y39</f>
        <v>0</v>
      </c>
    </row>
    <row r="41" spans="1:25" ht="38.25" x14ac:dyDescent="0.2">
      <c r="A41" s="62" t="s">
        <v>38</v>
      </c>
      <c r="B41" s="43">
        <f t="shared" ref="B41:U41" si="12">(B20+B39)</f>
        <v>5691</v>
      </c>
      <c r="C41" s="43">
        <f t="shared" si="12"/>
        <v>1446</v>
      </c>
      <c r="D41" s="43">
        <f t="shared" si="12"/>
        <v>0</v>
      </c>
      <c r="E41" s="43">
        <f t="shared" si="12"/>
        <v>140</v>
      </c>
      <c r="F41" s="43">
        <f t="shared" si="12"/>
        <v>457</v>
      </c>
      <c r="G41" s="43">
        <f t="shared" si="12"/>
        <v>8838</v>
      </c>
      <c r="H41" s="43">
        <f t="shared" si="12"/>
        <v>10</v>
      </c>
      <c r="I41" s="43">
        <f t="shared" si="12"/>
        <v>1695</v>
      </c>
      <c r="J41" s="43">
        <f t="shared" si="12"/>
        <v>6</v>
      </c>
      <c r="K41" s="43">
        <f t="shared" si="12"/>
        <v>42857</v>
      </c>
      <c r="L41" s="45">
        <f t="shared" si="12"/>
        <v>24529.667000000001</v>
      </c>
      <c r="M41" s="43">
        <f t="shared" si="12"/>
        <v>858484</v>
      </c>
      <c r="N41" s="43">
        <f t="shared" si="12"/>
        <v>542558.91</v>
      </c>
      <c r="O41" s="43">
        <f t="shared" si="12"/>
        <v>166466.82</v>
      </c>
      <c r="P41" s="43">
        <f t="shared" si="12"/>
        <v>1579238.3900000001</v>
      </c>
      <c r="Q41" s="43">
        <f t="shared" si="12"/>
        <v>6035.2000000000007</v>
      </c>
      <c r="R41" s="43">
        <f t="shared" si="12"/>
        <v>22095</v>
      </c>
      <c r="S41" s="43">
        <f t="shared" si="12"/>
        <v>1046</v>
      </c>
      <c r="T41" s="43">
        <f t="shared" si="12"/>
        <v>54251.09</v>
      </c>
      <c r="U41" s="43">
        <f t="shared" si="12"/>
        <v>-5.3999999926475084E-2</v>
      </c>
      <c r="V41" s="43"/>
      <c r="W41" s="43"/>
      <c r="X41" s="43">
        <f>(X20+X39)</f>
        <v>1210858.3619389001</v>
      </c>
      <c r="Y41" s="43">
        <f>(Y20+Y39)</f>
        <v>761698.41189999995</v>
      </c>
    </row>
    <row r="42" spans="1:25" x14ac:dyDescent="0.2">
      <c r="A42" s="55" t="s">
        <v>37</v>
      </c>
      <c r="B42" s="56">
        <f>(B41*100)</f>
        <v>569100</v>
      </c>
      <c r="C42" s="56">
        <f>(C41*100)</f>
        <v>144600</v>
      </c>
      <c r="D42" s="56">
        <f>(D41*60)</f>
        <v>0</v>
      </c>
      <c r="E42" s="56">
        <f>(E41)</f>
        <v>140</v>
      </c>
      <c r="F42" s="56">
        <f>(F41*100)</f>
        <v>45700</v>
      </c>
      <c r="G42" s="63">
        <f>(G41*20)</f>
        <v>176760</v>
      </c>
      <c r="H42" s="56">
        <f>(H41*60)</f>
        <v>600</v>
      </c>
      <c r="I42" s="56">
        <f>(I41)</f>
        <v>1695</v>
      </c>
      <c r="J42" s="56">
        <f>+J41*7</f>
        <v>42</v>
      </c>
      <c r="K42" s="57">
        <f>(K41*1.1167)</f>
        <v>47858.411899999999</v>
      </c>
      <c r="L42" s="58">
        <f>(L41*1.1167)</f>
        <v>27392.279138900001</v>
      </c>
      <c r="M42" s="59">
        <f>(M41*1.1167)</f>
        <v>958669.08279999997</v>
      </c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56">
        <f>+E56+E57+E58+E59-X41</f>
        <v>0</v>
      </c>
      <c r="Y42" s="56">
        <f>+E55-Y41</f>
        <v>0</v>
      </c>
    </row>
    <row r="43" spans="1:25" x14ac:dyDescent="0.2">
      <c r="A43" s="51"/>
      <c r="B43" s="51"/>
      <c r="C43" s="51"/>
      <c r="D43" s="51"/>
      <c r="E43" s="51"/>
      <c r="F43" s="51"/>
      <c r="G43" s="64"/>
      <c r="H43" s="51"/>
      <c r="I43" s="51"/>
      <c r="J43" s="51"/>
      <c r="K43" s="13"/>
      <c r="L43" s="65"/>
      <c r="M43" s="66"/>
      <c r="N43" s="67"/>
      <c r="O43" s="67"/>
      <c r="P43" s="67"/>
      <c r="Q43" s="67"/>
      <c r="R43" s="67"/>
      <c r="S43" s="67"/>
      <c r="T43" s="67"/>
      <c r="U43" s="67"/>
      <c r="V43" s="1"/>
      <c r="W43" s="1"/>
      <c r="X43" s="1"/>
      <c r="Y43" s="1"/>
    </row>
    <row r="44" spans="1:25" x14ac:dyDescent="0.2">
      <c r="A44" s="51"/>
      <c r="B44" s="51"/>
      <c r="C44" s="51"/>
      <c r="D44" s="51"/>
      <c r="E44" s="51"/>
      <c r="F44" s="51"/>
      <c r="G44" s="64"/>
      <c r="H44" s="51"/>
      <c r="I44" s="51"/>
      <c r="J44" s="51"/>
      <c r="K44" s="13"/>
      <c r="L44" s="65"/>
      <c r="M44" s="66"/>
      <c r="N44" s="67"/>
      <c r="O44" s="67"/>
      <c r="P44" s="67"/>
      <c r="Q44" s="67"/>
      <c r="R44" s="67"/>
      <c r="S44" s="67"/>
      <c r="T44" s="67"/>
      <c r="U44" s="67"/>
      <c r="V44" s="1"/>
      <c r="W44" s="1"/>
      <c r="X44" s="1"/>
      <c r="Y44" s="1"/>
    </row>
    <row r="45" spans="1:25" x14ac:dyDescent="0.2">
      <c r="A45" s="51"/>
      <c r="B45" s="51"/>
      <c r="C45" s="51"/>
      <c r="D45" s="51"/>
      <c r="E45" s="51"/>
      <c r="F45" s="51"/>
      <c r="G45" s="64"/>
      <c r="H45" s="51"/>
      <c r="I45" s="51"/>
      <c r="J45" s="51"/>
      <c r="K45" s="13"/>
      <c r="L45" s="65"/>
      <c r="M45" s="66"/>
      <c r="N45" s="67"/>
      <c r="O45" s="67"/>
      <c r="P45" s="67"/>
      <c r="Q45" s="67"/>
      <c r="R45" s="67"/>
      <c r="S45" s="67"/>
      <c r="T45" s="67"/>
      <c r="U45" s="67"/>
      <c r="V45" s="1"/>
      <c r="W45" s="1"/>
      <c r="X45" s="1"/>
      <c r="Y45" s="1"/>
    </row>
    <row r="46" spans="1:25" x14ac:dyDescent="0.2">
      <c r="A46" s="27"/>
      <c r="B46" s="68" t="s">
        <v>39</v>
      </c>
      <c r="C46" s="68"/>
      <c r="D46" s="56"/>
      <c r="E46" s="56"/>
      <c r="F46" s="56"/>
      <c r="G46" s="43"/>
      <c r="H46" s="43"/>
      <c r="I46" s="43"/>
      <c r="J46" s="43"/>
      <c r="K46" s="57" t="s">
        <v>40</v>
      </c>
      <c r="L46" s="58"/>
      <c r="M46" s="59"/>
      <c r="N46" s="60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27"/>
      <c r="B47" s="81" t="s">
        <v>41</v>
      </c>
      <c r="C47" s="81"/>
      <c r="D47" s="43"/>
      <c r="E47" s="43">
        <f>SUM(B21:E21)+K21</f>
        <v>400907.78259999998</v>
      </c>
      <c r="F47" s="70" t="s">
        <v>42</v>
      </c>
      <c r="G47" s="70"/>
      <c r="H47" s="43"/>
      <c r="I47" s="43"/>
      <c r="J47" s="43"/>
      <c r="K47" s="44" t="s">
        <v>41</v>
      </c>
      <c r="L47" s="47"/>
      <c r="M47" s="48">
        <f>SUM(B40:E40)+K40</f>
        <v>360790.62930000003</v>
      </c>
      <c r="N47" s="2" t="s">
        <v>42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27"/>
      <c r="B48" s="81" t="s">
        <v>43</v>
      </c>
      <c r="C48" s="81"/>
      <c r="D48" s="43"/>
      <c r="E48" s="43">
        <f>G21</f>
        <v>88500</v>
      </c>
      <c r="F48" s="70" t="s">
        <v>42</v>
      </c>
      <c r="G48" s="70"/>
      <c r="H48" s="43"/>
      <c r="I48" s="43"/>
      <c r="J48" s="43"/>
      <c r="K48" s="44" t="s">
        <v>43</v>
      </c>
      <c r="L48" s="47"/>
      <c r="M48" s="48">
        <f>G40</f>
        <v>88260</v>
      </c>
      <c r="N48" s="2" t="s">
        <v>42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27"/>
      <c r="B49" s="81" t="s">
        <v>44</v>
      </c>
      <c r="C49" s="81"/>
      <c r="D49" s="43"/>
      <c r="E49" s="43">
        <f>SUM(F21,H21,I21,J21)</f>
        <v>21879</v>
      </c>
      <c r="F49" s="70" t="s">
        <v>42</v>
      </c>
      <c r="G49" s="70"/>
      <c r="H49" s="43"/>
      <c r="I49" s="43"/>
      <c r="J49" s="43"/>
      <c r="K49" s="44" t="s">
        <v>44</v>
      </c>
      <c r="L49" s="47"/>
      <c r="M49" s="48">
        <f>SUM(F40:J40)-G40</f>
        <v>26158</v>
      </c>
      <c r="N49" s="2" t="s">
        <v>42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27"/>
      <c r="B50" s="81" t="s">
        <v>45</v>
      </c>
      <c r="C50" s="81"/>
      <c r="D50" s="43"/>
      <c r="E50" s="94">
        <f>+L21</f>
        <v>13467.772744399999</v>
      </c>
      <c r="F50" s="70" t="s">
        <v>42</v>
      </c>
      <c r="G50" s="70"/>
      <c r="H50" s="43"/>
      <c r="I50" s="43"/>
      <c r="J50" s="43"/>
      <c r="K50" s="44" t="s">
        <v>45</v>
      </c>
      <c r="L50" s="47"/>
      <c r="M50" s="48">
        <f>+L40</f>
        <v>13924.506394500002</v>
      </c>
      <c r="N50" s="2" t="s">
        <v>42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27"/>
      <c r="B51" s="68" t="s">
        <v>46</v>
      </c>
      <c r="C51" s="68"/>
      <c r="D51" s="56"/>
      <c r="E51" s="56">
        <f>+M21</f>
        <v>420732.35879999999</v>
      </c>
      <c r="F51" s="73" t="s">
        <v>42</v>
      </c>
      <c r="G51" s="73"/>
      <c r="H51" s="43"/>
      <c r="I51" s="43"/>
      <c r="J51" s="43"/>
      <c r="K51" s="57" t="s">
        <v>46</v>
      </c>
      <c r="L51" s="58"/>
      <c r="M51" s="59">
        <f>+M40</f>
        <v>537936.72400000005</v>
      </c>
      <c r="N51" s="74" t="s">
        <v>42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27"/>
      <c r="B52" s="81"/>
      <c r="C52" s="81"/>
      <c r="D52" s="43"/>
      <c r="E52" s="43">
        <f>SUM(E47:E51)</f>
        <v>945486.91414440004</v>
      </c>
      <c r="F52" s="70" t="s">
        <v>42</v>
      </c>
      <c r="G52" s="70"/>
      <c r="H52" s="43"/>
      <c r="I52" s="43"/>
      <c r="J52" s="43"/>
      <c r="K52" s="75"/>
      <c r="L52" s="76"/>
      <c r="M52" s="77">
        <f>SUM(M47:M51)</f>
        <v>1027069.8596945001</v>
      </c>
      <c r="N52" s="2" t="s">
        <v>42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27"/>
      <c r="B53" s="81"/>
      <c r="C53" s="81"/>
      <c r="D53" s="43"/>
      <c r="E53" s="43"/>
      <c r="F53" s="70"/>
      <c r="G53" s="70"/>
      <c r="H53" s="43"/>
      <c r="I53" s="43"/>
      <c r="J53" s="43"/>
      <c r="K53" s="75"/>
      <c r="L53" s="76"/>
      <c r="M53" s="77"/>
      <c r="N53" s="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thickBot="1" x14ac:dyDescent="0.25">
      <c r="A54" s="27"/>
      <c r="B54" s="78"/>
      <c r="C54" s="78"/>
      <c r="D54" s="78"/>
      <c r="E54" s="79" t="s">
        <v>47</v>
      </c>
      <c r="F54" s="78"/>
      <c r="G54" s="78"/>
      <c r="H54" s="78"/>
      <c r="I54" s="78"/>
      <c r="J54" s="78"/>
      <c r="K54" s="80"/>
      <c r="L54" s="47"/>
      <c r="M54" s="48"/>
      <c r="N54" s="4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27"/>
      <c r="B55" s="81" t="s">
        <v>41</v>
      </c>
      <c r="C55" s="81"/>
      <c r="D55" s="43"/>
      <c r="E55" s="43">
        <f>+E47+M47</f>
        <v>761698.41189999995</v>
      </c>
      <c r="F55" s="70" t="s">
        <v>42</v>
      </c>
      <c r="G55" s="70" t="s">
        <v>48</v>
      </c>
      <c r="H55" s="82">
        <f>E5</f>
        <v>0.46379999999999999</v>
      </c>
      <c r="I55" s="70" t="s">
        <v>33</v>
      </c>
      <c r="J55" s="70"/>
      <c r="K55" s="44">
        <f>E55*H55</f>
        <v>353275.72343921999</v>
      </c>
      <c r="L55" s="47">
        <f>+E55-Y41</f>
        <v>0</v>
      </c>
      <c r="M55" s="48"/>
      <c r="N55" s="49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27"/>
      <c r="B56" s="81" t="s">
        <v>43</v>
      </c>
      <c r="C56" s="81"/>
      <c r="D56" s="43"/>
      <c r="E56" s="43">
        <f>E48+M48</f>
        <v>176760</v>
      </c>
      <c r="F56" s="70" t="s">
        <v>42</v>
      </c>
      <c r="G56" s="70" t="s">
        <v>48</v>
      </c>
      <c r="H56" s="83">
        <f>G5/20</f>
        <v>1.2749999999999999</v>
      </c>
      <c r="I56" s="70" t="s">
        <v>33</v>
      </c>
      <c r="J56" s="70"/>
      <c r="K56" s="44">
        <f>E56*H56</f>
        <v>225368.99999999997</v>
      </c>
      <c r="L56" s="47">
        <f>+E56+E57+E58+E59-X41</f>
        <v>0</v>
      </c>
      <c r="M56" s="48"/>
      <c r="N56" s="49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27"/>
      <c r="B57" s="81" t="s">
        <v>44</v>
      </c>
      <c r="C57" s="81"/>
      <c r="D57" s="43"/>
      <c r="E57" s="43">
        <f>+E49+M49</f>
        <v>48037</v>
      </c>
      <c r="F57" s="70" t="s">
        <v>42</v>
      </c>
      <c r="G57" s="70" t="s">
        <v>48</v>
      </c>
      <c r="H57" s="83">
        <f>F5/100</f>
        <v>1.585</v>
      </c>
      <c r="I57" s="70" t="s">
        <v>33</v>
      </c>
      <c r="J57" s="70"/>
      <c r="K57" s="75">
        <f>E57*H57</f>
        <v>76138.645000000004</v>
      </c>
      <c r="L57" s="47"/>
      <c r="M57" s="48"/>
      <c r="N57" s="49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27"/>
      <c r="B58" s="81" t="s">
        <v>45</v>
      </c>
      <c r="C58" s="81"/>
      <c r="D58" s="43"/>
      <c r="E58" s="43">
        <f>+E50+M50</f>
        <v>27392.279138900001</v>
      </c>
      <c r="F58" s="70" t="s">
        <v>42</v>
      </c>
      <c r="G58" s="70" t="s">
        <v>48</v>
      </c>
      <c r="H58" s="83">
        <f>L5/1.1167</f>
        <v>1.3432434852690964</v>
      </c>
      <c r="I58" s="70" t="s">
        <v>33</v>
      </c>
      <c r="J58" s="70"/>
      <c r="K58" s="75">
        <f>+E58*H58</f>
        <v>36794.500500000002</v>
      </c>
      <c r="L58" s="47"/>
      <c r="M58" s="48"/>
      <c r="N58" s="49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thickBot="1" x14ac:dyDescent="0.25">
      <c r="A59" s="27"/>
      <c r="B59" s="79" t="s">
        <v>46</v>
      </c>
      <c r="C59" s="79"/>
      <c r="D59" s="78"/>
      <c r="E59" s="78">
        <f>+E51+M51</f>
        <v>958669.08279999997</v>
      </c>
      <c r="F59" s="84" t="s">
        <v>42</v>
      </c>
      <c r="G59" s="84" t="s">
        <v>48</v>
      </c>
      <c r="H59" s="85">
        <f>M5/1.1167</f>
        <v>1.5671173994806125</v>
      </c>
      <c r="I59" s="84" t="s">
        <v>33</v>
      </c>
      <c r="J59" s="84"/>
      <c r="K59" s="80">
        <f>E59*H59</f>
        <v>1502347</v>
      </c>
      <c r="L59" s="47"/>
      <c r="M59" s="48"/>
      <c r="N59" s="49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27"/>
      <c r="B60" s="81"/>
      <c r="C60" s="81"/>
      <c r="D60" s="43"/>
      <c r="E60" s="43">
        <f>SUM(E55:E59)</f>
        <v>1972556.7738389</v>
      </c>
      <c r="F60" s="70"/>
      <c r="G60" s="70"/>
      <c r="H60" s="83"/>
      <c r="I60" s="70"/>
      <c r="J60" s="70"/>
      <c r="K60" s="75">
        <f>SUM(K55:K59)</f>
        <v>2193924.86893922</v>
      </c>
      <c r="L60" s="47"/>
      <c r="M60" s="48"/>
      <c r="N60" s="49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27"/>
      <c r="B61" s="81"/>
      <c r="C61" s="81"/>
      <c r="D61" s="43"/>
      <c r="E61" s="43">
        <f>+E60-X41-Y41</f>
        <v>0</v>
      </c>
      <c r="F61" s="70"/>
      <c r="G61" s="70"/>
      <c r="H61" s="83"/>
      <c r="I61" s="70"/>
      <c r="J61" s="70"/>
      <c r="K61" s="75"/>
      <c r="L61" s="47"/>
      <c r="M61" s="48"/>
      <c r="N61" s="49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K62" s="111"/>
    </row>
    <row r="63" spans="1:25" x14ac:dyDescent="0.2">
      <c r="E63" s="112"/>
    </row>
  </sheetData>
  <pageMargins left="0.25" right="0.31" top="0.68" bottom="0.3" header="0.2" footer="0.17"/>
  <pageSetup scale="5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303F-22EA-4D90-A9C2-A3F8C2CDE6B9}">
  <dimension ref="A1:Y63"/>
  <sheetViews>
    <sheetView tabSelected="1" topLeftCell="A29" workbookViewId="0">
      <selection activeCell="A46" sqref="A46"/>
    </sheetView>
  </sheetViews>
  <sheetFormatPr defaultColWidth="11.140625" defaultRowHeight="12.75" x14ac:dyDescent="0.2"/>
  <cols>
    <col min="1" max="1" width="13.42578125" style="103" customWidth="1"/>
    <col min="2" max="2" width="10.42578125" style="103" customWidth="1"/>
    <col min="3" max="3" width="11.140625" style="103"/>
    <col min="4" max="4" width="9.28515625" style="103" customWidth="1"/>
    <col min="5" max="5" width="14" style="103" customWidth="1"/>
    <col min="6" max="6" width="10.28515625" style="103" customWidth="1"/>
    <col min="7" max="7" width="11.7109375" style="103" customWidth="1"/>
    <col min="8" max="10" width="11.140625" style="103"/>
    <col min="11" max="11" width="14.140625" style="103" customWidth="1"/>
    <col min="12" max="12" width="14.7109375" style="103" customWidth="1"/>
    <col min="13" max="13" width="15.7109375" style="103" customWidth="1"/>
    <col min="14" max="14" width="14.7109375" style="103" customWidth="1"/>
    <col min="15" max="15" width="14.28515625" style="103" customWidth="1"/>
    <col min="16" max="16" width="15.42578125" style="103" customWidth="1"/>
    <col min="17" max="17" width="14.140625" style="103" customWidth="1"/>
    <col min="18" max="18" width="12.5703125" style="103" customWidth="1"/>
    <col min="19" max="19" width="11.140625" style="103"/>
    <col min="20" max="20" width="13.42578125" style="103" customWidth="1"/>
    <col min="21" max="21" width="12.42578125" style="103" bestFit="1" customWidth="1"/>
    <col min="22" max="22" width="11.140625" style="103"/>
    <col min="23" max="23" width="14" style="103" customWidth="1"/>
    <col min="24" max="16384" width="11.140625" style="103"/>
  </cols>
  <sheetData>
    <row r="1" spans="1:25" x14ac:dyDescent="0.2">
      <c r="A1" s="1" t="s">
        <v>49</v>
      </c>
      <c r="B1" s="1"/>
      <c r="C1" s="1"/>
      <c r="D1" s="2" t="s">
        <v>0</v>
      </c>
      <c r="E1" s="3">
        <v>44896</v>
      </c>
      <c r="F1" s="4"/>
      <c r="G1" s="1"/>
      <c r="H1" s="1"/>
      <c r="I1" s="1"/>
      <c r="J1" s="1"/>
      <c r="K1" s="5"/>
      <c r="L1" s="6"/>
      <c r="M1" s="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5"/>
      <c r="L2" s="6"/>
      <c r="M2" s="7"/>
      <c r="N2" s="1"/>
      <c r="O2" s="1"/>
      <c r="P2" s="1"/>
      <c r="Q2" s="1"/>
      <c r="R2" s="1"/>
      <c r="S2" s="1"/>
      <c r="T2" s="1"/>
      <c r="U2" s="1"/>
      <c r="V2" s="1"/>
      <c r="W2" s="1" t="s">
        <v>1</v>
      </c>
      <c r="X2" s="1"/>
      <c r="Y2" s="1"/>
    </row>
    <row r="3" spans="1:25" x14ac:dyDescent="0.2">
      <c r="A3" s="1"/>
      <c r="B3" s="1"/>
      <c r="C3" s="1"/>
      <c r="D3" s="8" t="s">
        <v>2</v>
      </c>
      <c r="E3" s="9"/>
      <c r="F3" s="1"/>
      <c r="G3" s="8" t="s">
        <v>3</v>
      </c>
      <c r="H3" s="1"/>
      <c r="I3" s="1"/>
      <c r="J3" s="8" t="s">
        <v>4</v>
      </c>
      <c r="K3" s="5" t="s">
        <v>5</v>
      </c>
      <c r="L3" s="10" t="s">
        <v>6</v>
      </c>
      <c r="M3" s="11" t="s">
        <v>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1"/>
      <c r="B4" s="12"/>
      <c r="C4" s="12"/>
      <c r="D4" s="9"/>
      <c r="E4" s="1"/>
      <c r="F4" s="1"/>
      <c r="G4" s="9"/>
      <c r="H4" s="9"/>
      <c r="I4" s="1"/>
      <c r="J4" s="8" t="s">
        <v>8</v>
      </c>
      <c r="K4" s="13" t="s">
        <v>9</v>
      </c>
      <c r="L4" s="14" t="s">
        <v>10</v>
      </c>
      <c r="M4" s="11" t="s">
        <v>11</v>
      </c>
      <c r="N4" s="15" t="s">
        <v>12</v>
      </c>
      <c r="O4" s="15" t="s">
        <v>13</v>
      </c>
      <c r="P4" s="15" t="s">
        <v>14</v>
      </c>
      <c r="Q4" s="15" t="s">
        <v>15</v>
      </c>
      <c r="R4" s="15" t="s">
        <v>16</v>
      </c>
      <c r="S4" s="15" t="s">
        <v>17</v>
      </c>
      <c r="T4" s="15" t="s">
        <v>18</v>
      </c>
      <c r="U4" s="15" t="s">
        <v>19</v>
      </c>
      <c r="V4" s="15"/>
      <c r="W4" s="9" t="s">
        <v>20</v>
      </c>
      <c r="X4" s="1"/>
      <c r="Y4" s="1"/>
    </row>
    <row r="5" spans="1:25" x14ac:dyDescent="0.2">
      <c r="A5" s="16"/>
      <c r="B5" s="104">
        <v>46.38</v>
      </c>
      <c r="C5" s="104">
        <v>60</v>
      </c>
      <c r="D5" s="21">
        <v>27.83</v>
      </c>
      <c r="E5" s="105">
        <v>0.6</v>
      </c>
      <c r="F5" s="106">
        <v>158.5</v>
      </c>
      <c r="G5" s="21">
        <v>25.5</v>
      </c>
      <c r="H5" s="21">
        <v>95</v>
      </c>
      <c r="I5" s="107">
        <v>1.59</v>
      </c>
      <c r="J5" s="104">
        <v>18.55</v>
      </c>
      <c r="K5" s="108">
        <v>0.66</v>
      </c>
      <c r="L5" s="109">
        <v>1.5</v>
      </c>
      <c r="M5" s="110">
        <v>1.75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21</v>
      </c>
      <c r="S5" s="21" t="s">
        <v>22</v>
      </c>
      <c r="T5" s="21" t="s">
        <v>23</v>
      </c>
      <c r="U5" s="21" t="s">
        <v>24</v>
      </c>
      <c r="V5" s="21"/>
      <c r="W5" s="16" t="s">
        <v>25</v>
      </c>
      <c r="X5" s="16"/>
      <c r="Y5" s="16"/>
    </row>
    <row r="6" spans="1:25" x14ac:dyDescent="0.2">
      <c r="A6" s="22" t="s">
        <v>26</v>
      </c>
      <c r="B6" s="22" t="s">
        <v>27</v>
      </c>
      <c r="C6" s="22" t="s">
        <v>27</v>
      </c>
      <c r="D6" s="22" t="s">
        <v>28</v>
      </c>
      <c r="E6" s="22" t="s">
        <v>29</v>
      </c>
      <c r="F6" s="22" t="s">
        <v>27</v>
      </c>
      <c r="G6" s="22" t="s">
        <v>30</v>
      </c>
      <c r="H6" s="22" t="s">
        <v>28</v>
      </c>
      <c r="I6" s="22" t="s">
        <v>29</v>
      </c>
      <c r="J6" s="22" t="s">
        <v>31</v>
      </c>
      <c r="K6" s="23" t="s">
        <v>32</v>
      </c>
      <c r="L6" s="24" t="s">
        <v>32</v>
      </c>
      <c r="M6" s="25" t="s">
        <v>32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2" t="s">
        <v>33</v>
      </c>
      <c r="V6" s="26"/>
      <c r="W6" s="22" t="s">
        <v>26</v>
      </c>
      <c r="X6" s="22" t="s">
        <v>11</v>
      </c>
      <c r="Y6" s="22" t="s">
        <v>34</v>
      </c>
    </row>
    <row r="7" spans="1:25" x14ac:dyDescent="0.2">
      <c r="A7" s="27">
        <v>44896</v>
      </c>
      <c r="B7" s="28">
        <v>9</v>
      </c>
      <c r="C7" s="28">
        <v>214</v>
      </c>
      <c r="D7" s="28"/>
      <c r="E7" s="28"/>
      <c r="F7" s="28">
        <v>20</v>
      </c>
      <c r="G7" s="29">
        <v>320</v>
      </c>
      <c r="H7" s="28">
        <v>2</v>
      </c>
      <c r="I7" s="28">
        <v>120</v>
      </c>
      <c r="J7" s="28"/>
      <c r="K7" s="13">
        <f>691+200</f>
        <v>891</v>
      </c>
      <c r="L7" s="6">
        <v>1052.559</v>
      </c>
      <c r="M7" s="28">
        <f>36061-200</f>
        <v>35861</v>
      </c>
      <c r="N7" s="30">
        <v>25728.23</v>
      </c>
      <c r="O7" s="30">
        <v>4278.8</v>
      </c>
      <c r="P7" s="30">
        <f>64619.59+104-350+2.1</f>
        <v>64375.689999999995</v>
      </c>
      <c r="Q7" s="31">
        <f>300+13.62+98.5+28</f>
        <v>440.12</v>
      </c>
      <c r="R7" s="30">
        <v>815</v>
      </c>
      <c r="S7" s="30">
        <f>85.5+2.1</f>
        <v>87.6</v>
      </c>
      <c r="T7" s="30">
        <v>4028.37</v>
      </c>
      <c r="U7" s="101">
        <f t="shared" ref="U7" si="0">B7*46.38+C7*60+D7*36+E7*0.66+F7*158.5+G7*25.5+H7*95+I7*1.59+J7*18.55+K7*0.66+L7*1.5+M7*1.75-N7-O7-P7-Q7+R7+S7+T7</f>
        <v>-1.4999999971223588E-3</v>
      </c>
      <c r="V7" s="1"/>
      <c r="W7" s="27">
        <f>+A7</f>
        <v>44896</v>
      </c>
      <c r="X7" s="28">
        <f>SUM(F7*100+G7*20+H7*60+I7+J7*7+L7*1.1167+M7*1.1167)</f>
        <v>49861.371335299998</v>
      </c>
      <c r="Y7" s="28">
        <f>SUM((B7+C7)*100+D7*60+E7+K7*1.1167)</f>
        <v>23294.9797</v>
      </c>
    </row>
    <row r="8" spans="1:25" x14ac:dyDescent="0.2">
      <c r="A8" s="27">
        <v>44897</v>
      </c>
      <c r="B8" s="28">
        <v>17</v>
      </c>
      <c r="C8" s="28">
        <v>183</v>
      </c>
      <c r="D8" s="28"/>
      <c r="E8" s="28">
        <v>20</v>
      </c>
      <c r="F8" s="28">
        <v>28</v>
      </c>
      <c r="G8" s="29">
        <v>436</v>
      </c>
      <c r="H8" s="28"/>
      <c r="I8" s="28">
        <v>30</v>
      </c>
      <c r="J8" s="28"/>
      <c r="K8" s="13">
        <v>3379</v>
      </c>
      <c r="L8" s="6">
        <v>632.92700000000002</v>
      </c>
      <c r="M8" s="28">
        <v>34629</v>
      </c>
      <c r="N8" s="30">
        <v>24891.32</v>
      </c>
      <c r="O8" s="30">
        <v>4539</v>
      </c>
      <c r="P8" s="30">
        <v>65094.6</v>
      </c>
      <c r="Q8" s="31">
        <f>404.95+60-158.5</f>
        <v>306.45</v>
      </c>
      <c r="R8" s="30">
        <v>540</v>
      </c>
      <c r="S8" s="30">
        <v>21</v>
      </c>
      <c r="T8" s="30">
        <v>3105.93</v>
      </c>
      <c r="U8" s="101">
        <f>B8*46.38+C8*60+D8*36+E8*0.6+F8*158.5+G8*25.5+H8*95+I8*1.59+J8*18.55+K8*0.66+L8*1.5+M8*1.75-N8-O8-P8-Q8+R8+S8+T8</f>
        <v>4.9999999146166374E-4</v>
      </c>
      <c r="V8" s="1"/>
      <c r="W8" s="27">
        <f t="shared" ref="W8:W20" si="1">+A8</f>
        <v>44897</v>
      </c>
      <c r="X8" s="28">
        <f t="shared" ref="X8:X20" si="2">SUM(F8*100+G8*20+H8*60+I8+J8*7+L8*1.1167+M8*1.1167)</f>
        <v>50926.993880900001</v>
      </c>
      <c r="Y8" s="28">
        <f t="shared" ref="Y8:Y20" si="3">SUM((B8+C8)*100+D8*60+E8+K8*1.1167)</f>
        <v>23793.329300000001</v>
      </c>
    </row>
    <row r="9" spans="1:25" x14ac:dyDescent="0.2">
      <c r="A9" s="27">
        <v>44898</v>
      </c>
      <c r="B9" s="28">
        <v>20</v>
      </c>
      <c r="C9" s="28">
        <v>231</v>
      </c>
      <c r="D9" s="28"/>
      <c r="E9" s="28"/>
      <c r="F9" s="28">
        <v>10</v>
      </c>
      <c r="G9" s="29">
        <v>375</v>
      </c>
      <c r="H9" s="28"/>
      <c r="I9" s="28">
        <v>40</v>
      </c>
      <c r="J9" s="28"/>
      <c r="K9" s="13"/>
      <c r="L9" s="6">
        <v>558.48400000000004</v>
      </c>
      <c r="M9" s="28"/>
      <c r="N9" s="30">
        <v>15011.08</v>
      </c>
      <c r="O9" s="30">
        <v>12131.84</v>
      </c>
      <c r="P9" s="30">
        <v>965.39</v>
      </c>
      <c r="Q9" s="33">
        <v>115.5</v>
      </c>
      <c r="R9" s="30">
        <v>810</v>
      </c>
      <c r="S9" s="30"/>
      <c r="T9" s="30">
        <v>577.38</v>
      </c>
      <c r="U9" s="101">
        <f t="shared" ref="U9:U20" si="4">B9*46.38+C9*60+D9*36+E9*0.6+F9*158.5+G9*25.5+H9*95+I9*1.59+J9*18.55+K9*0.66+L9*1.5+M9*1.75-N9-O9-P9-Q9+R9+S9+T9</f>
        <v>-4.0000000041118255E-3</v>
      </c>
      <c r="V9" s="1"/>
      <c r="W9" s="27">
        <f t="shared" si="1"/>
        <v>44898</v>
      </c>
      <c r="X9" s="28">
        <f t="shared" si="2"/>
        <v>9163.6590828000008</v>
      </c>
      <c r="Y9" s="28">
        <f t="shared" si="3"/>
        <v>25100</v>
      </c>
    </row>
    <row r="10" spans="1:25" x14ac:dyDescent="0.2">
      <c r="A10" s="27">
        <v>44900</v>
      </c>
      <c r="B10" s="28">
        <v>4</v>
      </c>
      <c r="C10" s="28">
        <v>233</v>
      </c>
      <c r="D10" s="28"/>
      <c r="E10" s="28">
        <v>20</v>
      </c>
      <c r="F10" s="28">
        <v>12</v>
      </c>
      <c r="G10" s="29">
        <v>411</v>
      </c>
      <c r="H10" s="28"/>
      <c r="I10" s="28">
        <v>40</v>
      </c>
      <c r="J10" s="28"/>
      <c r="K10" s="13">
        <v>2280</v>
      </c>
      <c r="L10" s="34">
        <v>1187.7159999999999</v>
      </c>
      <c r="M10" s="28">
        <v>45030</v>
      </c>
      <c r="N10" s="30">
        <v>22346.49</v>
      </c>
      <c r="O10" s="30">
        <v>7075.45</v>
      </c>
      <c r="P10" s="30">
        <v>83480.62</v>
      </c>
      <c r="Q10" s="31">
        <v>244.37</v>
      </c>
      <c r="R10" s="30">
        <v>1535</v>
      </c>
      <c r="S10" s="30">
        <v>25.2</v>
      </c>
      <c r="T10" s="30">
        <v>2874.24</v>
      </c>
      <c r="U10" s="101">
        <f t="shared" si="4"/>
        <v>4.0000000080908649E-3</v>
      </c>
      <c r="V10" s="1"/>
      <c r="W10" s="27">
        <f t="shared" si="1"/>
        <v>44900</v>
      </c>
      <c r="X10" s="28">
        <f t="shared" si="2"/>
        <v>61071.323457200007</v>
      </c>
      <c r="Y10" s="28">
        <f t="shared" si="3"/>
        <v>26266.076000000001</v>
      </c>
    </row>
    <row r="11" spans="1:25" x14ac:dyDescent="0.2">
      <c r="A11" s="27">
        <v>44901</v>
      </c>
      <c r="B11" s="28">
        <v>2</v>
      </c>
      <c r="C11" s="28">
        <v>207</v>
      </c>
      <c r="D11" s="28"/>
      <c r="E11" s="28"/>
      <c r="F11" s="28">
        <v>28</v>
      </c>
      <c r="G11" s="29">
        <v>398</v>
      </c>
      <c r="H11" s="28"/>
      <c r="I11" s="28">
        <v>30</v>
      </c>
      <c r="J11" s="28"/>
      <c r="K11" s="13">
        <v>3939</v>
      </c>
      <c r="L11" s="34">
        <v>1350.384</v>
      </c>
      <c r="M11" s="28">
        <v>44259</v>
      </c>
      <c r="N11" s="30">
        <v>23196.45</v>
      </c>
      <c r="O11" s="30">
        <v>6421.88</v>
      </c>
      <c r="P11" s="30">
        <v>81520.36</v>
      </c>
      <c r="Q11" s="33">
        <v>144.38</v>
      </c>
      <c r="R11" s="30">
        <v>545</v>
      </c>
      <c r="S11" s="30">
        <v>18.899999999999999</v>
      </c>
      <c r="T11" s="30">
        <v>1493.15</v>
      </c>
      <c r="U11" s="101">
        <f t="shared" si="4"/>
        <v>6.0000000103173079E-3</v>
      </c>
      <c r="V11" s="1"/>
      <c r="W11" s="27">
        <f t="shared" si="1"/>
        <v>44901</v>
      </c>
      <c r="X11" s="28">
        <f t="shared" si="2"/>
        <v>61721.999112800004</v>
      </c>
      <c r="Y11" s="28">
        <f t="shared" si="3"/>
        <v>25298.6813</v>
      </c>
    </row>
    <row r="12" spans="1:25" x14ac:dyDescent="0.2">
      <c r="A12" s="27">
        <v>44902</v>
      </c>
      <c r="B12" s="28">
        <v>5</v>
      </c>
      <c r="C12" s="28">
        <v>217</v>
      </c>
      <c r="D12" s="28"/>
      <c r="E12" s="28"/>
      <c r="F12" s="28">
        <v>31</v>
      </c>
      <c r="G12" s="29">
        <v>322</v>
      </c>
      <c r="H12" s="28">
        <v>3</v>
      </c>
      <c r="I12" s="28">
        <v>15</v>
      </c>
      <c r="J12" s="28"/>
      <c r="K12" s="13">
        <v>1724</v>
      </c>
      <c r="L12" s="34">
        <v>801.30399999999997</v>
      </c>
      <c r="M12" s="28">
        <v>41834</v>
      </c>
      <c r="N12" s="30">
        <v>23265.38</v>
      </c>
      <c r="O12" s="30">
        <v>3950.64</v>
      </c>
      <c r="P12" s="30">
        <v>77414.460000000006</v>
      </c>
      <c r="Q12" s="31">
        <v>423.8</v>
      </c>
      <c r="R12" s="30">
        <v>460</v>
      </c>
      <c r="S12" s="30">
        <v>21</v>
      </c>
      <c r="T12" s="30">
        <v>2338.73</v>
      </c>
      <c r="U12" s="101">
        <f t="shared" si="4"/>
        <v>-4.0000000085456122E-3</v>
      </c>
      <c r="V12" s="1"/>
      <c r="W12" s="27">
        <f t="shared" si="1"/>
        <v>44902</v>
      </c>
      <c r="X12" s="28">
        <f t="shared" si="2"/>
        <v>57345.843976800003</v>
      </c>
      <c r="Y12" s="28">
        <f t="shared" si="3"/>
        <v>24125.1908</v>
      </c>
    </row>
    <row r="13" spans="1:25" x14ac:dyDescent="0.2">
      <c r="A13" s="27">
        <v>44903</v>
      </c>
      <c r="B13" s="28">
        <v>2</v>
      </c>
      <c r="C13" s="28">
        <v>204</v>
      </c>
      <c r="D13" s="28"/>
      <c r="E13" s="28"/>
      <c r="F13" s="28">
        <v>14</v>
      </c>
      <c r="G13" s="29">
        <f>257+4</f>
        <v>261</v>
      </c>
      <c r="H13" s="28"/>
      <c r="I13" s="28"/>
      <c r="J13" s="28">
        <v>4</v>
      </c>
      <c r="K13" s="13">
        <v>273</v>
      </c>
      <c r="L13" s="34">
        <v>697.58100000000002</v>
      </c>
      <c r="M13" s="28">
        <f>37354-1000</f>
        <v>36354</v>
      </c>
      <c r="N13" s="30">
        <v>24236.9</v>
      </c>
      <c r="O13" s="30">
        <f>3827.26-106.5</f>
        <v>3720.76</v>
      </c>
      <c r="P13" s="30">
        <f>66450.9-1750+102</f>
        <v>64802.899999999994</v>
      </c>
      <c r="Q13" s="31">
        <f>66.99-27.24</f>
        <v>39.75</v>
      </c>
      <c r="R13" s="30">
        <v>545</v>
      </c>
      <c r="S13" s="30">
        <v>4.2</v>
      </c>
      <c r="T13" s="30">
        <v>6123.6</v>
      </c>
      <c r="U13" s="101">
        <f t="shared" si="4"/>
        <v>1.5000000103100319E-3</v>
      </c>
      <c r="V13" s="1"/>
      <c r="W13" s="27">
        <f t="shared" si="1"/>
        <v>44903</v>
      </c>
      <c r="X13" s="28">
        <f t="shared" si="2"/>
        <v>48023.500502700001</v>
      </c>
      <c r="Y13" s="28">
        <f t="shared" si="3"/>
        <v>20904.859100000001</v>
      </c>
    </row>
    <row r="14" spans="1:25" x14ac:dyDescent="0.2">
      <c r="A14" s="27">
        <v>44904</v>
      </c>
      <c r="B14" s="28">
        <v>6</v>
      </c>
      <c r="C14" s="28">
        <v>164</v>
      </c>
      <c r="D14" s="28"/>
      <c r="E14" s="28"/>
      <c r="F14" s="28">
        <v>19</v>
      </c>
      <c r="G14" s="29">
        <v>332</v>
      </c>
      <c r="H14" s="28"/>
      <c r="I14" s="28">
        <v>30</v>
      </c>
      <c r="J14" s="28">
        <v>1</v>
      </c>
      <c r="K14" s="13">
        <v>1465</v>
      </c>
      <c r="L14" s="34">
        <v>1780.856</v>
      </c>
      <c r="M14" s="28">
        <v>37823</v>
      </c>
      <c r="N14" s="30">
        <v>21405.83</v>
      </c>
      <c r="O14" s="30">
        <v>3750.45</v>
      </c>
      <c r="P14" s="30">
        <v>69939.94</v>
      </c>
      <c r="Q14" s="31">
        <f>245+98.5</f>
        <v>343.5</v>
      </c>
      <c r="R14" s="30">
        <v>590</v>
      </c>
      <c r="S14" s="30">
        <v>21</v>
      </c>
      <c r="T14" s="30">
        <v>3338.26</v>
      </c>
      <c r="U14" s="101">
        <f t="shared" si="4"/>
        <v>4.0000000062718755E-3</v>
      </c>
      <c r="V14" s="1"/>
      <c r="W14" s="27">
        <f t="shared" si="1"/>
        <v>44904</v>
      </c>
      <c r="X14" s="28">
        <f t="shared" si="2"/>
        <v>52802.625995199996</v>
      </c>
      <c r="Y14" s="28">
        <f t="shared" si="3"/>
        <v>18635.965499999998</v>
      </c>
    </row>
    <row r="15" spans="1:25" x14ac:dyDescent="0.2">
      <c r="A15" s="27">
        <v>44905</v>
      </c>
      <c r="B15" s="28">
        <v>5</v>
      </c>
      <c r="C15" s="28">
        <v>188</v>
      </c>
      <c r="D15" s="28"/>
      <c r="E15" s="28"/>
      <c r="F15" s="28">
        <v>4</v>
      </c>
      <c r="G15" s="29">
        <v>368</v>
      </c>
      <c r="H15" s="28"/>
      <c r="I15" s="28">
        <v>70</v>
      </c>
      <c r="J15" s="28"/>
      <c r="K15" s="13">
        <v>150</v>
      </c>
      <c r="L15" s="34">
        <v>343.99200000000002</v>
      </c>
      <c r="M15" s="28">
        <v>1337</v>
      </c>
      <c r="N15" s="30">
        <v>15179.36</v>
      </c>
      <c r="O15" s="30">
        <v>10337.9</v>
      </c>
      <c r="P15" s="30">
        <f>2828.85+5</f>
        <v>2833.85</v>
      </c>
      <c r="Q15" s="31"/>
      <c r="R15" s="30">
        <v>1425</v>
      </c>
      <c r="S15" s="30">
        <v>77.099999999999994</v>
      </c>
      <c r="T15" s="30">
        <v>2253.0700000000002</v>
      </c>
      <c r="U15" s="101">
        <f t="shared" si="4"/>
        <v>-1.9999999981337169E-3</v>
      </c>
      <c r="V15" s="1"/>
      <c r="W15" s="27">
        <f t="shared" ref="W15" si="5">+A15</f>
        <v>44905</v>
      </c>
      <c r="X15" s="28">
        <f t="shared" ref="X15" si="6">SUM(F15*100+G15*20+H15*60+I15+J15*7+L15*1.1167+M15*1.1167)</f>
        <v>9707.1637664000009</v>
      </c>
      <c r="Y15" s="28">
        <f t="shared" si="3"/>
        <v>19467.505000000001</v>
      </c>
    </row>
    <row r="16" spans="1:25" x14ac:dyDescent="0.2">
      <c r="A16" s="27">
        <v>44907</v>
      </c>
      <c r="B16" s="28">
        <v>1</v>
      </c>
      <c r="C16" s="28">
        <v>243</v>
      </c>
      <c r="D16" s="28"/>
      <c r="E16" s="28"/>
      <c r="F16" s="28">
        <v>22</v>
      </c>
      <c r="G16" s="29">
        <v>450</v>
      </c>
      <c r="H16" s="28"/>
      <c r="I16" s="28">
        <v>35</v>
      </c>
      <c r="J16" s="28"/>
      <c r="K16" s="13">
        <v>3220</v>
      </c>
      <c r="L16" s="34">
        <v>1740.048</v>
      </c>
      <c r="M16" s="28">
        <v>44738</v>
      </c>
      <c r="N16" s="30">
        <v>25682.6</v>
      </c>
      <c r="O16" s="30">
        <v>4780</v>
      </c>
      <c r="P16" s="30">
        <v>83926.1</v>
      </c>
      <c r="Q16" s="31">
        <v>303.24</v>
      </c>
      <c r="R16" s="30">
        <v>430</v>
      </c>
      <c r="S16" s="30">
        <v>89.7</v>
      </c>
      <c r="T16" s="30">
        <v>1501.44</v>
      </c>
      <c r="U16" s="101">
        <f t="shared" si="4"/>
        <v>1.9999999844912963E-3</v>
      </c>
      <c r="V16" s="1"/>
      <c r="W16" s="27">
        <f t="shared" si="1"/>
        <v>44907</v>
      </c>
      <c r="X16" s="28">
        <f t="shared" si="2"/>
        <v>63137.0362016</v>
      </c>
      <c r="Y16" s="28">
        <f t="shared" si="3"/>
        <v>27995.774000000001</v>
      </c>
    </row>
    <row r="17" spans="1:25" x14ac:dyDescent="0.2">
      <c r="A17" s="27">
        <v>44908</v>
      </c>
      <c r="B17" s="28"/>
      <c r="C17" s="28">
        <v>242</v>
      </c>
      <c r="D17" s="28"/>
      <c r="E17" s="28">
        <v>20</v>
      </c>
      <c r="F17" s="28">
        <v>18</v>
      </c>
      <c r="G17" s="29">
        <v>404</v>
      </c>
      <c r="H17" s="28">
        <v>3</v>
      </c>
      <c r="I17" s="28">
        <v>150</v>
      </c>
      <c r="J17" s="28"/>
      <c r="K17" s="13">
        <f>1563+72</f>
        <v>1635</v>
      </c>
      <c r="L17" s="34">
        <v>859.57</v>
      </c>
      <c r="M17" s="28">
        <f>45962-72</f>
        <v>45890</v>
      </c>
      <c r="N17" s="30">
        <v>24240.12</v>
      </c>
      <c r="O17" s="30">
        <v>7413.5</v>
      </c>
      <c r="P17" s="30">
        <f>82855.4-434.35+355.87</f>
        <v>82776.919999999984</v>
      </c>
      <c r="Q17" s="31">
        <v>134.37</v>
      </c>
      <c r="R17" s="30">
        <v>840</v>
      </c>
      <c r="S17" s="30">
        <v>27.3</v>
      </c>
      <c r="T17" s="30">
        <v>2811.15</v>
      </c>
      <c r="U17" s="101">
        <f t="shared" si="4"/>
        <v>-4.9999999769170245E-3</v>
      </c>
      <c r="V17" s="1"/>
      <c r="W17" s="27">
        <f t="shared" si="1"/>
        <v>44908</v>
      </c>
      <c r="X17" s="28">
        <f t="shared" si="2"/>
        <v>62415.244819</v>
      </c>
      <c r="Y17" s="28">
        <f t="shared" si="3"/>
        <v>26045.804499999998</v>
      </c>
    </row>
    <row r="18" spans="1:25" x14ac:dyDescent="0.2">
      <c r="A18" s="27">
        <v>44909</v>
      </c>
      <c r="B18" s="28">
        <v>2</v>
      </c>
      <c r="C18" s="28">
        <v>216</v>
      </c>
      <c r="D18" s="28"/>
      <c r="E18" s="28"/>
      <c r="F18" s="28">
        <v>21</v>
      </c>
      <c r="G18" s="29">
        <v>329</v>
      </c>
      <c r="H18" s="28"/>
      <c r="I18" s="28">
        <v>155</v>
      </c>
      <c r="J18" s="28"/>
      <c r="K18" s="13">
        <v>3415</v>
      </c>
      <c r="L18" s="34">
        <v>694.4</v>
      </c>
      <c r="M18" s="28">
        <v>41219</v>
      </c>
      <c r="N18" s="30">
        <v>21526</v>
      </c>
      <c r="O18" s="30">
        <v>4625.5</v>
      </c>
      <c r="P18" s="30">
        <v>76478.27</v>
      </c>
      <c r="Q18" s="31">
        <f>166.09+98.5</f>
        <v>264.59000000000003</v>
      </c>
      <c r="R18" s="30">
        <v>285</v>
      </c>
      <c r="S18" s="30">
        <v>29.4</v>
      </c>
      <c r="T18" s="30">
        <v>2134</v>
      </c>
      <c r="U18" s="101">
        <f t="shared" si="4"/>
        <v>0</v>
      </c>
      <c r="V18" s="1"/>
      <c r="W18" s="27">
        <f t="shared" si="1"/>
        <v>44909</v>
      </c>
      <c r="X18" s="28">
        <f t="shared" si="2"/>
        <v>55639.693780000001</v>
      </c>
      <c r="Y18" s="28">
        <f t="shared" si="3"/>
        <v>25613.530500000001</v>
      </c>
    </row>
    <row r="19" spans="1:25" x14ac:dyDescent="0.2">
      <c r="A19" s="27">
        <v>44910</v>
      </c>
      <c r="B19" s="28">
        <v>1</v>
      </c>
      <c r="C19" s="28">
        <v>232</v>
      </c>
      <c r="D19" s="28"/>
      <c r="E19" s="28"/>
      <c r="F19" s="28">
        <v>24</v>
      </c>
      <c r="G19" s="29">
        <v>308</v>
      </c>
      <c r="H19" s="28"/>
      <c r="I19" s="28"/>
      <c r="J19" s="28"/>
      <c r="K19" s="13">
        <v>907</v>
      </c>
      <c r="L19" s="34">
        <v>557.18899999999996</v>
      </c>
      <c r="M19" s="28">
        <v>36438</v>
      </c>
      <c r="N19" s="30">
        <v>22040.6</v>
      </c>
      <c r="O19" s="30">
        <v>3662.87</v>
      </c>
      <c r="P19" s="30">
        <v>66882.070000000007</v>
      </c>
      <c r="Q19" s="31">
        <v>607.07000000000005</v>
      </c>
      <c r="R19" s="30">
        <v>700</v>
      </c>
      <c r="S19" s="30">
        <v>18.899999999999999</v>
      </c>
      <c r="T19" s="30">
        <v>1648.42</v>
      </c>
      <c r="U19" s="101">
        <f t="shared" si="4"/>
        <v>-6.5000000249710865E-3</v>
      </c>
      <c r="V19" s="1"/>
      <c r="W19" s="27">
        <f t="shared" si="1"/>
        <v>44910</v>
      </c>
      <c r="X19" s="28">
        <f t="shared" si="2"/>
        <v>49872.527556299996</v>
      </c>
      <c r="Y19" s="28">
        <f t="shared" si="3"/>
        <v>24312.8469</v>
      </c>
    </row>
    <row r="20" spans="1:25" x14ac:dyDescent="0.2">
      <c r="A20" s="35"/>
      <c r="B20" s="36"/>
      <c r="C20" s="36"/>
      <c r="D20" s="36"/>
      <c r="E20" s="36"/>
      <c r="F20" s="36"/>
      <c r="G20" s="37"/>
      <c r="H20" s="36"/>
      <c r="I20" s="36"/>
      <c r="J20" s="36"/>
      <c r="K20" s="38"/>
      <c r="L20" s="39"/>
      <c r="M20" s="36"/>
      <c r="N20" s="40"/>
      <c r="O20" s="40"/>
      <c r="P20" s="40"/>
      <c r="Q20" s="41"/>
      <c r="R20" s="40"/>
      <c r="S20" s="40"/>
      <c r="T20" s="40"/>
      <c r="U20" s="54">
        <f t="shared" si="4"/>
        <v>0</v>
      </c>
      <c r="V20" s="16"/>
      <c r="W20" s="35">
        <f t="shared" si="1"/>
        <v>0</v>
      </c>
      <c r="X20" s="36">
        <f t="shared" si="2"/>
        <v>0</v>
      </c>
      <c r="Y20" s="28">
        <f t="shared" si="3"/>
        <v>0</v>
      </c>
    </row>
    <row r="21" spans="1:25" x14ac:dyDescent="0.2">
      <c r="A21" s="27"/>
      <c r="B21" s="43">
        <f>SUM(B7:B20)</f>
        <v>74</v>
      </c>
      <c r="C21" s="43">
        <f>SUM(C7:C20)</f>
        <v>2774</v>
      </c>
      <c r="D21" s="43">
        <f t="shared" ref="D21:U21" si="7">SUM(D7:D20)</f>
        <v>0</v>
      </c>
      <c r="E21" s="43">
        <f t="shared" si="7"/>
        <v>60</v>
      </c>
      <c r="F21" s="43">
        <f t="shared" si="7"/>
        <v>251</v>
      </c>
      <c r="G21" s="43">
        <f t="shared" si="7"/>
        <v>4714</v>
      </c>
      <c r="H21" s="43">
        <f t="shared" si="7"/>
        <v>8</v>
      </c>
      <c r="I21" s="43">
        <f t="shared" si="7"/>
        <v>715</v>
      </c>
      <c r="J21" s="43">
        <f t="shared" si="7"/>
        <v>5</v>
      </c>
      <c r="K21" s="43">
        <f t="shared" si="7"/>
        <v>23278</v>
      </c>
      <c r="L21" s="94">
        <f t="shared" si="7"/>
        <v>12257.01</v>
      </c>
      <c r="M21" s="43">
        <f t="shared" si="7"/>
        <v>445412</v>
      </c>
      <c r="N21" s="45">
        <f t="shared" si="7"/>
        <v>288750.36</v>
      </c>
      <c r="O21" s="45">
        <f t="shared" si="7"/>
        <v>76688.59</v>
      </c>
      <c r="P21" s="45">
        <f t="shared" si="7"/>
        <v>820491.17000000016</v>
      </c>
      <c r="Q21" s="45">
        <f t="shared" si="7"/>
        <v>3367.14</v>
      </c>
      <c r="R21" s="45">
        <f t="shared" si="7"/>
        <v>9520</v>
      </c>
      <c r="S21" s="45">
        <f t="shared" si="7"/>
        <v>441.29999999999995</v>
      </c>
      <c r="T21" s="45">
        <f t="shared" si="7"/>
        <v>34227.74</v>
      </c>
      <c r="U21" s="45">
        <f t="shared" si="7"/>
        <v>-4.9999999988585841E-3</v>
      </c>
      <c r="V21" s="43"/>
      <c r="W21" s="43"/>
      <c r="X21" s="43">
        <f>SUM(X7:X20)</f>
        <v>631688.98346699995</v>
      </c>
      <c r="Y21" s="43">
        <f>SUM(Y7:Y20)</f>
        <v>310854.54260000004</v>
      </c>
    </row>
    <row r="22" spans="1:25" x14ac:dyDescent="0.2">
      <c r="A22" s="35"/>
      <c r="B22" s="56">
        <f>(B21*100)</f>
        <v>7400</v>
      </c>
      <c r="C22" s="56">
        <f>(C21*100)</f>
        <v>277400</v>
      </c>
      <c r="D22" s="56">
        <f>(D21*60)</f>
        <v>0</v>
      </c>
      <c r="E22" s="56">
        <f>(E21)</f>
        <v>60</v>
      </c>
      <c r="F22" s="56">
        <f>(F21*100)</f>
        <v>25100</v>
      </c>
      <c r="G22" s="63">
        <f>(G21*20)</f>
        <v>94280</v>
      </c>
      <c r="H22" s="56">
        <f>(H21*60)</f>
        <v>480</v>
      </c>
      <c r="I22" s="56">
        <f>(I21)</f>
        <v>715</v>
      </c>
      <c r="J22" s="56">
        <f>+J21*7</f>
        <v>35</v>
      </c>
      <c r="K22" s="57">
        <f>(K21*1.1167)</f>
        <v>25994.542600000001</v>
      </c>
      <c r="L22" s="58">
        <f>(L21*1.1167)</f>
        <v>13687.403067000001</v>
      </c>
      <c r="M22" s="59">
        <f>(M21*1.1167)</f>
        <v>497391.58040000004</v>
      </c>
      <c r="N22" s="60"/>
      <c r="O22" s="60"/>
      <c r="P22" s="60"/>
      <c r="Q22" s="60"/>
      <c r="R22" s="60"/>
      <c r="S22" s="60"/>
      <c r="T22" s="60"/>
      <c r="U22" s="60"/>
      <c r="V22" s="60"/>
      <c r="W22" s="61" t="s">
        <v>35</v>
      </c>
      <c r="X22" s="56">
        <f>+E49+E50+E51+E52-X21</f>
        <v>0</v>
      </c>
      <c r="Y22" s="56">
        <f>+E48-Y21</f>
        <v>0</v>
      </c>
    </row>
    <row r="23" spans="1:25" x14ac:dyDescent="0.2">
      <c r="A23" s="35"/>
      <c r="B23" s="56"/>
      <c r="C23" s="56"/>
      <c r="D23" s="56"/>
      <c r="E23" s="56"/>
      <c r="F23" s="56"/>
      <c r="G23" s="63"/>
      <c r="H23" s="56"/>
      <c r="I23" s="56"/>
      <c r="J23" s="56"/>
      <c r="K23" s="57"/>
      <c r="L23" s="58"/>
      <c r="M23" s="59"/>
      <c r="N23" s="49"/>
      <c r="O23" s="49"/>
      <c r="P23" s="49"/>
      <c r="Q23" s="49"/>
      <c r="R23" s="49"/>
      <c r="S23" s="49"/>
      <c r="T23" s="49"/>
      <c r="U23" s="49"/>
      <c r="V23" s="49"/>
      <c r="W23" s="50"/>
      <c r="X23" s="43"/>
      <c r="Y23" s="43"/>
    </row>
    <row r="24" spans="1:25" x14ac:dyDescent="0.2">
      <c r="A24" s="16"/>
      <c r="B24" s="104">
        <v>46.38</v>
      </c>
      <c r="C24" s="104">
        <v>60</v>
      </c>
      <c r="D24" s="21">
        <v>27.83</v>
      </c>
      <c r="E24" s="105">
        <v>1.6</v>
      </c>
      <c r="F24" s="106">
        <v>158.5</v>
      </c>
      <c r="G24" s="21">
        <v>25.5</v>
      </c>
      <c r="H24" s="21">
        <v>95</v>
      </c>
      <c r="I24" s="107">
        <v>1.59</v>
      </c>
      <c r="J24" s="104">
        <v>18.55</v>
      </c>
      <c r="K24" s="108">
        <v>0.66</v>
      </c>
      <c r="L24" s="109">
        <v>1.5</v>
      </c>
      <c r="M24" s="110">
        <v>1.75</v>
      </c>
      <c r="N24" s="49"/>
      <c r="O24" s="49"/>
      <c r="P24" s="49"/>
      <c r="Q24" s="49"/>
      <c r="R24" s="49"/>
      <c r="S24" s="49"/>
      <c r="T24" s="49"/>
      <c r="U24" s="49"/>
      <c r="V24" s="49"/>
      <c r="W24" s="50"/>
      <c r="X24" s="43"/>
      <c r="Y24" s="43"/>
    </row>
    <row r="25" spans="1:25" x14ac:dyDescent="0.2">
      <c r="A25" s="22" t="s">
        <v>26</v>
      </c>
      <c r="B25" s="22" t="s">
        <v>27</v>
      </c>
      <c r="C25" s="22" t="s">
        <v>27</v>
      </c>
      <c r="D25" s="22" t="s">
        <v>28</v>
      </c>
      <c r="E25" s="22" t="s">
        <v>29</v>
      </c>
      <c r="F25" s="22" t="s">
        <v>27</v>
      </c>
      <c r="G25" s="22" t="s">
        <v>30</v>
      </c>
      <c r="H25" s="22" t="s">
        <v>28</v>
      </c>
      <c r="I25" s="22" t="s">
        <v>29</v>
      </c>
      <c r="J25" s="22" t="s">
        <v>31</v>
      </c>
      <c r="K25" s="23" t="s">
        <v>32</v>
      </c>
      <c r="L25" s="24" t="s">
        <v>32</v>
      </c>
      <c r="M25" s="25" t="s">
        <v>32</v>
      </c>
      <c r="N25" s="22" t="s">
        <v>33</v>
      </c>
      <c r="O25" s="22" t="s">
        <v>33</v>
      </c>
      <c r="P25" s="22" t="s">
        <v>33</v>
      </c>
      <c r="Q25" s="22" t="s">
        <v>33</v>
      </c>
      <c r="R25" s="22" t="s">
        <v>33</v>
      </c>
      <c r="S25" s="22" t="s">
        <v>33</v>
      </c>
      <c r="T25" s="22" t="s">
        <v>33</v>
      </c>
      <c r="U25" s="22" t="s">
        <v>33</v>
      </c>
      <c r="V25" s="26"/>
      <c r="W25" s="22" t="s">
        <v>26</v>
      </c>
      <c r="X25" s="22" t="s">
        <v>11</v>
      </c>
      <c r="Y25" s="22" t="s">
        <v>34</v>
      </c>
    </row>
    <row r="26" spans="1:25" x14ac:dyDescent="0.2">
      <c r="A26" s="27">
        <v>44911</v>
      </c>
      <c r="B26" s="28">
        <v>4</v>
      </c>
      <c r="C26" s="28">
        <v>246</v>
      </c>
      <c r="D26" s="28"/>
      <c r="E26" s="28">
        <v>20</v>
      </c>
      <c r="F26" s="28">
        <v>30</v>
      </c>
      <c r="G26" s="29">
        <v>444</v>
      </c>
      <c r="H26" s="28"/>
      <c r="I26" s="28">
        <v>120</v>
      </c>
      <c r="J26" s="28">
        <v>1</v>
      </c>
      <c r="K26" s="13">
        <v>3587</v>
      </c>
      <c r="L26" s="34">
        <v>782.70600000000002</v>
      </c>
      <c r="M26" s="28">
        <v>31389</v>
      </c>
      <c r="N26" s="30">
        <v>26185.57</v>
      </c>
      <c r="O26" s="30">
        <v>6615.44</v>
      </c>
      <c r="P26" s="30">
        <v>60014.76</v>
      </c>
      <c r="Q26" s="33">
        <v>142.80000000000001</v>
      </c>
      <c r="R26" s="30">
        <v>1220</v>
      </c>
      <c r="S26" s="30">
        <v>18.899999999999999</v>
      </c>
      <c r="T26" s="30">
        <v>2003.58</v>
      </c>
      <c r="U26" s="101">
        <f t="shared" ref="U26:U40" si="8">B26*46.38+C26*60+D26*36+E26*0.6+F26*158.5+G26*25.5+H26*95+I26*1.59+J26*18.55+K26*0.66+L26*1.5+M26*1.75-N26-O26-P26-Q26+R26+S26+T26</f>
        <v>8.9999999977408152E-3</v>
      </c>
      <c r="V26" s="51"/>
      <c r="W26" s="27">
        <f>+A26</f>
        <v>44911</v>
      </c>
      <c r="X26" s="28">
        <f t="shared" ref="X26:X40" si="9">SUM(F26*100+G26*20+H26*60+I26+J26*7+L26*1.1167+M26*1.1167)</f>
        <v>47933.144090199996</v>
      </c>
      <c r="Y26" s="28">
        <f>SUM(B26*100+C26*100+D26*60+E26+K26*1.1167)</f>
        <v>29025.602900000002</v>
      </c>
    </row>
    <row r="27" spans="1:25" x14ac:dyDescent="0.2">
      <c r="A27" s="27">
        <v>44912</v>
      </c>
      <c r="B27" s="28"/>
      <c r="C27" s="28">
        <v>204</v>
      </c>
      <c r="D27" s="28"/>
      <c r="E27" s="28">
        <v>20</v>
      </c>
      <c r="F27" s="28">
        <v>6</v>
      </c>
      <c r="G27" s="29">
        <v>339</v>
      </c>
      <c r="H27" s="28"/>
      <c r="I27" s="28">
        <v>40</v>
      </c>
      <c r="J27" s="28">
        <v>1</v>
      </c>
      <c r="K27" s="13"/>
      <c r="L27" s="34">
        <v>754.22</v>
      </c>
      <c r="M27" s="52"/>
      <c r="N27" s="30">
        <v>16521.2</v>
      </c>
      <c r="O27" s="30">
        <v>7382</v>
      </c>
      <c r="P27" s="30">
        <v>224.78</v>
      </c>
      <c r="Q27" s="31">
        <v>120</v>
      </c>
      <c r="R27" s="30">
        <v>195</v>
      </c>
      <c r="S27" s="30"/>
      <c r="T27" s="30">
        <v>992</v>
      </c>
      <c r="U27" s="101">
        <f t="shared" si="8"/>
        <v>-4.7748471843078732E-12</v>
      </c>
      <c r="V27" s="30"/>
      <c r="W27" s="27">
        <f t="shared" ref="W27:W40" si="10">+A27</f>
        <v>44912</v>
      </c>
      <c r="X27" s="28">
        <f t="shared" si="9"/>
        <v>8269.2374739999996</v>
      </c>
      <c r="Y27" s="28">
        <f t="shared" ref="Y27:Y40" si="11">SUM(B27*100+C27*100+D27*60+E27+K27*1.1167)</f>
        <v>20420</v>
      </c>
    </row>
    <row r="28" spans="1:25" x14ac:dyDescent="0.2">
      <c r="A28" s="27">
        <v>44914</v>
      </c>
      <c r="B28" s="28"/>
      <c r="C28" s="28">
        <v>277</v>
      </c>
      <c r="D28" s="28"/>
      <c r="E28" s="28"/>
      <c r="F28" s="28">
        <v>19</v>
      </c>
      <c r="G28" s="29">
        <v>478</v>
      </c>
      <c r="H28" s="28"/>
      <c r="I28" s="28">
        <v>40</v>
      </c>
      <c r="J28" s="28"/>
      <c r="K28" s="13">
        <v>476</v>
      </c>
      <c r="L28" s="34">
        <v>973.78300000000002</v>
      </c>
      <c r="M28" s="52">
        <v>44250</v>
      </c>
      <c r="N28" s="30">
        <v>33157.29</v>
      </c>
      <c r="O28" s="30">
        <f>6464.39-46.38</f>
        <v>6418.01</v>
      </c>
      <c r="P28" s="30">
        <f>79650.76+163.5</f>
        <v>79814.259999999995</v>
      </c>
      <c r="Q28" s="31">
        <v>174.09</v>
      </c>
      <c r="R28" s="30">
        <v>2220</v>
      </c>
      <c r="S28" s="30">
        <v>6.3</v>
      </c>
      <c r="T28" s="30">
        <v>6240.91</v>
      </c>
      <c r="U28" s="101">
        <f t="shared" si="8"/>
        <v>-5.4999999947540346E-3</v>
      </c>
      <c r="V28" s="30"/>
      <c r="W28" s="27">
        <f t="shared" si="10"/>
        <v>44914</v>
      </c>
      <c r="X28" s="28">
        <f t="shared" si="9"/>
        <v>62001.398476100003</v>
      </c>
      <c r="Y28" s="28">
        <f t="shared" si="11"/>
        <v>28231.549200000001</v>
      </c>
    </row>
    <row r="29" spans="1:25" x14ac:dyDescent="0.2">
      <c r="A29" s="27">
        <v>44915</v>
      </c>
      <c r="B29" s="28">
        <v>4</v>
      </c>
      <c r="C29" s="28">
        <v>299</v>
      </c>
      <c r="D29" s="28"/>
      <c r="E29" s="28"/>
      <c r="F29" s="28">
        <v>18</v>
      </c>
      <c r="G29" s="29">
        <v>508</v>
      </c>
      <c r="H29" s="28"/>
      <c r="I29" s="28">
        <v>15</v>
      </c>
      <c r="J29" s="28"/>
      <c r="K29" s="13">
        <v>2600</v>
      </c>
      <c r="L29" s="6">
        <v>1242.046</v>
      </c>
      <c r="M29" s="52">
        <v>48416</v>
      </c>
      <c r="N29" s="30">
        <v>27965.82</v>
      </c>
      <c r="O29" s="30">
        <v>8672.51</v>
      </c>
      <c r="P29" s="30">
        <v>89953.34</v>
      </c>
      <c r="Q29" s="33">
        <f>527.49+60-158.5</f>
        <v>428.99</v>
      </c>
      <c r="R29" s="30">
        <v>715</v>
      </c>
      <c r="S29" s="30">
        <v>127.5</v>
      </c>
      <c r="T29" s="30">
        <v>3914.71</v>
      </c>
      <c r="U29" s="101">
        <f t="shared" si="8"/>
        <v>-1.0999999984960596E-2</v>
      </c>
      <c r="V29" s="30"/>
      <c r="W29" s="27">
        <f t="shared" si="10"/>
        <v>44915</v>
      </c>
      <c r="X29" s="28">
        <f t="shared" si="9"/>
        <v>67428.139968200005</v>
      </c>
      <c r="Y29" s="28">
        <f t="shared" si="11"/>
        <v>33203.42</v>
      </c>
    </row>
    <row r="30" spans="1:25" x14ac:dyDescent="0.2">
      <c r="A30" s="27">
        <v>44916</v>
      </c>
      <c r="B30" s="28">
        <v>1</v>
      </c>
      <c r="C30" s="28">
        <v>290</v>
      </c>
      <c r="D30" s="28"/>
      <c r="E30" s="28"/>
      <c r="F30" s="28">
        <v>34</v>
      </c>
      <c r="G30" s="29">
        <v>481</v>
      </c>
      <c r="H30" s="28">
        <v>3</v>
      </c>
      <c r="I30" s="28">
        <v>120</v>
      </c>
      <c r="J30" s="28"/>
      <c r="K30" s="13">
        <v>2115</v>
      </c>
      <c r="L30" s="34">
        <v>820.05399999999997</v>
      </c>
      <c r="M30" s="52">
        <v>39128</v>
      </c>
      <c r="N30" s="30">
        <v>29872.62</v>
      </c>
      <c r="O30" s="30">
        <v>5938.38</v>
      </c>
      <c r="P30" s="30">
        <f>72774.7-60+158.5</f>
        <v>72873.2</v>
      </c>
      <c r="Q30" s="33">
        <v>70</v>
      </c>
      <c r="R30" s="30">
        <v>715</v>
      </c>
      <c r="S30" s="30">
        <v>4.2</v>
      </c>
      <c r="T30" s="30">
        <v>1358.34</v>
      </c>
      <c r="U30" s="101">
        <f t="shared" si="8"/>
        <v>1.0000000102081685E-3</v>
      </c>
      <c r="V30" s="30"/>
      <c r="W30" s="27">
        <f t="shared" si="10"/>
        <v>44916</v>
      </c>
      <c r="X30" s="28">
        <f t="shared" si="9"/>
        <v>57929.9919018</v>
      </c>
      <c r="Y30" s="28">
        <f t="shared" si="11"/>
        <v>31461.820500000002</v>
      </c>
    </row>
    <row r="31" spans="1:25" x14ac:dyDescent="0.2">
      <c r="A31" s="27">
        <v>44917</v>
      </c>
      <c r="B31" s="28">
        <v>2</v>
      </c>
      <c r="C31" s="28">
        <v>314</v>
      </c>
      <c r="D31" s="28"/>
      <c r="E31" s="28"/>
      <c r="F31" s="28">
        <v>37</v>
      </c>
      <c r="G31" s="29">
        <v>568</v>
      </c>
      <c r="H31" s="28"/>
      <c r="I31" s="28">
        <v>15</v>
      </c>
      <c r="J31" s="28"/>
      <c r="K31" s="13">
        <f>3824+349</f>
        <v>4173</v>
      </c>
      <c r="L31" s="34">
        <v>626.27800000000002</v>
      </c>
      <c r="M31" s="52">
        <f>43036-349</f>
        <v>42687</v>
      </c>
      <c r="N31" s="30">
        <v>36297.65</v>
      </c>
      <c r="O31" s="30">
        <v>5649.26</v>
      </c>
      <c r="P31" s="30">
        <f>79800.33+349*0.66-349*1.75+2.1</f>
        <v>79422.02</v>
      </c>
      <c r="Q31" s="33">
        <f>452+120-317</f>
        <v>255</v>
      </c>
      <c r="R31" s="30">
        <v>1105</v>
      </c>
      <c r="S31" s="30">
        <f>37.8+2.1</f>
        <v>39.9</v>
      </c>
      <c r="T31" s="30">
        <v>2778.07</v>
      </c>
      <c r="U31" s="101">
        <f t="shared" si="8"/>
        <v>-2.9999999978826963E-3</v>
      </c>
      <c r="V31" s="30"/>
      <c r="W31" s="27">
        <f t="shared" si="10"/>
        <v>44917</v>
      </c>
      <c r="X31" s="28">
        <f t="shared" si="9"/>
        <v>63442.937542599997</v>
      </c>
      <c r="Y31" s="28">
        <f t="shared" si="11"/>
        <v>36259.989099999999</v>
      </c>
    </row>
    <row r="32" spans="1:25" x14ac:dyDescent="0.2">
      <c r="A32" s="27">
        <v>44918</v>
      </c>
      <c r="B32" s="28">
        <v>1</v>
      </c>
      <c r="C32" s="28">
        <v>228</v>
      </c>
      <c r="D32" s="28"/>
      <c r="E32" s="28">
        <v>20</v>
      </c>
      <c r="F32" s="28">
        <v>16</v>
      </c>
      <c r="G32" s="29">
        <v>453</v>
      </c>
      <c r="H32" s="28"/>
      <c r="I32" s="28">
        <v>70</v>
      </c>
      <c r="J32" s="28"/>
      <c r="K32" s="13">
        <v>1202</v>
      </c>
      <c r="L32" s="34">
        <v>805.64400000000001</v>
      </c>
      <c r="M32" s="52">
        <v>38853</v>
      </c>
      <c r="N32" s="30">
        <v>25246.52</v>
      </c>
      <c r="O32" s="30">
        <f>4616.45+5</f>
        <v>4621.45</v>
      </c>
      <c r="P32" s="30">
        <v>70870.679999999993</v>
      </c>
      <c r="Q32" s="33">
        <v>257.25</v>
      </c>
      <c r="R32" s="30">
        <v>430</v>
      </c>
      <c r="S32" s="30">
        <v>156.30000000000001</v>
      </c>
      <c r="T32" s="30">
        <v>2477.88</v>
      </c>
      <c r="U32" s="101">
        <f t="shared" si="8"/>
        <v>-3.9999999935389496E-3</v>
      </c>
      <c r="V32" s="30"/>
      <c r="W32" s="27">
        <f t="shared" si="10"/>
        <v>44918</v>
      </c>
      <c r="X32" s="28">
        <f t="shared" si="9"/>
        <v>55016.8077548</v>
      </c>
      <c r="Y32" s="28">
        <f t="shared" si="11"/>
        <v>24262.273399999998</v>
      </c>
    </row>
    <row r="33" spans="1:25" x14ac:dyDescent="0.2">
      <c r="A33" s="27">
        <v>44919</v>
      </c>
      <c r="B33" s="28"/>
      <c r="C33" s="28">
        <v>58</v>
      </c>
      <c r="D33" s="28"/>
      <c r="E33" s="28">
        <v>20</v>
      </c>
      <c r="F33" s="28">
        <v>2</v>
      </c>
      <c r="G33" s="29">
        <v>432</v>
      </c>
      <c r="H33" s="28"/>
      <c r="I33" s="28">
        <v>50</v>
      </c>
      <c r="J33" s="28"/>
      <c r="K33" s="13">
        <v>767</v>
      </c>
      <c r="L33" s="34">
        <v>235.75200000000001</v>
      </c>
      <c r="M33" s="52">
        <v>6352</v>
      </c>
      <c r="N33" s="30">
        <f>15506.94+25.5</f>
        <v>15532.44</v>
      </c>
      <c r="O33" s="30"/>
      <c r="P33" s="30">
        <v>11750.38</v>
      </c>
      <c r="Q33" s="33">
        <v>86.88</v>
      </c>
      <c r="R33" s="30">
        <v>140</v>
      </c>
      <c r="S33" s="30">
        <v>10.5</v>
      </c>
      <c r="T33" s="30">
        <v>338.85</v>
      </c>
      <c r="U33" s="101">
        <f t="shared" si="8"/>
        <v>-2.000000001544322E-3</v>
      </c>
      <c r="V33" s="30"/>
      <c r="W33" s="27">
        <f t="shared" si="10"/>
        <v>44919</v>
      </c>
      <c r="X33" s="28">
        <f t="shared" si="9"/>
        <v>16246.542658400002</v>
      </c>
      <c r="Y33" s="28">
        <f t="shared" si="11"/>
        <v>6676.5088999999998</v>
      </c>
    </row>
    <row r="34" spans="1:25" x14ac:dyDescent="0.2">
      <c r="A34" s="27">
        <v>44920</v>
      </c>
      <c r="B34" s="28"/>
      <c r="C34" s="28"/>
      <c r="D34" s="28"/>
      <c r="E34" s="28"/>
      <c r="F34" s="28"/>
      <c r="G34" s="7"/>
      <c r="H34" s="28"/>
      <c r="I34" s="28"/>
      <c r="J34" s="28"/>
      <c r="K34" s="13"/>
      <c r="L34" s="34"/>
      <c r="M34" s="52">
        <v>530</v>
      </c>
      <c r="N34" s="30"/>
      <c r="O34" s="30"/>
      <c r="P34" s="30">
        <v>1002.5</v>
      </c>
      <c r="Q34" s="33"/>
      <c r="R34" s="30"/>
      <c r="S34" s="30">
        <v>75</v>
      </c>
      <c r="T34" s="30"/>
      <c r="U34" s="101">
        <f t="shared" ref="U34" si="12">B34*46.38+C34*60+D34*36+E34*0.6+F34*158.5+G34*25.5+H34*95+I34*1.59+J34*18.55+K34*0.66+L34*1.5+M34*1.75-N34-O34-P34-Q34+R34+S34+T34</f>
        <v>0</v>
      </c>
      <c r="V34" s="30"/>
      <c r="W34" s="27">
        <f t="shared" ref="W34" si="13">+A34</f>
        <v>44920</v>
      </c>
      <c r="X34" s="28">
        <f t="shared" ref="X34" si="14">SUM(F34*100+G34*20+H34*60+I34+J34*7+L34*1.1167+M34*1.1167)</f>
        <v>591.851</v>
      </c>
      <c r="Y34" s="28">
        <f t="shared" ref="Y34" si="15">SUM(B34*100+C34*100+D34*60+E34+K34*1.1167)</f>
        <v>0</v>
      </c>
    </row>
    <row r="35" spans="1:25" x14ac:dyDescent="0.2">
      <c r="A35" s="27">
        <v>44921</v>
      </c>
      <c r="B35" s="28"/>
      <c r="C35" s="28"/>
      <c r="D35" s="28"/>
      <c r="E35" s="28"/>
      <c r="F35" s="28"/>
      <c r="G35" s="7"/>
      <c r="H35" s="28"/>
      <c r="I35" s="28"/>
      <c r="J35" s="28"/>
      <c r="K35" s="13"/>
      <c r="L35" s="34"/>
      <c r="M35" s="52">
        <v>33852</v>
      </c>
      <c r="N35" s="30"/>
      <c r="O35" s="30"/>
      <c r="P35" s="30">
        <v>59241</v>
      </c>
      <c r="Q35" s="33"/>
      <c r="R35" s="30"/>
      <c r="S35" s="30"/>
      <c r="T35" s="30"/>
      <c r="U35" s="101">
        <f t="shared" si="8"/>
        <v>0</v>
      </c>
      <c r="V35" s="30"/>
      <c r="W35" s="27">
        <f t="shared" si="10"/>
        <v>44921</v>
      </c>
      <c r="X35" s="28">
        <f t="shared" si="9"/>
        <v>37802.528400000003</v>
      </c>
      <c r="Y35" s="28">
        <f t="shared" si="11"/>
        <v>0</v>
      </c>
    </row>
    <row r="36" spans="1:25" x14ac:dyDescent="0.2">
      <c r="A36" s="27">
        <v>44922</v>
      </c>
      <c r="B36" s="28">
        <v>1</v>
      </c>
      <c r="C36" s="28">
        <f>248+5</f>
        <v>253</v>
      </c>
      <c r="D36" s="28"/>
      <c r="E36" s="28"/>
      <c r="F36" s="28">
        <v>20</v>
      </c>
      <c r="G36" s="29">
        <v>455</v>
      </c>
      <c r="H36" s="28"/>
      <c r="I36" s="28">
        <v>120</v>
      </c>
      <c r="J36" s="28"/>
      <c r="K36" s="13">
        <v>380</v>
      </c>
      <c r="L36" s="34">
        <v>1950.9649999999999</v>
      </c>
      <c r="M36" s="52">
        <v>43372</v>
      </c>
      <c r="N36" s="30">
        <f>24627.06+206.75</f>
        <v>24833.81</v>
      </c>
      <c r="O36" s="30">
        <f>6746.38+241+185</f>
        <v>7172.38</v>
      </c>
      <c r="P36" s="30">
        <v>79771.820000000007</v>
      </c>
      <c r="Q36" s="33">
        <v>375.89</v>
      </c>
      <c r="R36" s="30">
        <f>560+250</f>
        <v>810</v>
      </c>
      <c r="S36" s="30">
        <v>30.95</v>
      </c>
      <c r="T36" s="30">
        <f>1962.27+82.75</f>
        <v>2045.02</v>
      </c>
      <c r="U36" s="101">
        <f t="shared" si="8"/>
        <v>-2.5000000184718374E-3</v>
      </c>
      <c r="V36" s="30"/>
      <c r="W36" s="27">
        <f t="shared" si="10"/>
        <v>44922</v>
      </c>
      <c r="X36" s="28">
        <f t="shared" si="9"/>
        <v>61832.1550155</v>
      </c>
      <c r="Y36" s="28">
        <f t="shared" si="11"/>
        <v>25824.346000000001</v>
      </c>
    </row>
    <row r="37" spans="1:25" x14ac:dyDescent="0.2">
      <c r="A37" s="27">
        <v>44923</v>
      </c>
      <c r="B37" s="28">
        <v>1</v>
      </c>
      <c r="C37" s="28">
        <v>221</v>
      </c>
      <c r="D37" s="28"/>
      <c r="E37" s="28"/>
      <c r="F37" s="28">
        <v>14</v>
      </c>
      <c r="G37" s="29">
        <v>413</v>
      </c>
      <c r="H37" s="28"/>
      <c r="I37" s="28"/>
      <c r="J37" s="28"/>
      <c r="K37" s="98">
        <v>581</v>
      </c>
      <c r="L37" s="99">
        <v>1100.443</v>
      </c>
      <c r="M37" s="100">
        <v>43403</v>
      </c>
      <c r="N37" s="30">
        <v>23172.69</v>
      </c>
      <c r="O37" s="30">
        <v>5813.68</v>
      </c>
      <c r="P37" s="30">
        <v>77610.990000000005</v>
      </c>
      <c r="Q37" s="101">
        <v>180</v>
      </c>
      <c r="R37" s="30">
        <v>705</v>
      </c>
      <c r="S37" s="30">
        <v>8.4</v>
      </c>
      <c r="T37" s="30">
        <v>2017.7</v>
      </c>
      <c r="U37" s="101">
        <f t="shared" si="8"/>
        <v>-5.5000000195377652E-3</v>
      </c>
      <c r="V37" s="30"/>
      <c r="W37" s="27">
        <f t="shared" si="10"/>
        <v>44923</v>
      </c>
      <c r="X37" s="28">
        <f t="shared" si="9"/>
        <v>59356.9947981</v>
      </c>
      <c r="Y37" s="28">
        <f t="shared" si="11"/>
        <v>22848.8027</v>
      </c>
    </row>
    <row r="38" spans="1:25" x14ac:dyDescent="0.2">
      <c r="A38" s="27">
        <v>44924</v>
      </c>
      <c r="B38" s="28"/>
      <c r="C38" s="28">
        <v>246</v>
      </c>
      <c r="D38" s="28"/>
      <c r="E38" s="28"/>
      <c r="F38" s="28">
        <v>27</v>
      </c>
      <c r="G38" s="29">
        <v>342</v>
      </c>
      <c r="H38" s="28"/>
      <c r="I38" s="28">
        <v>115</v>
      </c>
      <c r="J38" s="28"/>
      <c r="K38" s="98">
        <v>1372</v>
      </c>
      <c r="L38" s="99">
        <v>669.11900000000003</v>
      </c>
      <c r="M38" s="100">
        <v>39790</v>
      </c>
      <c r="N38" s="30">
        <v>23371.82</v>
      </c>
      <c r="O38" s="30">
        <v>7711</v>
      </c>
      <c r="P38" s="30">
        <v>72053.14</v>
      </c>
      <c r="Q38" s="101">
        <v>197.98</v>
      </c>
      <c r="R38" s="30">
        <v>1685</v>
      </c>
      <c r="S38" s="30">
        <v>16.8</v>
      </c>
      <c r="T38" s="30">
        <v>2147.09</v>
      </c>
      <c r="U38" s="101">
        <f t="shared" si="8"/>
        <v>-1.5000000016698323E-3</v>
      </c>
      <c r="V38" s="30"/>
      <c r="W38" s="27">
        <f t="shared" si="10"/>
        <v>44924</v>
      </c>
      <c r="X38" s="28">
        <f>SUM(F38*100+G38*20+H38*60+I38+J38*7+L38*1.1167+M38*1.1167)</f>
        <v>54835.698187300004</v>
      </c>
      <c r="Y38" s="28">
        <f t="shared" si="11"/>
        <v>26132.112399999998</v>
      </c>
    </row>
    <row r="39" spans="1:25" x14ac:dyDescent="0.2">
      <c r="A39" s="27">
        <v>44925</v>
      </c>
      <c r="B39" s="28"/>
      <c r="C39" s="28">
        <v>220</v>
      </c>
      <c r="D39" s="28"/>
      <c r="E39" s="28"/>
      <c r="F39" s="28">
        <v>32</v>
      </c>
      <c r="G39" s="29">
        <v>481</v>
      </c>
      <c r="H39" s="28"/>
      <c r="I39" s="28">
        <v>75</v>
      </c>
      <c r="J39" s="28"/>
      <c r="K39" s="98">
        <f>775+138</f>
        <v>913</v>
      </c>
      <c r="L39" s="99">
        <v>902.30499999999995</v>
      </c>
      <c r="M39" s="100">
        <f>32329-138</f>
        <v>32191</v>
      </c>
      <c r="N39" s="30">
        <v>26188.45</v>
      </c>
      <c r="O39" s="30">
        <v>4495</v>
      </c>
      <c r="P39" s="30">
        <f>60160.55+138*0.66-138*1.75+2.1</f>
        <v>60012.23</v>
      </c>
      <c r="Q39" s="101">
        <v>315</v>
      </c>
      <c r="R39" s="30">
        <v>585</v>
      </c>
      <c r="S39" s="30">
        <f>6.3+2.1</f>
        <v>8.4</v>
      </c>
      <c r="T39" s="30">
        <v>1470.24</v>
      </c>
      <c r="U39" s="101">
        <f t="shared" si="8"/>
        <v>-2.4999999943702278E-3</v>
      </c>
      <c r="V39" s="30"/>
      <c r="W39" s="27">
        <f t="shared" si="10"/>
        <v>44925</v>
      </c>
      <c r="X39" s="28">
        <f>SUM(F39*100+G39*20+H39*60+I39+J39*7+L39*1.1167+M39*1.1167)</f>
        <v>49850.293693500003</v>
      </c>
      <c r="Y39" s="28">
        <f t="shared" si="11"/>
        <v>23019.5471</v>
      </c>
    </row>
    <row r="40" spans="1:25" x14ac:dyDescent="0.2">
      <c r="A40" s="35">
        <v>44926</v>
      </c>
      <c r="B40" s="36"/>
      <c r="C40" s="36">
        <v>22</v>
      </c>
      <c r="D40" s="36"/>
      <c r="E40" s="36"/>
      <c r="F40" s="36"/>
      <c r="G40" s="37">
        <v>141</v>
      </c>
      <c r="H40" s="36"/>
      <c r="I40" s="36">
        <v>40</v>
      </c>
      <c r="J40" s="36"/>
      <c r="K40" s="38">
        <v>450</v>
      </c>
      <c r="L40" s="39">
        <v>92.858000000000004</v>
      </c>
      <c r="M40" s="53">
        <v>6890</v>
      </c>
      <c r="N40" s="40">
        <v>5812.44</v>
      </c>
      <c r="O40" s="40"/>
      <c r="P40" s="40">
        <v>12413.56</v>
      </c>
      <c r="Q40" s="54">
        <v>28.19</v>
      </c>
      <c r="R40" s="40"/>
      <c r="S40" s="40">
        <v>6.3</v>
      </c>
      <c r="T40" s="40">
        <v>775</v>
      </c>
      <c r="U40" s="54">
        <f t="shared" si="8"/>
        <v>-2.9999999958363333E-3</v>
      </c>
      <c r="V40" s="40"/>
      <c r="W40" s="35">
        <f t="shared" si="10"/>
        <v>44926</v>
      </c>
      <c r="X40" s="36">
        <f t="shared" si="9"/>
        <v>10657.757528599999</v>
      </c>
      <c r="Y40" s="36">
        <f t="shared" si="11"/>
        <v>2702.5149999999999</v>
      </c>
    </row>
    <row r="41" spans="1:25" x14ac:dyDescent="0.2">
      <c r="A41" s="50" t="s">
        <v>36</v>
      </c>
      <c r="B41" s="43">
        <f t="shared" ref="B41:R41" si="16">SUM(B26:B40)</f>
        <v>14</v>
      </c>
      <c r="C41" s="43">
        <f t="shared" ref="C41" si="17">SUM(C26:C40)</f>
        <v>2878</v>
      </c>
      <c r="D41" s="43">
        <f t="shared" si="16"/>
        <v>0</v>
      </c>
      <c r="E41" s="43">
        <f t="shared" si="16"/>
        <v>80</v>
      </c>
      <c r="F41" s="43">
        <f t="shared" si="16"/>
        <v>255</v>
      </c>
      <c r="G41" s="43">
        <f t="shared" si="16"/>
        <v>5535</v>
      </c>
      <c r="H41" s="43">
        <f t="shared" si="16"/>
        <v>3</v>
      </c>
      <c r="I41" s="43">
        <f t="shared" si="16"/>
        <v>820</v>
      </c>
      <c r="J41" s="43">
        <f t="shared" si="16"/>
        <v>2</v>
      </c>
      <c r="K41" s="43">
        <f t="shared" si="16"/>
        <v>18616</v>
      </c>
      <c r="L41" s="94">
        <f t="shared" si="16"/>
        <v>10956.173000000003</v>
      </c>
      <c r="M41" s="43">
        <f t="shared" si="16"/>
        <v>451103</v>
      </c>
      <c r="N41" s="43">
        <f t="shared" si="16"/>
        <v>314158.32</v>
      </c>
      <c r="O41" s="43">
        <f t="shared" si="16"/>
        <v>70489.109999999986</v>
      </c>
      <c r="P41" s="43">
        <f t="shared" si="16"/>
        <v>827028.66</v>
      </c>
      <c r="Q41" s="43">
        <f t="shared" si="16"/>
        <v>2632.07</v>
      </c>
      <c r="R41" s="43">
        <f t="shared" si="16"/>
        <v>10525</v>
      </c>
      <c r="S41" s="43">
        <f>SUM(S26:S40)</f>
        <v>509.45</v>
      </c>
      <c r="T41" s="43">
        <f>SUM(T26:T40)</f>
        <v>28559.390000000003</v>
      </c>
      <c r="U41" s="43">
        <f>SUM(U26:U39)</f>
        <v>-2.7500000003556124E-2</v>
      </c>
      <c r="V41" s="43"/>
      <c r="W41" s="43"/>
      <c r="X41" s="43">
        <f>SUM(X26:X40)</f>
        <v>653195.47848910012</v>
      </c>
      <c r="Y41" s="43">
        <f>SUM(Y26:Y40)</f>
        <v>310068.48720000003</v>
      </c>
    </row>
    <row r="42" spans="1:25" x14ac:dyDescent="0.2">
      <c r="A42" s="55" t="s">
        <v>37</v>
      </c>
      <c r="B42" s="56">
        <f>(B41*100)</f>
        <v>1400</v>
      </c>
      <c r="C42" s="56">
        <f>(C41*100)</f>
        <v>287800</v>
      </c>
      <c r="D42" s="56">
        <f>(D41*60)</f>
        <v>0</v>
      </c>
      <c r="E42" s="56">
        <f>(E41)</f>
        <v>80</v>
      </c>
      <c r="F42" s="56">
        <f>(F41*100)</f>
        <v>25500</v>
      </c>
      <c r="G42" s="56">
        <f>(G41*20)</f>
        <v>110700</v>
      </c>
      <c r="H42" s="56">
        <f>(H41*60)</f>
        <v>180</v>
      </c>
      <c r="I42" s="56">
        <f>(I41)</f>
        <v>820</v>
      </c>
      <c r="J42" s="56">
        <f>+J41*7</f>
        <v>14</v>
      </c>
      <c r="K42" s="57">
        <f>(K41*1.1167)</f>
        <v>20788.4872</v>
      </c>
      <c r="L42" s="58">
        <f>(L41*1.1167)</f>
        <v>12234.758389100003</v>
      </c>
      <c r="M42" s="59">
        <f>(M41*1.1167)</f>
        <v>503746.72010000004</v>
      </c>
      <c r="N42" s="60"/>
      <c r="O42" s="60"/>
      <c r="P42" s="60"/>
      <c r="Q42" s="60"/>
      <c r="R42" s="60"/>
      <c r="S42" s="60"/>
      <c r="T42" s="60"/>
      <c r="U42" s="60"/>
      <c r="V42" s="56"/>
      <c r="W42" s="61" t="s">
        <v>35</v>
      </c>
      <c r="X42" s="56">
        <f>+M49+M50+M51+M52-X41</f>
        <v>0</v>
      </c>
      <c r="Y42" s="56">
        <f>+M48-Y41</f>
        <v>0</v>
      </c>
    </row>
    <row r="43" spans="1:25" ht="38.25" x14ac:dyDescent="0.2">
      <c r="A43" s="62" t="s">
        <v>38</v>
      </c>
      <c r="B43" s="43">
        <f t="shared" ref="B43:U43" si="18">(B21+B41)</f>
        <v>88</v>
      </c>
      <c r="C43" s="43">
        <f t="shared" si="18"/>
        <v>5652</v>
      </c>
      <c r="D43" s="43">
        <f t="shared" si="18"/>
        <v>0</v>
      </c>
      <c r="E43" s="43">
        <f t="shared" si="18"/>
        <v>140</v>
      </c>
      <c r="F43" s="43">
        <f t="shared" si="18"/>
        <v>506</v>
      </c>
      <c r="G43" s="43">
        <f t="shared" si="18"/>
        <v>10249</v>
      </c>
      <c r="H43" s="43">
        <f t="shared" si="18"/>
        <v>11</v>
      </c>
      <c r="I43" s="43">
        <f t="shared" si="18"/>
        <v>1535</v>
      </c>
      <c r="J43" s="43">
        <f t="shared" si="18"/>
        <v>7</v>
      </c>
      <c r="K43" s="43">
        <f t="shared" si="18"/>
        <v>41894</v>
      </c>
      <c r="L43" s="45">
        <f t="shared" si="18"/>
        <v>23213.183000000005</v>
      </c>
      <c r="M43" s="43">
        <f t="shared" si="18"/>
        <v>896515</v>
      </c>
      <c r="N43" s="43">
        <f t="shared" si="18"/>
        <v>602908.67999999993</v>
      </c>
      <c r="O43" s="43">
        <f t="shared" si="18"/>
        <v>147177.69999999998</v>
      </c>
      <c r="P43" s="43">
        <f t="shared" si="18"/>
        <v>1647519.83</v>
      </c>
      <c r="Q43" s="43">
        <f t="shared" si="18"/>
        <v>5999.21</v>
      </c>
      <c r="R43" s="43">
        <f t="shared" si="18"/>
        <v>20045</v>
      </c>
      <c r="S43" s="43">
        <f t="shared" si="18"/>
        <v>950.75</v>
      </c>
      <c r="T43" s="43">
        <f t="shared" si="18"/>
        <v>62787.130000000005</v>
      </c>
      <c r="U43" s="43">
        <f t="shared" si="18"/>
        <v>-3.2500000002414708E-2</v>
      </c>
      <c r="V43" s="43"/>
      <c r="W43" s="43"/>
      <c r="X43" s="43">
        <f>(X21+X41)</f>
        <v>1284884.4619561001</v>
      </c>
      <c r="Y43" s="43">
        <f>(Y21+Y41)</f>
        <v>620923.02980000013</v>
      </c>
    </row>
    <row r="44" spans="1:25" x14ac:dyDescent="0.2">
      <c r="A44" s="55" t="s">
        <v>37</v>
      </c>
      <c r="B44" s="56">
        <f>(B43*100)</f>
        <v>8800</v>
      </c>
      <c r="C44" s="56">
        <f>(C43*100)</f>
        <v>565200</v>
      </c>
      <c r="D44" s="56">
        <f>(D43*60)</f>
        <v>0</v>
      </c>
      <c r="E44" s="56">
        <f>(E43)</f>
        <v>140</v>
      </c>
      <c r="F44" s="56">
        <f>(F43*100)</f>
        <v>50600</v>
      </c>
      <c r="G44" s="63">
        <f>(G43*20)</f>
        <v>204980</v>
      </c>
      <c r="H44" s="56">
        <f>(H43*60)</f>
        <v>660</v>
      </c>
      <c r="I44" s="56">
        <f>(I43)</f>
        <v>1535</v>
      </c>
      <c r="J44" s="56">
        <f>+J43*7</f>
        <v>49</v>
      </c>
      <c r="K44" s="57">
        <f>(K43*1.1167)</f>
        <v>46783.029800000004</v>
      </c>
      <c r="L44" s="58">
        <f>(L43*1.1167)</f>
        <v>25922.161456100006</v>
      </c>
      <c r="M44" s="59">
        <f>(M43*1.1167)</f>
        <v>1001138.3005</v>
      </c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56">
        <f>+E57+E58+E59+E60-X43</f>
        <v>0</v>
      </c>
      <c r="Y44" s="56">
        <f>+E56-Y43</f>
        <v>0</v>
      </c>
    </row>
    <row r="45" spans="1:25" x14ac:dyDescent="0.2">
      <c r="A45" s="51"/>
      <c r="B45" s="51"/>
      <c r="C45" s="51"/>
      <c r="D45" s="51"/>
      <c r="E45" s="51"/>
      <c r="F45" s="51"/>
      <c r="G45" s="64"/>
      <c r="H45" s="51"/>
      <c r="I45" s="51"/>
      <c r="J45" s="51"/>
      <c r="K45" s="13"/>
      <c r="L45" s="65"/>
      <c r="M45" s="66"/>
      <c r="N45" s="67"/>
      <c r="O45" s="67"/>
      <c r="P45" s="67"/>
      <c r="Q45" s="67"/>
      <c r="R45" s="67"/>
      <c r="S45" s="67"/>
      <c r="T45" s="67"/>
      <c r="U45" s="67"/>
      <c r="V45" s="1"/>
      <c r="W45" s="1"/>
      <c r="X45" s="1"/>
      <c r="Y45" s="1"/>
    </row>
    <row r="46" spans="1:25" x14ac:dyDescent="0.2">
      <c r="A46" s="51"/>
      <c r="B46" s="51"/>
      <c r="C46" s="51"/>
      <c r="D46" s="51"/>
      <c r="E46" s="51"/>
      <c r="F46" s="51"/>
      <c r="G46" s="64"/>
      <c r="H46" s="51"/>
      <c r="I46" s="51"/>
      <c r="J46" s="51"/>
      <c r="K46" s="13"/>
      <c r="L46" s="65"/>
      <c r="M46" s="66"/>
      <c r="N46" s="67"/>
      <c r="O46" s="67"/>
      <c r="P46" s="67"/>
      <c r="Q46" s="67"/>
      <c r="R46" s="67"/>
      <c r="S46" s="67"/>
      <c r="T46" s="67"/>
      <c r="U46" s="67"/>
      <c r="V46" s="1"/>
      <c r="W46" s="1"/>
      <c r="X46" s="1"/>
      <c r="Y46" s="1"/>
    </row>
    <row r="47" spans="1:25" x14ac:dyDescent="0.2">
      <c r="A47" s="27"/>
      <c r="B47" s="68" t="s">
        <v>39</v>
      </c>
      <c r="C47" s="68"/>
      <c r="D47" s="56"/>
      <c r="E47" s="56"/>
      <c r="F47" s="56"/>
      <c r="G47" s="43"/>
      <c r="H47" s="43"/>
      <c r="I47" s="43"/>
      <c r="J47" s="43"/>
      <c r="K47" s="57" t="s">
        <v>40</v>
      </c>
      <c r="L47" s="58"/>
      <c r="M47" s="59"/>
      <c r="N47" s="60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27"/>
      <c r="B48" s="81" t="s">
        <v>41</v>
      </c>
      <c r="C48" s="81"/>
      <c r="D48" s="43"/>
      <c r="E48" s="43">
        <f>SUM(B22:E22)+K22</f>
        <v>310854.54259999999</v>
      </c>
      <c r="F48" s="70" t="s">
        <v>42</v>
      </c>
      <c r="G48" s="70"/>
      <c r="H48" s="43"/>
      <c r="I48" s="43"/>
      <c r="J48" s="43"/>
      <c r="K48" s="44" t="s">
        <v>41</v>
      </c>
      <c r="L48" s="47"/>
      <c r="M48" s="48">
        <f>SUM(B42:E42)+K42</f>
        <v>310068.48719999997</v>
      </c>
      <c r="N48" s="2" t="s">
        <v>42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27"/>
      <c r="B49" s="81" t="s">
        <v>43</v>
      </c>
      <c r="C49" s="81"/>
      <c r="D49" s="43"/>
      <c r="E49" s="43">
        <f>G22</f>
        <v>94280</v>
      </c>
      <c r="F49" s="70" t="s">
        <v>42</v>
      </c>
      <c r="G49" s="70"/>
      <c r="H49" s="43"/>
      <c r="I49" s="43"/>
      <c r="J49" s="43"/>
      <c r="K49" s="44" t="s">
        <v>43</v>
      </c>
      <c r="L49" s="47"/>
      <c r="M49" s="48">
        <f>G42</f>
        <v>110700</v>
      </c>
      <c r="N49" s="2" t="s">
        <v>42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27"/>
      <c r="B50" s="81" t="s">
        <v>44</v>
      </c>
      <c r="C50" s="81"/>
      <c r="D50" s="43"/>
      <c r="E50" s="43">
        <f>SUM(F22,H22,I22,J22)</f>
        <v>26330</v>
      </c>
      <c r="F50" s="70" t="s">
        <v>42</v>
      </c>
      <c r="G50" s="70"/>
      <c r="H50" s="43"/>
      <c r="I50" s="43"/>
      <c r="J50" s="43"/>
      <c r="K50" s="44" t="s">
        <v>44</v>
      </c>
      <c r="L50" s="47"/>
      <c r="M50" s="48">
        <f>SUM(F42:J42)-G42</f>
        <v>26514</v>
      </c>
      <c r="N50" s="2" t="s">
        <v>42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27"/>
      <c r="B51" s="81" t="s">
        <v>45</v>
      </c>
      <c r="C51" s="81"/>
      <c r="D51" s="43"/>
      <c r="E51" s="94">
        <f>+L22</f>
        <v>13687.403067000001</v>
      </c>
      <c r="F51" s="70" t="s">
        <v>42</v>
      </c>
      <c r="G51" s="70"/>
      <c r="H51" s="43"/>
      <c r="I51" s="43"/>
      <c r="J51" s="43"/>
      <c r="K51" s="44" t="s">
        <v>45</v>
      </c>
      <c r="L51" s="47"/>
      <c r="M51" s="48">
        <f>+L42</f>
        <v>12234.758389100003</v>
      </c>
      <c r="N51" s="2" t="s">
        <v>42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27"/>
      <c r="B52" s="68" t="s">
        <v>46</v>
      </c>
      <c r="C52" s="68"/>
      <c r="D52" s="56"/>
      <c r="E52" s="56">
        <f>+M22</f>
        <v>497391.58040000004</v>
      </c>
      <c r="F52" s="73" t="s">
        <v>42</v>
      </c>
      <c r="G52" s="73"/>
      <c r="H52" s="43"/>
      <c r="I52" s="43"/>
      <c r="J52" s="43"/>
      <c r="K52" s="57" t="s">
        <v>46</v>
      </c>
      <c r="L52" s="58"/>
      <c r="M52" s="59">
        <f>+M42</f>
        <v>503746.72010000004</v>
      </c>
      <c r="N52" s="74" t="s">
        <v>42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27"/>
      <c r="B53" s="81"/>
      <c r="C53" s="81"/>
      <c r="D53" s="43"/>
      <c r="E53" s="43">
        <f>SUM(E48:E52)</f>
        <v>942543.526067</v>
      </c>
      <c r="F53" s="70" t="s">
        <v>42</v>
      </c>
      <c r="G53" s="70"/>
      <c r="H53" s="43"/>
      <c r="I53" s="43"/>
      <c r="J53" s="43"/>
      <c r="K53" s="75"/>
      <c r="L53" s="76"/>
      <c r="M53" s="77">
        <f>SUM(M48:M52)</f>
        <v>963263.96568910009</v>
      </c>
      <c r="N53" s="2" t="s">
        <v>42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27"/>
      <c r="B54" s="81"/>
      <c r="C54" s="81"/>
      <c r="D54" s="43"/>
      <c r="E54" s="43"/>
      <c r="F54" s="70"/>
      <c r="G54" s="70"/>
      <c r="H54" s="43"/>
      <c r="I54" s="43"/>
      <c r="J54" s="43"/>
      <c r="K54" s="75"/>
      <c r="L54" s="76"/>
      <c r="M54" s="77"/>
      <c r="N54" s="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thickBot="1" x14ac:dyDescent="0.25">
      <c r="A55" s="27"/>
      <c r="B55" s="78"/>
      <c r="C55" s="78"/>
      <c r="D55" s="78"/>
      <c r="E55" s="79" t="s">
        <v>47</v>
      </c>
      <c r="F55" s="78"/>
      <c r="G55" s="78"/>
      <c r="H55" s="78"/>
      <c r="I55" s="78"/>
      <c r="J55" s="78"/>
      <c r="K55" s="80"/>
      <c r="L55" s="47"/>
      <c r="M55" s="48"/>
      <c r="N55" s="49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27"/>
      <c r="B56" s="81" t="s">
        <v>41</v>
      </c>
      <c r="C56" s="81"/>
      <c r="D56" s="43"/>
      <c r="E56" s="43">
        <f>+E48+M48</f>
        <v>620923.0297999999</v>
      </c>
      <c r="F56" s="70" t="s">
        <v>42</v>
      </c>
      <c r="G56" s="70" t="s">
        <v>48</v>
      </c>
      <c r="H56" s="82">
        <f>E5</f>
        <v>0.6</v>
      </c>
      <c r="I56" s="70" t="s">
        <v>33</v>
      </c>
      <c r="J56" s="70"/>
      <c r="K56" s="44">
        <f>E56*H56</f>
        <v>372553.81787999993</v>
      </c>
      <c r="L56" s="47">
        <f>+E56-Y43</f>
        <v>0</v>
      </c>
      <c r="M56" s="48"/>
      <c r="N56" s="49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27"/>
      <c r="B57" s="81" t="s">
        <v>43</v>
      </c>
      <c r="C57" s="81"/>
      <c r="D57" s="43"/>
      <c r="E57" s="43">
        <f>E49+M49</f>
        <v>204980</v>
      </c>
      <c r="F57" s="70" t="s">
        <v>42</v>
      </c>
      <c r="G57" s="70" t="s">
        <v>48</v>
      </c>
      <c r="H57" s="83">
        <f>G5/20</f>
        <v>1.2749999999999999</v>
      </c>
      <c r="I57" s="70" t="s">
        <v>33</v>
      </c>
      <c r="J57" s="70"/>
      <c r="K57" s="44">
        <f>E57*H57</f>
        <v>261349.49999999997</v>
      </c>
      <c r="L57" s="47">
        <f>+E57+E58+E59+E60-X43</f>
        <v>0</v>
      </c>
      <c r="M57" s="48"/>
      <c r="N57" s="49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27"/>
      <c r="B58" s="81" t="s">
        <v>44</v>
      </c>
      <c r="C58" s="81"/>
      <c r="D58" s="43"/>
      <c r="E58" s="43">
        <f>+E50+M50</f>
        <v>52844</v>
      </c>
      <c r="F58" s="70" t="s">
        <v>42</v>
      </c>
      <c r="G58" s="70" t="s">
        <v>48</v>
      </c>
      <c r="H58" s="83">
        <f>F5/100</f>
        <v>1.585</v>
      </c>
      <c r="I58" s="70" t="s">
        <v>33</v>
      </c>
      <c r="J58" s="70"/>
      <c r="K58" s="75">
        <f>E58*H58</f>
        <v>83757.740000000005</v>
      </c>
      <c r="L58" s="47"/>
      <c r="M58" s="48"/>
      <c r="N58" s="49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27"/>
      <c r="B59" s="81" t="s">
        <v>45</v>
      </c>
      <c r="C59" s="81"/>
      <c r="D59" s="43"/>
      <c r="E59" s="43">
        <f>+E51+M51</f>
        <v>25922.161456100002</v>
      </c>
      <c r="F59" s="70" t="s">
        <v>42</v>
      </c>
      <c r="G59" s="70" t="s">
        <v>48</v>
      </c>
      <c r="H59" s="83">
        <f>L5/1.1167</f>
        <v>1.3432434852690964</v>
      </c>
      <c r="I59" s="70" t="s">
        <v>33</v>
      </c>
      <c r="J59" s="70"/>
      <c r="K59" s="75">
        <f>+E59*H59</f>
        <v>34819.7745</v>
      </c>
      <c r="L59" s="47"/>
      <c r="M59" s="48"/>
      <c r="N59" s="49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thickBot="1" x14ac:dyDescent="0.25">
      <c r="A60" s="27"/>
      <c r="B60" s="79" t="s">
        <v>46</v>
      </c>
      <c r="C60" s="79"/>
      <c r="D60" s="78"/>
      <c r="E60" s="78">
        <f>+E52+M52</f>
        <v>1001138.3005000001</v>
      </c>
      <c r="F60" s="84" t="s">
        <v>42</v>
      </c>
      <c r="G60" s="84" t="s">
        <v>48</v>
      </c>
      <c r="H60" s="85">
        <f>M5/1.1167</f>
        <v>1.5671173994806125</v>
      </c>
      <c r="I60" s="84" t="s">
        <v>33</v>
      </c>
      <c r="J60" s="84"/>
      <c r="K60" s="80">
        <f>E60*H60</f>
        <v>1568901.2500000002</v>
      </c>
      <c r="L60" s="47"/>
      <c r="M60" s="48"/>
      <c r="N60" s="49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27"/>
      <c r="B61" s="81"/>
      <c r="C61" s="81"/>
      <c r="D61" s="43"/>
      <c r="E61" s="43">
        <f>SUM(E56:E60)</f>
        <v>1905807.4917561</v>
      </c>
      <c r="F61" s="70"/>
      <c r="G61" s="70"/>
      <c r="H61" s="83"/>
      <c r="I61" s="70"/>
      <c r="J61" s="70"/>
      <c r="K61" s="75">
        <f>SUM(K56:K60)</f>
        <v>2321382.08238</v>
      </c>
      <c r="L61" s="47"/>
      <c r="M61" s="48"/>
      <c r="N61" s="49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27"/>
      <c r="B62" s="81"/>
      <c r="C62" s="81"/>
      <c r="D62" s="43"/>
      <c r="E62" s="43">
        <f>+E61-X43-Y43</f>
        <v>0</v>
      </c>
      <c r="F62" s="70"/>
      <c r="G62" s="70"/>
      <c r="H62" s="83"/>
      <c r="I62" s="70"/>
      <c r="J62" s="70"/>
      <c r="K62" s="75"/>
      <c r="L62" s="47"/>
      <c r="M62" s="48"/>
      <c r="N62" s="49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K63" s="111"/>
    </row>
  </sheetData>
  <pageMargins left="0.2" right="0.2" top="0.65" bottom="0.21" header="0.2" footer="0.2"/>
  <pageSetup scale="5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02E5-06D9-45EC-80C4-D9CA126852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7948C-F065-4891-84BB-75D18C46488A}">
  <dimension ref="A1:X62"/>
  <sheetViews>
    <sheetView workbookViewId="0">
      <selection activeCell="A33" sqref="A33"/>
    </sheetView>
  </sheetViews>
  <sheetFormatPr defaultRowHeight="15" x14ac:dyDescent="0.25"/>
  <cols>
    <col min="1" max="1" width="14" customWidth="1"/>
    <col min="2" max="2" width="10.42578125" customWidth="1"/>
    <col min="4" max="4" width="11.2851562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6.85546875" customWidth="1"/>
    <col min="10" max="10" width="13.5703125" customWidth="1"/>
    <col min="11" max="11" width="15.5703125" customWidth="1"/>
    <col min="12" max="12" width="13.42578125" customWidth="1"/>
    <col min="13" max="13" width="16" customWidth="1"/>
    <col min="14" max="14" width="14.85546875" customWidth="1"/>
    <col min="15" max="15" width="15.140625" customWidth="1"/>
    <col min="16" max="16" width="14" customWidth="1"/>
    <col min="17" max="17" width="13.85546875" customWidth="1"/>
    <col min="18" max="18" width="10.140625" customWidth="1"/>
    <col min="19" max="19" width="14" customWidth="1"/>
    <col min="20" max="20" width="8.710937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>
        <v>44593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144</v>
      </c>
      <c r="F5" s="18">
        <v>24</v>
      </c>
      <c r="G5" s="18">
        <v>86.5</v>
      </c>
      <c r="H5" s="87">
        <v>1.44</v>
      </c>
      <c r="I5" s="17">
        <v>18.55</v>
      </c>
      <c r="J5" s="88">
        <v>0.52</v>
      </c>
      <c r="K5" s="89">
        <v>1.3</v>
      </c>
      <c r="L5" s="90">
        <v>1.59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44593</v>
      </c>
      <c r="B7" s="28">
        <v>247</v>
      </c>
      <c r="C7" s="28"/>
      <c r="D7" s="28"/>
      <c r="E7" s="28">
        <v>6</v>
      </c>
      <c r="F7" s="29">
        <v>391</v>
      </c>
      <c r="G7" s="28"/>
      <c r="H7" s="28">
        <v>138</v>
      </c>
      <c r="I7" s="28"/>
      <c r="J7" s="13">
        <v>3506</v>
      </c>
      <c r="K7" s="6">
        <v>831.94899999999996</v>
      </c>
      <c r="L7" s="28">
        <v>39251</v>
      </c>
      <c r="M7" s="30">
        <v>20611.939999999999</v>
      </c>
      <c r="N7" s="30">
        <v>4471.54</v>
      </c>
      <c r="O7" s="30">
        <v>65565.3</v>
      </c>
      <c r="P7" s="31">
        <v>139.13999999999999</v>
      </c>
      <c r="Q7" s="30">
        <v>1680</v>
      </c>
      <c r="R7" s="30">
        <v>52.5</v>
      </c>
      <c r="S7" s="30">
        <v>1839.1</v>
      </c>
      <c r="T7" s="32">
        <f>+B7*46.38+C7*27.83+D7*0.4638+E7*144+F7*24+G7*86.5+H7*1.44+I7*18.55+J7*0.52+K7*1.3+L7*1.59-M7-N7-O7-P7+Q7+R7+S7</f>
        <v>3.7000000020270818E-3</v>
      </c>
      <c r="U7" s="1"/>
      <c r="V7" s="27">
        <f>+A7</f>
        <v>44593</v>
      </c>
      <c r="W7" s="28">
        <f>SUM(E7*100+F7*20+G7*60+H7+I7*7+K7*1.1167+L7*1.1167)</f>
        <v>53318.629148300002</v>
      </c>
      <c r="X7" s="28">
        <f t="shared" ref="X7:X20" si="0">SUM(B7*100+C7*60+D7+J7*1.1167)</f>
        <v>28615.1502</v>
      </c>
    </row>
    <row r="8" spans="1:24" x14ac:dyDescent="0.25">
      <c r="A8" s="27">
        <v>44594</v>
      </c>
      <c r="B8" s="28">
        <v>303</v>
      </c>
      <c r="C8" s="28"/>
      <c r="D8" s="28"/>
      <c r="E8" s="28">
        <v>11</v>
      </c>
      <c r="F8" s="29">
        <v>368</v>
      </c>
      <c r="G8" s="28">
        <v>1</v>
      </c>
      <c r="H8" s="28">
        <v>30</v>
      </c>
      <c r="I8" s="28"/>
      <c r="J8" s="13">
        <v>3666</v>
      </c>
      <c r="K8" s="6">
        <v>968.20799999999997</v>
      </c>
      <c r="L8" s="28">
        <v>36867</v>
      </c>
      <c r="M8" s="30">
        <v>21621.81</v>
      </c>
      <c r="N8" s="30">
        <v>6995.09</v>
      </c>
      <c r="O8" s="30">
        <v>61807.72</v>
      </c>
      <c r="P8" s="31">
        <v>472.42</v>
      </c>
      <c r="Q8" s="30">
        <v>945</v>
      </c>
      <c r="R8" s="30">
        <v>48.3</v>
      </c>
      <c r="S8" s="30">
        <v>3521.38</v>
      </c>
      <c r="T8" s="32">
        <f t="shared" ref="T8:T20" si="1">+B8*46.38+C8*27.83+D8*0.4638+E8*144+F8*24+G8*86.5+H8*1.44+I8*18.55+J8*0.52+K8*1.3+L8*1.59-M8-N8-O8-P8+Q8+R8+S8</f>
        <v>4.000000099040335E-4</v>
      </c>
      <c r="U8" s="1"/>
      <c r="V8" s="27">
        <f t="shared" ref="V8:V20" si="2">+A8</f>
        <v>44594</v>
      </c>
      <c r="W8" s="28">
        <f t="shared" ref="W8:W20" si="3">SUM(E8*100+F8*20+G8*60+H8+I8*7+K8*1.1167+L8*1.1167)</f>
        <v>50800.576773600005</v>
      </c>
      <c r="X8" s="28">
        <f t="shared" si="0"/>
        <v>34393.822200000002</v>
      </c>
    </row>
    <row r="9" spans="1:24" x14ac:dyDescent="0.25">
      <c r="A9" s="27">
        <v>44595</v>
      </c>
      <c r="B9" s="28">
        <v>276</v>
      </c>
      <c r="C9" s="28">
        <v>1</v>
      </c>
      <c r="D9" s="28"/>
      <c r="E9" s="28">
        <v>12</v>
      </c>
      <c r="F9" s="29">
        <v>368</v>
      </c>
      <c r="G9" s="28">
        <v>1</v>
      </c>
      <c r="H9" s="28">
        <v>25</v>
      </c>
      <c r="I9" s="28"/>
      <c r="J9" s="13">
        <v>4311</v>
      </c>
      <c r="K9" s="6">
        <v>1108.81</v>
      </c>
      <c r="L9" s="28">
        <v>28837</v>
      </c>
      <c r="M9" s="30">
        <v>19448.07</v>
      </c>
      <c r="N9" s="30">
        <v>5650.93</v>
      </c>
      <c r="O9" s="30">
        <v>48936.92</v>
      </c>
      <c r="P9" s="33">
        <v>156.13999999999999</v>
      </c>
      <c r="Q9" s="30">
        <v>-45</v>
      </c>
      <c r="R9" s="30">
        <v>50.4</v>
      </c>
      <c r="S9" s="30">
        <v>1141.44</v>
      </c>
      <c r="T9" s="32">
        <f t="shared" si="1"/>
        <v>-6.9999999946048774E-3</v>
      </c>
      <c r="U9" s="1"/>
      <c r="V9" s="27">
        <f t="shared" si="2"/>
        <v>44595</v>
      </c>
      <c r="W9" s="28">
        <f t="shared" si="3"/>
        <v>42085.486026999999</v>
      </c>
      <c r="X9" s="28">
        <f t="shared" si="0"/>
        <v>32474.093700000001</v>
      </c>
    </row>
    <row r="10" spans="1:24" x14ac:dyDescent="0.25">
      <c r="A10" s="27">
        <v>44596</v>
      </c>
      <c r="B10" s="28">
        <v>226</v>
      </c>
      <c r="C10" s="28"/>
      <c r="D10" s="28">
        <v>20</v>
      </c>
      <c r="E10" s="28">
        <v>19</v>
      </c>
      <c r="F10" s="29">
        <v>398</v>
      </c>
      <c r="G10" s="28"/>
      <c r="H10" s="28">
        <v>70</v>
      </c>
      <c r="I10" s="28"/>
      <c r="J10" s="13">
        <v>1700</v>
      </c>
      <c r="K10" s="34">
        <v>1246.192</v>
      </c>
      <c r="L10" s="28">
        <v>34147</v>
      </c>
      <c r="M10" s="30">
        <v>17933.150000000001</v>
      </c>
      <c r="N10" s="30">
        <v>5759.62</v>
      </c>
      <c r="O10" s="30">
        <v>57385.24</v>
      </c>
      <c r="P10" s="31">
        <v>182.27</v>
      </c>
      <c r="Q10" s="30">
        <v>690</v>
      </c>
      <c r="R10" s="30">
        <v>35.700000000000003</v>
      </c>
      <c r="S10" s="30">
        <v>856.84</v>
      </c>
      <c r="T10" s="32">
        <f t="shared" si="1"/>
        <v>-4.4000000019650543E-3</v>
      </c>
      <c r="U10" s="1"/>
      <c r="V10" s="27">
        <f t="shared" si="2"/>
        <v>44596</v>
      </c>
      <c r="W10" s="28">
        <f t="shared" si="3"/>
        <v>49453.577506400004</v>
      </c>
      <c r="X10" s="28">
        <f t="shared" si="0"/>
        <v>24518.39</v>
      </c>
    </row>
    <row r="11" spans="1:24" x14ac:dyDescent="0.25">
      <c r="A11" s="27">
        <v>44597</v>
      </c>
      <c r="B11" s="28">
        <v>57</v>
      </c>
      <c r="C11" s="28"/>
      <c r="D11" s="28"/>
      <c r="E11" s="28">
        <v>2</v>
      </c>
      <c r="F11" s="29">
        <v>418</v>
      </c>
      <c r="G11" s="28"/>
      <c r="H11" s="28">
        <v>85</v>
      </c>
      <c r="I11" s="28"/>
      <c r="J11" s="13"/>
      <c r="K11" s="34">
        <v>525.74099999999999</v>
      </c>
      <c r="L11" s="28">
        <v>160</v>
      </c>
      <c r="M11" s="30">
        <v>13731.52</v>
      </c>
      <c r="N11" s="30"/>
      <c r="O11" s="30">
        <v>302.39999999999998</v>
      </c>
      <c r="P11" s="33"/>
      <c r="Q11" s="30">
        <v>10</v>
      </c>
      <c r="R11" s="30"/>
      <c r="S11" s="30"/>
      <c r="T11" s="32">
        <f t="shared" si="1"/>
        <v>3.2999999981484507E-3</v>
      </c>
      <c r="U11" s="1"/>
      <c r="V11" s="27">
        <f t="shared" si="2"/>
        <v>44597</v>
      </c>
      <c r="W11" s="28">
        <f t="shared" si="3"/>
        <v>9410.7669747</v>
      </c>
      <c r="X11" s="28">
        <f t="shared" si="0"/>
        <v>5700</v>
      </c>
    </row>
    <row r="12" spans="1:24" x14ac:dyDescent="0.25">
      <c r="A12" s="27">
        <v>44599</v>
      </c>
      <c r="B12" s="28">
        <v>190</v>
      </c>
      <c r="C12" s="28"/>
      <c r="D12" s="28">
        <v>40</v>
      </c>
      <c r="E12" s="28">
        <v>10</v>
      </c>
      <c r="F12" s="29">
        <v>428</v>
      </c>
      <c r="G12" s="28"/>
      <c r="H12" s="28">
        <v>85</v>
      </c>
      <c r="I12" s="28"/>
      <c r="J12" s="13">
        <v>5348</v>
      </c>
      <c r="K12" s="34">
        <v>769.06500000000005</v>
      </c>
      <c r="L12" s="28">
        <v>38406</v>
      </c>
      <c r="M12" s="30">
        <v>17910.11</v>
      </c>
      <c r="N12" s="30">
        <v>4099.37</v>
      </c>
      <c r="O12" s="30">
        <v>66596.53</v>
      </c>
      <c r="P12" s="31">
        <v>485.43</v>
      </c>
      <c r="Q12" s="30">
        <v>530</v>
      </c>
      <c r="R12" s="30">
        <v>35.700000000000003</v>
      </c>
      <c r="S12" s="30">
        <v>3014.29</v>
      </c>
      <c r="T12" s="32">
        <f t="shared" si="1"/>
        <v>-1.3499999991381628E-2</v>
      </c>
      <c r="U12" s="1"/>
      <c r="V12" s="27">
        <f t="shared" si="2"/>
        <v>44599</v>
      </c>
      <c r="W12" s="28">
        <f t="shared" si="3"/>
        <v>53391.795085499994</v>
      </c>
      <c r="X12" s="28">
        <f t="shared" si="0"/>
        <v>25012.1116</v>
      </c>
    </row>
    <row r="13" spans="1:24" x14ac:dyDescent="0.25">
      <c r="A13" s="27">
        <v>44600</v>
      </c>
      <c r="B13" s="28">
        <v>226</v>
      </c>
      <c r="C13" s="28"/>
      <c r="D13" s="28"/>
      <c r="E13" s="28">
        <v>9</v>
      </c>
      <c r="F13" s="29">
        <v>354</v>
      </c>
      <c r="G13" s="28"/>
      <c r="H13" s="28">
        <v>24</v>
      </c>
      <c r="I13" s="28"/>
      <c r="J13" s="13">
        <v>3710</v>
      </c>
      <c r="K13" s="34">
        <v>713.9</v>
      </c>
      <c r="L13" s="28">
        <v>36601</v>
      </c>
      <c r="M13" s="30">
        <v>17463.72</v>
      </c>
      <c r="N13" s="30">
        <v>4356.26</v>
      </c>
      <c r="O13" s="30">
        <v>61561.43</v>
      </c>
      <c r="P13" s="31"/>
      <c r="Q13" s="30">
        <v>685</v>
      </c>
      <c r="R13" s="30">
        <v>46.2</v>
      </c>
      <c r="S13" s="30">
        <v>1288.9100000000001</v>
      </c>
      <c r="T13" s="32">
        <f t="shared" si="1"/>
        <v>0</v>
      </c>
      <c r="U13" s="1"/>
      <c r="V13" s="27">
        <f t="shared" si="2"/>
        <v>44600</v>
      </c>
      <c r="W13" s="28">
        <f t="shared" si="3"/>
        <v>49673.54883</v>
      </c>
      <c r="X13" s="28">
        <f t="shared" si="0"/>
        <v>26742.957000000002</v>
      </c>
    </row>
    <row r="14" spans="1:24" x14ac:dyDescent="0.25">
      <c r="A14" s="27">
        <v>44601</v>
      </c>
      <c r="B14" s="28">
        <v>224</v>
      </c>
      <c r="C14" s="28"/>
      <c r="D14" s="28"/>
      <c r="E14" s="28">
        <v>18</v>
      </c>
      <c r="F14" s="29">
        <v>278</v>
      </c>
      <c r="G14" s="28"/>
      <c r="H14" s="28">
        <v>25</v>
      </c>
      <c r="I14" s="28"/>
      <c r="J14" s="13">
        <v>1605</v>
      </c>
      <c r="K14" s="34">
        <v>1038.114</v>
      </c>
      <c r="L14" s="28">
        <v>41880</v>
      </c>
      <c r="M14" s="30">
        <v>16966.07</v>
      </c>
      <c r="N14" s="30">
        <v>4734.68</v>
      </c>
      <c r="O14" s="30">
        <v>68536.37</v>
      </c>
      <c r="P14" s="31">
        <v>417.42</v>
      </c>
      <c r="Q14" s="30">
        <v>705</v>
      </c>
      <c r="R14" s="30">
        <v>8.4</v>
      </c>
      <c r="S14" s="30">
        <v>1478.67</v>
      </c>
      <c r="T14" s="32">
        <f t="shared" si="1"/>
        <v>-1.7999999922722054E-3</v>
      </c>
      <c r="U14" s="1"/>
      <c r="V14" s="27">
        <f t="shared" si="2"/>
        <v>44601</v>
      </c>
      <c r="W14" s="28">
        <f t="shared" si="3"/>
        <v>55311.657903799998</v>
      </c>
      <c r="X14" s="28">
        <f t="shared" si="0"/>
        <v>24192.303500000002</v>
      </c>
    </row>
    <row r="15" spans="1:24" x14ac:dyDescent="0.25">
      <c r="A15" s="27">
        <v>44602</v>
      </c>
      <c r="B15" s="28">
        <v>298</v>
      </c>
      <c r="C15" s="28"/>
      <c r="D15" s="28"/>
      <c r="E15" s="28">
        <v>13</v>
      </c>
      <c r="F15" s="29">
        <v>318</v>
      </c>
      <c r="G15" s="28">
        <v>2</v>
      </c>
      <c r="H15" s="28">
        <v>40</v>
      </c>
      <c r="I15" s="28"/>
      <c r="J15" s="13">
        <v>3561</v>
      </c>
      <c r="K15" s="34">
        <v>618.92100000000005</v>
      </c>
      <c r="L15" s="28">
        <v>33018</v>
      </c>
      <c r="M15" s="30">
        <v>20876.849999999999</v>
      </c>
      <c r="N15" s="30">
        <v>5960.45</v>
      </c>
      <c r="O15" s="30">
        <v>55535.58</v>
      </c>
      <c r="P15" s="31">
        <v>185.52</v>
      </c>
      <c r="Q15" s="30">
        <v>660</v>
      </c>
      <c r="R15" s="30">
        <v>46.2</v>
      </c>
      <c r="S15" s="30">
        <v>3141.42</v>
      </c>
      <c r="T15" s="32">
        <f t="shared" si="1"/>
        <v>-2.6999999959116394E-3</v>
      </c>
      <c r="U15" s="1"/>
      <c r="V15" s="27">
        <f t="shared" si="2"/>
        <v>44602</v>
      </c>
      <c r="W15" s="28">
        <f t="shared" si="3"/>
        <v>45382.349680700005</v>
      </c>
      <c r="X15" s="28">
        <f t="shared" si="0"/>
        <v>33776.568700000003</v>
      </c>
    </row>
    <row r="16" spans="1:24" x14ac:dyDescent="0.25">
      <c r="A16" s="27">
        <v>44603</v>
      </c>
      <c r="B16" s="28">
        <v>238</v>
      </c>
      <c r="C16" s="28"/>
      <c r="D16" s="28"/>
      <c r="E16" s="28">
        <v>12</v>
      </c>
      <c r="F16" s="29">
        <v>333</v>
      </c>
      <c r="G16" s="28"/>
      <c r="H16" s="28"/>
      <c r="I16" s="28"/>
      <c r="J16" s="13">
        <v>2565</v>
      </c>
      <c r="K16" s="34">
        <v>530.44899999999996</v>
      </c>
      <c r="L16" s="28">
        <v>34268</v>
      </c>
      <c r="M16" s="30">
        <v>21321.32</v>
      </c>
      <c r="N16" s="30">
        <v>4011.4</v>
      </c>
      <c r="O16" s="30">
        <v>57524.34</v>
      </c>
      <c r="P16" s="31">
        <v>17</v>
      </c>
      <c r="Q16" s="30">
        <v>310</v>
      </c>
      <c r="R16" s="30">
        <v>33.6</v>
      </c>
      <c r="S16" s="30">
        <v>5262.52</v>
      </c>
      <c r="T16" s="32">
        <f t="shared" si="1"/>
        <v>3.7000000065745553E-3</v>
      </c>
      <c r="U16" s="1"/>
      <c r="V16" s="27">
        <f t="shared" si="2"/>
        <v>44603</v>
      </c>
      <c r="W16" s="28">
        <f t="shared" si="3"/>
        <v>46719.427998300001</v>
      </c>
      <c r="X16" s="28">
        <f t="shared" si="0"/>
        <v>26664.335500000001</v>
      </c>
    </row>
    <row r="17" spans="1:24" x14ac:dyDescent="0.25">
      <c r="A17" s="27">
        <v>44604</v>
      </c>
      <c r="B17" s="28">
        <v>71</v>
      </c>
      <c r="C17" s="28"/>
      <c r="D17" s="28"/>
      <c r="E17" s="28">
        <v>3</v>
      </c>
      <c r="F17" s="29">
        <v>379</v>
      </c>
      <c r="G17" s="28"/>
      <c r="H17" s="28">
        <v>140</v>
      </c>
      <c r="I17" s="28"/>
      <c r="J17" s="13">
        <v>174</v>
      </c>
      <c r="K17" s="34">
        <v>414.63799999999998</v>
      </c>
      <c r="L17" s="28"/>
      <c r="M17" s="30">
        <v>13304.87</v>
      </c>
      <c r="N17" s="30"/>
      <c r="O17" s="30">
        <v>374.32</v>
      </c>
      <c r="P17" s="31"/>
      <c r="Q17" s="30">
        <v>25</v>
      </c>
      <c r="R17" s="30">
        <v>2.1</v>
      </c>
      <c r="S17" s="30"/>
      <c r="T17" s="32">
        <f t="shared" si="1"/>
        <v>-6.0000000186155589E-4</v>
      </c>
      <c r="U17" s="1"/>
      <c r="V17" s="27">
        <f t="shared" si="2"/>
        <v>44604</v>
      </c>
      <c r="W17" s="28">
        <f t="shared" si="3"/>
        <v>8483.0262545999994</v>
      </c>
      <c r="X17" s="28">
        <f t="shared" si="0"/>
        <v>7294.3058000000001</v>
      </c>
    </row>
    <row r="18" spans="1:24" x14ac:dyDescent="0.25">
      <c r="A18" s="27">
        <v>44606</v>
      </c>
      <c r="B18" s="28">
        <v>190</v>
      </c>
      <c r="C18" s="28"/>
      <c r="D18" s="28"/>
      <c r="E18" s="28">
        <v>11</v>
      </c>
      <c r="F18" s="29">
        <v>337</v>
      </c>
      <c r="G18" s="28"/>
      <c r="H18" s="28"/>
      <c r="I18" s="28"/>
      <c r="J18" s="13">
        <v>3028</v>
      </c>
      <c r="K18" s="34">
        <v>1206.104</v>
      </c>
      <c r="L18" s="28">
        <v>38760</v>
      </c>
      <c r="M18" s="30">
        <v>15703.27</v>
      </c>
      <c r="N18" s="30">
        <v>3983.68</v>
      </c>
      <c r="O18" s="30">
        <v>66104.149999999994</v>
      </c>
      <c r="P18" s="31">
        <v>286.70999999999998</v>
      </c>
      <c r="Q18" s="30">
        <v>1160</v>
      </c>
      <c r="R18" s="30">
        <v>44.1</v>
      </c>
      <c r="S18" s="30">
        <v>1618.61</v>
      </c>
      <c r="T18" s="32">
        <f t="shared" si="1"/>
        <v>-4.7999999881085387E-3</v>
      </c>
      <c r="U18" s="1"/>
      <c r="V18" s="27">
        <f t="shared" si="2"/>
        <v>44606</v>
      </c>
      <c r="W18" s="28">
        <f t="shared" si="3"/>
        <v>52470.148336800004</v>
      </c>
      <c r="X18" s="28">
        <f t="shared" si="0"/>
        <v>22381.367600000001</v>
      </c>
    </row>
    <row r="19" spans="1:24" x14ac:dyDescent="0.25">
      <c r="A19" s="27"/>
      <c r="B19" s="28"/>
      <c r="C19" s="28"/>
      <c r="D19" s="28"/>
      <c r="E19" s="28"/>
      <c r="F19" s="29"/>
      <c r="G19" s="28"/>
      <c r="H19" s="28"/>
      <c r="I19" s="28"/>
      <c r="J19" s="13"/>
      <c r="K19" s="34"/>
      <c r="L19" s="28"/>
      <c r="M19" s="30"/>
      <c r="N19" s="30"/>
      <c r="O19" s="30"/>
      <c r="P19" s="31"/>
      <c r="Q19" s="30"/>
      <c r="R19" s="30"/>
      <c r="S19" s="30"/>
      <c r="T19" s="32">
        <f t="shared" si="1"/>
        <v>0</v>
      </c>
      <c r="U19" s="1"/>
      <c r="V19" s="27">
        <f t="shared" si="2"/>
        <v>0</v>
      </c>
      <c r="W19" s="28">
        <f t="shared" si="3"/>
        <v>0</v>
      </c>
      <c r="X19" s="28">
        <f t="shared" si="0"/>
        <v>0</v>
      </c>
    </row>
    <row r="20" spans="1:24" x14ac:dyDescent="0.25">
      <c r="A20" s="35"/>
      <c r="B20" s="36"/>
      <c r="C20" s="36"/>
      <c r="D20" s="36"/>
      <c r="E20" s="36"/>
      <c r="F20" s="37"/>
      <c r="G20" s="36"/>
      <c r="H20" s="36"/>
      <c r="I20" s="36"/>
      <c r="J20" s="38"/>
      <c r="K20" s="39"/>
      <c r="L20" s="36"/>
      <c r="M20" s="40"/>
      <c r="N20" s="40"/>
      <c r="O20" s="40"/>
      <c r="P20" s="41"/>
      <c r="Q20" s="40"/>
      <c r="R20" s="40"/>
      <c r="S20" s="40"/>
      <c r="T20" s="42">
        <f t="shared" si="1"/>
        <v>0</v>
      </c>
      <c r="U20" s="16"/>
      <c r="V20" s="35">
        <f t="shared" si="2"/>
        <v>0</v>
      </c>
      <c r="W20" s="36">
        <f t="shared" si="3"/>
        <v>0</v>
      </c>
      <c r="X20" s="36">
        <f t="shared" si="0"/>
        <v>0</v>
      </c>
    </row>
    <row r="21" spans="1:24" x14ac:dyDescent="0.25">
      <c r="A21" s="27"/>
      <c r="B21" s="43">
        <f t="shared" ref="B21:T21" si="4">SUM(B7:B20)</f>
        <v>2546</v>
      </c>
      <c r="C21" s="43">
        <f t="shared" si="4"/>
        <v>1</v>
      </c>
      <c r="D21" s="43">
        <f t="shared" si="4"/>
        <v>60</v>
      </c>
      <c r="E21" s="43">
        <f t="shared" si="4"/>
        <v>126</v>
      </c>
      <c r="F21" s="43">
        <f t="shared" si="4"/>
        <v>4370</v>
      </c>
      <c r="G21" s="43">
        <f t="shared" si="4"/>
        <v>4</v>
      </c>
      <c r="H21" s="43">
        <f t="shared" si="4"/>
        <v>662</v>
      </c>
      <c r="I21" s="43">
        <f t="shared" si="4"/>
        <v>0</v>
      </c>
      <c r="J21" s="44">
        <f t="shared" si="4"/>
        <v>33174</v>
      </c>
      <c r="K21" s="43">
        <f t="shared" si="4"/>
        <v>9972.0910000000003</v>
      </c>
      <c r="L21" s="43">
        <f t="shared" si="4"/>
        <v>362195</v>
      </c>
      <c r="M21" s="45">
        <f t="shared" si="4"/>
        <v>216892.7</v>
      </c>
      <c r="N21" s="45">
        <f t="shared" si="4"/>
        <v>50023.02</v>
      </c>
      <c r="O21" s="45">
        <f t="shared" si="4"/>
        <v>610230.29999999993</v>
      </c>
      <c r="P21" s="45">
        <f t="shared" si="4"/>
        <v>2342.0500000000002</v>
      </c>
      <c r="Q21" s="45">
        <f t="shared" si="4"/>
        <v>7355</v>
      </c>
      <c r="R21" s="45">
        <f t="shared" si="4"/>
        <v>403.2</v>
      </c>
      <c r="S21" s="45">
        <f t="shared" si="4"/>
        <v>23163.18</v>
      </c>
      <c r="T21" s="45">
        <f t="shared" si="4"/>
        <v>-2.3699999949451378E-2</v>
      </c>
      <c r="U21" s="43"/>
      <c r="V21" s="43"/>
      <c r="W21" s="43">
        <f>SUM(W7:W20)</f>
        <v>516500.99051969999</v>
      </c>
      <c r="X21" s="43">
        <f>SUM(X7:X20)</f>
        <v>291765.40579999995</v>
      </c>
    </row>
    <row r="22" spans="1:24" x14ac:dyDescent="0.25">
      <c r="A22" s="27"/>
      <c r="B22" s="43">
        <f>(B21*100)</f>
        <v>254600</v>
      </c>
      <c r="C22" s="43">
        <f>(C21*60)</f>
        <v>60</v>
      </c>
      <c r="D22" s="43">
        <f>(D21)</f>
        <v>60</v>
      </c>
      <c r="E22" s="43">
        <f>(E21*100)</f>
        <v>12600</v>
      </c>
      <c r="F22" s="46">
        <f>(F21*20)</f>
        <v>87400</v>
      </c>
      <c r="G22" s="43">
        <f>(G21*60)</f>
        <v>240</v>
      </c>
      <c r="H22" s="43">
        <f>(H21)</f>
        <v>662</v>
      </c>
      <c r="I22" s="43">
        <f>+I21*7</f>
        <v>0</v>
      </c>
      <c r="J22" s="44">
        <f>(J21*1.1167)</f>
        <v>37045.4058</v>
      </c>
      <c r="K22" s="47">
        <f>(K21*1.1167)</f>
        <v>11135.8340197</v>
      </c>
      <c r="L22" s="48">
        <f>(L21*1.1167)</f>
        <v>404463.15649999998</v>
      </c>
      <c r="M22" s="49"/>
      <c r="N22" s="49"/>
      <c r="O22" s="49"/>
      <c r="P22" s="49"/>
      <c r="Q22" s="49"/>
      <c r="R22" s="49"/>
      <c r="S22" s="49"/>
      <c r="T22" s="49"/>
      <c r="U22" s="49"/>
      <c r="V22" s="50" t="s">
        <v>35</v>
      </c>
      <c r="W22" s="43">
        <f>+D48+D49+D50+D51-W21</f>
        <v>0</v>
      </c>
      <c r="X22" s="43">
        <f>+D47-X21</f>
        <v>0</v>
      </c>
    </row>
    <row r="23" spans="1:24" x14ac:dyDescent="0.25">
      <c r="A23" s="27"/>
      <c r="B23" s="43"/>
      <c r="C23" s="43"/>
      <c r="D23" s="43"/>
      <c r="E23" s="43"/>
      <c r="F23" s="46"/>
      <c r="G23" s="43"/>
      <c r="H23" s="43"/>
      <c r="I23" s="43"/>
      <c r="J23" s="44"/>
      <c r="K23" s="47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50"/>
      <c r="W23" s="43"/>
      <c r="X23" s="43"/>
    </row>
    <row r="24" spans="1:24" x14ac:dyDescent="0.25">
      <c r="A24" s="22" t="s">
        <v>26</v>
      </c>
      <c r="B24" s="22" t="s">
        <v>27</v>
      </c>
      <c r="C24" s="22" t="s">
        <v>28</v>
      </c>
      <c r="D24" s="22" t="s">
        <v>29</v>
      </c>
      <c r="E24" s="22" t="s">
        <v>27</v>
      </c>
      <c r="F24" s="22" t="s">
        <v>30</v>
      </c>
      <c r="G24" s="22" t="s">
        <v>28</v>
      </c>
      <c r="H24" s="22" t="s">
        <v>29</v>
      </c>
      <c r="I24" s="22" t="s">
        <v>31</v>
      </c>
      <c r="J24" s="23" t="s">
        <v>32</v>
      </c>
      <c r="K24" s="24" t="s">
        <v>32</v>
      </c>
      <c r="L24" s="25" t="s">
        <v>32</v>
      </c>
      <c r="M24" s="22" t="s">
        <v>33</v>
      </c>
      <c r="N24" s="22" t="s">
        <v>33</v>
      </c>
      <c r="O24" s="22" t="s">
        <v>33</v>
      </c>
      <c r="P24" s="22" t="s">
        <v>33</v>
      </c>
      <c r="Q24" s="22" t="s">
        <v>33</v>
      </c>
      <c r="R24" s="22" t="s">
        <v>33</v>
      </c>
      <c r="S24" s="22" t="s">
        <v>33</v>
      </c>
      <c r="T24" s="22" t="s">
        <v>33</v>
      </c>
      <c r="U24" s="26"/>
      <c r="V24" s="22" t="s">
        <v>26</v>
      </c>
      <c r="W24" s="22" t="s">
        <v>11</v>
      </c>
      <c r="X24" s="22" t="s">
        <v>34</v>
      </c>
    </row>
    <row r="25" spans="1:24" x14ac:dyDescent="0.25">
      <c r="A25" s="27">
        <v>44607</v>
      </c>
      <c r="B25" s="28">
        <v>188</v>
      </c>
      <c r="C25" s="28"/>
      <c r="D25" s="28"/>
      <c r="E25" s="28">
        <v>6</v>
      </c>
      <c r="F25" s="29">
        <v>289</v>
      </c>
      <c r="G25" s="28"/>
      <c r="H25" s="28">
        <v>140</v>
      </c>
      <c r="I25" s="28"/>
      <c r="J25" s="13">
        <v>5425</v>
      </c>
      <c r="K25" s="34">
        <v>312.43099999999998</v>
      </c>
      <c r="L25" s="28">
        <v>42811</v>
      </c>
      <c r="M25" s="30">
        <v>13150.76</v>
      </c>
      <c r="N25" s="30">
        <v>3970.46</v>
      </c>
      <c r="O25" s="30">
        <v>71473.539999999994</v>
      </c>
      <c r="P25" s="33">
        <v>185.52</v>
      </c>
      <c r="Q25" s="30">
        <v>45</v>
      </c>
      <c r="R25" s="30">
        <v>37.799999999999997</v>
      </c>
      <c r="S25" s="30">
        <v>679.79</v>
      </c>
      <c r="T25" s="32">
        <f t="shared" ref="T25:T38" si="5">+B25*46.38+C25*27.83+D25*0.4638+E25*144+F25*24+G25*86.5+H25*1.44+I25*18.55+J25*0.52+K25*1.3+L25*1.59-M25-N25-O25-P25+Q25+R25+S25</f>
        <v>3.0000000720065145E-4</v>
      </c>
      <c r="U25" s="51"/>
      <c r="V25" s="27">
        <f>+A25</f>
        <v>44607</v>
      </c>
      <c r="W25" s="28">
        <f t="shared" ref="W25:W35" si="6">SUM(E25*100+F25*20+G25*60+H25+I25*7+K25*1.1167+L25*1.1167)</f>
        <v>54675.935397699999</v>
      </c>
      <c r="X25" s="28">
        <f t="shared" ref="X25:X35" si="7">SUM(B25*100+C25*60+D25+J25*1.1167)</f>
        <v>24858.0975</v>
      </c>
    </row>
    <row r="26" spans="1:24" x14ac:dyDescent="0.25">
      <c r="A26" s="27">
        <v>44608</v>
      </c>
      <c r="B26" s="28">
        <v>290</v>
      </c>
      <c r="C26" s="28"/>
      <c r="D26" s="28"/>
      <c r="E26" s="28">
        <v>10</v>
      </c>
      <c r="F26" s="29">
        <v>312</v>
      </c>
      <c r="G26" s="28">
        <v>2</v>
      </c>
      <c r="H26" s="28">
        <v>70</v>
      </c>
      <c r="I26" s="28"/>
      <c r="J26" s="13">
        <v>5459</v>
      </c>
      <c r="K26" s="34">
        <v>1099.5309999999999</v>
      </c>
      <c r="L26" s="52">
        <v>35803</v>
      </c>
      <c r="M26" s="30">
        <v>17805.79</v>
      </c>
      <c r="N26" s="30">
        <v>6571.5</v>
      </c>
      <c r="O26" s="30">
        <v>61516.800000000003</v>
      </c>
      <c r="P26" s="31">
        <v>123.44</v>
      </c>
      <c r="Q26" s="30">
        <v>1205</v>
      </c>
      <c r="R26" s="30">
        <v>58.8</v>
      </c>
      <c r="S26" s="30">
        <v>906.89</v>
      </c>
      <c r="T26" s="32">
        <f t="shared" si="5"/>
        <v>2.9999999958363333E-4</v>
      </c>
      <c r="U26" s="30"/>
      <c r="V26" s="27">
        <f t="shared" ref="V26:V38" si="8">+A26</f>
        <v>44608</v>
      </c>
      <c r="W26" s="28">
        <f t="shared" si="6"/>
        <v>48639.056367700003</v>
      </c>
      <c r="X26" s="28">
        <f t="shared" si="7"/>
        <v>35096.065300000002</v>
      </c>
    </row>
    <row r="27" spans="1:24" x14ac:dyDescent="0.25">
      <c r="A27" s="27">
        <v>44609</v>
      </c>
      <c r="B27" s="28">
        <v>188</v>
      </c>
      <c r="C27" s="28"/>
      <c r="D27" s="28"/>
      <c r="E27" s="28">
        <v>20</v>
      </c>
      <c r="F27" s="29">
        <v>293</v>
      </c>
      <c r="G27" s="28"/>
      <c r="H27" s="28">
        <v>15</v>
      </c>
      <c r="I27" s="28"/>
      <c r="J27" s="13">
        <v>3809</v>
      </c>
      <c r="K27" s="34">
        <v>1296.145</v>
      </c>
      <c r="L27" s="52">
        <v>32097</v>
      </c>
      <c r="M27" s="30">
        <v>17683.759999999998</v>
      </c>
      <c r="N27" s="30">
        <v>3252.28</v>
      </c>
      <c r="O27" s="30">
        <v>54526.28</v>
      </c>
      <c r="P27" s="31">
        <v>185.52</v>
      </c>
      <c r="Q27" s="30">
        <v>525</v>
      </c>
      <c r="R27" s="30">
        <v>46.2</v>
      </c>
      <c r="S27" s="30">
        <v>1723.71</v>
      </c>
      <c r="T27" s="32">
        <f t="shared" si="5"/>
        <v>8.500000011508746E-3</v>
      </c>
      <c r="U27" s="30"/>
      <c r="V27" s="27">
        <f t="shared" si="8"/>
        <v>44609</v>
      </c>
      <c r="W27" s="28">
        <f t="shared" si="6"/>
        <v>45165.125021500004</v>
      </c>
      <c r="X27" s="28">
        <f t="shared" si="7"/>
        <v>23053.510300000002</v>
      </c>
    </row>
    <row r="28" spans="1:24" x14ac:dyDescent="0.25">
      <c r="A28" s="27">
        <v>44610</v>
      </c>
      <c r="B28" s="28">
        <v>220</v>
      </c>
      <c r="C28" s="28"/>
      <c r="D28" s="28">
        <v>20</v>
      </c>
      <c r="E28" s="28">
        <v>26</v>
      </c>
      <c r="F28" s="29">
        <v>348</v>
      </c>
      <c r="G28" s="28"/>
      <c r="H28" s="28">
        <v>75</v>
      </c>
      <c r="I28" s="28"/>
      <c r="J28" s="13">
        <v>3083</v>
      </c>
      <c r="K28" s="6">
        <v>842.66700000000003</v>
      </c>
      <c r="L28" s="52">
        <v>36486</v>
      </c>
      <c r="M28" s="30">
        <v>18023.490000000002</v>
      </c>
      <c r="N28" s="30">
        <v>5126.7</v>
      </c>
      <c r="O28" s="30">
        <v>61653.68</v>
      </c>
      <c r="P28" s="33">
        <v>202.56</v>
      </c>
      <c r="Q28" s="30">
        <v>1055</v>
      </c>
      <c r="R28" s="30">
        <v>37.799999999999997</v>
      </c>
      <c r="S28" s="30">
        <v>785.38</v>
      </c>
      <c r="T28" s="32">
        <f t="shared" si="5"/>
        <v>-6.899999995653161E-3</v>
      </c>
      <c r="U28" s="30"/>
      <c r="V28" s="27">
        <f t="shared" si="8"/>
        <v>44610</v>
      </c>
      <c r="W28" s="28">
        <f t="shared" si="6"/>
        <v>51319.922438900001</v>
      </c>
      <c r="X28" s="28">
        <f t="shared" si="7"/>
        <v>25462.786100000001</v>
      </c>
    </row>
    <row r="29" spans="1:24" x14ac:dyDescent="0.25">
      <c r="A29" s="27">
        <v>44611</v>
      </c>
      <c r="B29" s="28">
        <v>58</v>
      </c>
      <c r="C29" s="28"/>
      <c r="D29" s="28"/>
      <c r="E29" s="28">
        <v>2</v>
      </c>
      <c r="F29" s="29">
        <v>427</v>
      </c>
      <c r="G29" s="28"/>
      <c r="H29" s="28">
        <v>70</v>
      </c>
      <c r="I29" s="28"/>
      <c r="J29" s="13"/>
      <c r="K29" s="34">
        <v>354.875</v>
      </c>
      <c r="L29" s="52"/>
      <c r="M29" s="30">
        <v>13921.58</v>
      </c>
      <c r="N29" s="30"/>
      <c r="O29" s="30">
        <v>366.68</v>
      </c>
      <c r="P29" s="33"/>
      <c r="Q29" s="30">
        <v>25</v>
      </c>
      <c r="R29" s="30"/>
      <c r="S29" s="30">
        <v>475.08</v>
      </c>
      <c r="T29" s="32">
        <f t="shared" si="5"/>
        <v>-2.5000000001682565E-3</v>
      </c>
      <c r="U29" s="30"/>
      <c r="V29" s="27">
        <f t="shared" si="8"/>
        <v>44611</v>
      </c>
      <c r="W29" s="28">
        <f t="shared" si="6"/>
        <v>9206.2889125000002</v>
      </c>
      <c r="X29" s="28">
        <f t="shared" si="7"/>
        <v>5800</v>
      </c>
    </row>
    <row r="30" spans="1:24" x14ac:dyDescent="0.25">
      <c r="A30" s="27">
        <v>44613</v>
      </c>
      <c r="B30" s="28">
        <v>190</v>
      </c>
      <c r="C30" s="28"/>
      <c r="D30" s="28"/>
      <c r="E30" s="28">
        <v>10</v>
      </c>
      <c r="F30" s="29">
        <v>373</v>
      </c>
      <c r="G30" s="28"/>
      <c r="H30" s="28">
        <v>50</v>
      </c>
      <c r="I30" s="28">
        <v>1</v>
      </c>
      <c r="J30" s="13"/>
      <c r="K30" s="34">
        <v>1028.2639999999999</v>
      </c>
      <c r="L30" s="52">
        <v>43771</v>
      </c>
      <c r="M30" s="30">
        <v>24106.400000000001</v>
      </c>
      <c r="N30" s="30">
        <v>3962.31</v>
      </c>
      <c r="O30" s="30">
        <v>70757.3</v>
      </c>
      <c r="P30" s="33">
        <v>92.76</v>
      </c>
      <c r="Q30" s="30">
        <v>920</v>
      </c>
      <c r="R30" s="30"/>
      <c r="S30" s="30">
        <v>7771.39</v>
      </c>
      <c r="T30" s="32">
        <f t="shared" si="5"/>
        <v>3.1999999873733032E-3</v>
      </c>
      <c r="U30" s="30"/>
      <c r="V30" s="27">
        <f t="shared" si="8"/>
        <v>44613</v>
      </c>
      <c r="W30" s="28">
        <f t="shared" si="6"/>
        <v>58544.338108800002</v>
      </c>
      <c r="X30" s="28">
        <f t="shared" si="7"/>
        <v>19000</v>
      </c>
    </row>
    <row r="31" spans="1:24" x14ac:dyDescent="0.25">
      <c r="A31" s="27">
        <v>44614</v>
      </c>
      <c r="B31" s="28">
        <v>170</v>
      </c>
      <c r="C31" s="28"/>
      <c r="D31" s="28"/>
      <c r="E31" s="28">
        <v>18</v>
      </c>
      <c r="F31" s="29">
        <v>296</v>
      </c>
      <c r="G31" s="28">
        <v>3</v>
      </c>
      <c r="H31" s="28">
        <v>70</v>
      </c>
      <c r="I31" s="28"/>
      <c r="J31" s="13">
        <v>4950</v>
      </c>
      <c r="K31" s="34">
        <v>982.46299999999997</v>
      </c>
      <c r="L31" s="52">
        <v>45199</v>
      </c>
      <c r="M31" s="30">
        <v>15904.57</v>
      </c>
      <c r="N31" s="30">
        <v>4166.47</v>
      </c>
      <c r="O31" s="30">
        <v>75451.55</v>
      </c>
      <c r="P31" s="33">
        <v>486.99</v>
      </c>
      <c r="Q31" s="30">
        <v>915</v>
      </c>
      <c r="R31" s="30">
        <v>39.9</v>
      </c>
      <c r="S31" s="30">
        <v>1396.16</v>
      </c>
      <c r="T31" s="32">
        <f t="shared" si="5"/>
        <v>-8.099999998421481E-3</v>
      </c>
      <c r="U31" s="30"/>
      <c r="V31" s="27">
        <f t="shared" si="8"/>
        <v>44614</v>
      </c>
      <c r="W31" s="28">
        <f t="shared" si="6"/>
        <v>59540.839732099994</v>
      </c>
      <c r="X31" s="28">
        <f t="shared" si="7"/>
        <v>22527.665000000001</v>
      </c>
    </row>
    <row r="32" spans="1:24" x14ac:dyDescent="0.25">
      <c r="A32" s="27">
        <v>44615</v>
      </c>
      <c r="B32" s="28">
        <v>228</v>
      </c>
      <c r="C32" s="28"/>
      <c r="D32" s="28"/>
      <c r="E32" s="28">
        <v>12</v>
      </c>
      <c r="F32" s="29">
        <v>330</v>
      </c>
      <c r="G32" s="28"/>
      <c r="H32" s="28">
        <v>65</v>
      </c>
      <c r="I32" s="28"/>
      <c r="J32" s="13">
        <v>2713</v>
      </c>
      <c r="K32" s="34">
        <v>735.93</v>
      </c>
      <c r="L32" s="52">
        <v>40466</v>
      </c>
      <c r="M32" s="30">
        <v>19080.89</v>
      </c>
      <c r="N32" s="30">
        <v>4892.54</v>
      </c>
      <c r="O32" s="30">
        <v>67493.759999999995</v>
      </c>
      <c r="P32" s="33">
        <v>195.16</v>
      </c>
      <c r="Q32" s="30">
        <v>850</v>
      </c>
      <c r="R32" s="30">
        <v>48.3</v>
      </c>
      <c r="S32" s="30">
        <v>3739.41</v>
      </c>
      <c r="T32" s="32">
        <f t="shared" si="5"/>
        <v>9.0000000100189936E-3</v>
      </c>
      <c r="U32" s="30"/>
      <c r="V32" s="27">
        <f t="shared" si="8"/>
        <v>44615</v>
      </c>
      <c r="W32" s="28">
        <f t="shared" si="6"/>
        <v>53875.195230999998</v>
      </c>
      <c r="X32" s="28">
        <f t="shared" si="7"/>
        <v>25829.607100000001</v>
      </c>
    </row>
    <row r="33" spans="1:24" x14ac:dyDescent="0.25">
      <c r="A33" s="27">
        <v>44616</v>
      </c>
      <c r="B33" s="28">
        <v>229</v>
      </c>
      <c r="C33" s="28"/>
      <c r="D33" s="28"/>
      <c r="E33" s="28">
        <v>15</v>
      </c>
      <c r="F33" s="29">
        <v>376</v>
      </c>
      <c r="G33" s="28"/>
      <c r="H33" s="28"/>
      <c r="I33" s="28">
        <v>4</v>
      </c>
      <c r="J33" s="13">
        <v>3872</v>
      </c>
      <c r="K33" s="34">
        <v>880.38199999999995</v>
      </c>
      <c r="L33" s="52">
        <v>35723</v>
      </c>
      <c r="M33" s="30">
        <v>21812.31</v>
      </c>
      <c r="N33" s="30">
        <v>3961.16</v>
      </c>
      <c r="O33" s="30">
        <v>59740.12</v>
      </c>
      <c r="P33" s="33">
        <v>156.27000000000001</v>
      </c>
      <c r="Q33" s="30">
        <v>440</v>
      </c>
      <c r="R33" s="30">
        <v>48.3</v>
      </c>
      <c r="S33" s="30">
        <v>3344.84</v>
      </c>
      <c r="T33" s="32">
        <f t="shared" si="5"/>
        <v>6.5999999910673068E-3</v>
      </c>
      <c r="U33" s="30"/>
      <c r="V33" s="27">
        <f t="shared" si="8"/>
        <v>44616</v>
      </c>
      <c r="W33" s="28">
        <f t="shared" si="6"/>
        <v>49922.996679399999</v>
      </c>
      <c r="X33" s="28">
        <f t="shared" si="7"/>
        <v>27223.862399999998</v>
      </c>
    </row>
    <row r="34" spans="1:24" x14ac:dyDescent="0.25">
      <c r="A34" s="27">
        <v>44617</v>
      </c>
      <c r="B34" s="28">
        <v>263</v>
      </c>
      <c r="C34" s="28"/>
      <c r="D34" s="28"/>
      <c r="E34" s="28">
        <v>25</v>
      </c>
      <c r="F34" s="29">
        <v>431</v>
      </c>
      <c r="G34" s="28"/>
      <c r="H34" s="28">
        <v>40</v>
      </c>
      <c r="I34" s="28"/>
      <c r="J34" s="13">
        <v>3535</v>
      </c>
      <c r="K34" s="34">
        <v>725.92700000000002</v>
      </c>
      <c r="L34" s="52">
        <v>37368</v>
      </c>
      <c r="M34" s="30">
        <v>21731.47</v>
      </c>
      <c r="N34" s="30">
        <v>4862.96</v>
      </c>
      <c r="O34" s="30">
        <v>62931.199999999997</v>
      </c>
      <c r="P34" s="33">
        <v>46.38</v>
      </c>
      <c r="Q34" s="30">
        <v>290</v>
      </c>
      <c r="R34" s="30">
        <v>33.6</v>
      </c>
      <c r="S34" s="30">
        <v>851.84</v>
      </c>
      <c r="T34" s="32">
        <f t="shared" si="5"/>
        <v>-4.8999999903571734E-3</v>
      </c>
      <c r="U34" s="30"/>
      <c r="V34" s="27">
        <f t="shared" si="8"/>
        <v>44617</v>
      </c>
      <c r="W34" s="28">
        <f t="shared" si="6"/>
        <v>53699.488280899997</v>
      </c>
      <c r="X34" s="28">
        <f t="shared" si="7"/>
        <v>30247.534500000002</v>
      </c>
    </row>
    <row r="35" spans="1:24" x14ac:dyDescent="0.25">
      <c r="A35" s="27">
        <v>44618</v>
      </c>
      <c r="B35" s="28">
        <v>86</v>
      </c>
      <c r="C35" s="28"/>
      <c r="D35" s="28"/>
      <c r="E35" s="28">
        <v>1</v>
      </c>
      <c r="F35" s="29">
        <v>488</v>
      </c>
      <c r="G35" s="28"/>
      <c r="H35" s="28">
        <v>105</v>
      </c>
      <c r="I35" s="28"/>
      <c r="J35" s="13"/>
      <c r="K35" s="34">
        <v>179.82499999999999</v>
      </c>
      <c r="L35" s="52"/>
      <c r="M35" s="30">
        <v>18254.71</v>
      </c>
      <c r="N35" s="30"/>
      <c r="O35" s="30"/>
      <c r="P35" s="33"/>
      <c r="Q35" s="30">
        <v>5</v>
      </c>
      <c r="R35" s="30"/>
      <c r="S35" s="30">
        <v>2020.06</v>
      </c>
      <c r="T35" s="32">
        <f t="shared" si="5"/>
        <v>2.5000000009640644E-3</v>
      </c>
      <c r="U35" s="30"/>
      <c r="V35" s="27">
        <f t="shared" si="8"/>
        <v>44618</v>
      </c>
      <c r="W35" s="28">
        <f t="shared" si="6"/>
        <v>10165.8105775</v>
      </c>
      <c r="X35" s="28">
        <f t="shared" si="7"/>
        <v>8600</v>
      </c>
    </row>
    <row r="36" spans="1:24" x14ac:dyDescent="0.25">
      <c r="A36" s="27">
        <v>44620</v>
      </c>
      <c r="B36" s="28"/>
      <c r="C36" s="28"/>
      <c r="D36" s="28"/>
      <c r="E36" s="28"/>
      <c r="F36" s="29"/>
      <c r="G36" s="28"/>
      <c r="H36" s="28"/>
      <c r="I36" s="28"/>
      <c r="J36" s="13">
        <v>734</v>
      </c>
      <c r="K36" s="34"/>
      <c r="L36" s="52">
        <v>41442</v>
      </c>
      <c r="M36" s="30"/>
      <c r="N36" s="30"/>
      <c r="O36" s="30">
        <v>66259.86</v>
      </c>
      <c r="P36" s="33">
        <v>20.9</v>
      </c>
      <c r="Q36" s="30"/>
      <c r="R36" s="30">
        <v>6.3</v>
      </c>
      <c r="S36" s="30"/>
      <c r="T36" s="32">
        <f t="shared" si="5"/>
        <v>-8.7299056872325309E-12</v>
      </c>
      <c r="U36" s="30"/>
      <c r="V36" s="27">
        <f t="shared" si="8"/>
        <v>44620</v>
      </c>
      <c r="W36" s="28">
        <f>SUM(E36*100+F36*20+G36*60+H36+I36*7+K36*1.1167+L36*1.1167)</f>
        <v>46278.2814</v>
      </c>
      <c r="X36" s="28">
        <f>SUM(B36*100+C36*60+D36+J36*1.1167)</f>
        <v>819.65780000000007</v>
      </c>
    </row>
    <row r="37" spans="1:24" x14ac:dyDescent="0.25">
      <c r="A37" s="27"/>
      <c r="B37" s="28"/>
      <c r="C37" s="28"/>
      <c r="D37" s="28"/>
      <c r="E37" s="28"/>
      <c r="F37" s="29"/>
      <c r="G37" s="28"/>
      <c r="H37" s="28"/>
      <c r="I37" s="28"/>
      <c r="J37" s="13"/>
      <c r="K37" s="34"/>
      <c r="L37" s="52"/>
      <c r="M37" s="30"/>
      <c r="N37" s="30"/>
      <c r="O37" s="30"/>
      <c r="P37" s="33"/>
      <c r="Q37" s="30"/>
      <c r="R37" s="30"/>
      <c r="S37" s="30"/>
      <c r="T37" s="32">
        <f t="shared" si="5"/>
        <v>0</v>
      </c>
      <c r="U37" s="30"/>
      <c r="V37" s="27">
        <f t="shared" si="8"/>
        <v>0</v>
      </c>
      <c r="W37" s="28">
        <f>SUM(E37*100+F37*20+G37*60+H37+I37*7+K37*1.1167+L37*1.1167)</f>
        <v>0</v>
      </c>
      <c r="X37" s="28">
        <f>SUM(B37*100+C37*60+D37+J37*1.1167)</f>
        <v>0</v>
      </c>
    </row>
    <row r="38" spans="1:24" x14ac:dyDescent="0.25">
      <c r="A38" s="35"/>
      <c r="B38" s="36"/>
      <c r="C38" s="36"/>
      <c r="D38" s="36"/>
      <c r="E38" s="36"/>
      <c r="F38" s="37"/>
      <c r="G38" s="36"/>
      <c r="H38" s="36"/>
      <c r="I38" s="36"/>
      <c r="J38" s="38"/>
      <c r="K38" s="39"/>
      <c r="L38" s="53"/>
      <c r="M38" s="40"/>
      <c r="N38" s="40"/>
      <c r="O38" s="40"/>
      <c r="P38" s="54"/>
      <c r="Q38" s="40"/>
      <c r="R38" s="40"/>
      <c r="S38" s="40"/>
      <c r="T38" s="42">
        <f t="shared" si="5"/>
        <v>0</v>
      </c>
      <c r="U38" s="40"/>
      <c r="V38" s="35">
        <f t="shared" si="8"/>
        <v>0</v>
      </c>
      <c r="W38" s="36">
        <f>SUM(E38*100+F38*20+G38*60+H38+I38*7+K38*1.1167+L38*1.1167)</f>
        <v>0</v>
      </c>
      <c r="X38" s="36">
        <f>SUM(B38*100+C38*60+D38+J38*1.1167)</f>
        <v>0</v>
      </c>
    </row>
    <row r="39" spans="1:24" x14ac:dyDescent="0.25">
      <c r="A39" s="50" t="s">
        <v>36</v>
      </c>
      <c r="B39" s="43">
        <f>SUM(B25:B38)</f>
        <v>2110</v>
      </c>
      <c r="C39" s="43">
        <f t="shared" ref="C39:X39" si="9">SUM(C25:C38)</f>
        <v>0</v>
      </c>
      <c r="D39" s="43">
        <f t="shared" si="9"/>
        <v>20</v>
      </c>
      <c r="E39" s="43">
        <f t="shared" si="9"/>
        <v>145</v>
      </c>
      <c r="F39" s="43">
        <f t="shared" si="9"/>
        <v>3963</v>
      </c>
      <c r="G39" s="43">
        <f t="shared" si="9"/>
        <v>5</v>
      </c>
      <c r="H39" s="43">
        <f t="shared" si="9"/>
        <v>700</v>
      </c>
      <c r="I39" s="43">
        <f t="shared" si="9"/>
        <v>5</v>
      </c>
      <c r="J39" s="43">
        <f t="shared" si="9"/>
        <v>33580</v>
      </c>
      <c r="K39" s="43">
        <f t="shared" si="9"/>
        <v>8438.44</v>
      </c>
      <c r="L39" s="43">
        <f t="shared" si="9"/>
        <v>391166</v>
      </c>
      <c r="M39" s="43">
        <f t="shared" si="9"/>
        <v>201475.72999999998</v>
      </c>
      <c r="N39" s="43">
        <f t="shared" si="9"/>
        <v>40766.379999999997</v>
      </c>
      <c r="O39" s="43">
        <f t="shared" si="9"/>
        <v>652170.7699999999</v>
      </c>
      <c r="P39" s="43">
        <f t="shared" si="9"/>
        <v>1695.5000000000002</v>
      </c>
      <c r="Q39" s="43">
        <f t="shared" si="9"/>
        <v>6275</v>
      </c>
      <c r="R39" s="43">
        <f t="shared" si="9"/>
        <v>357.00000000000006</v>
      </c>
      <c r="S39" s="43">
        <f t="shared" si="9"/>
        <v>23694.550000000003</v>
      </c>
      <c r="T39" s="43">
        <f t="shared" si="9"/>
        <v>8.0000000143867211E-3</v>
      </c>
      <c r="U39" s="43"/>
      <c r="V39" s="43"/>
      <c r="W39" s="43">
        <f t="shared" si="9"/>
        <v>541033.27814800001</v>
      </c>
      <c r="X39" s="43">
        <f t="shared" si="9"/>
        <v>248518.78600000002</v>
      </c>
    </row>
    <row r="40" spans="1:24" x14ac:dyDescent="0.25">
      <c r="A40" s="55" t="s">
        <v>37</v>
      </c>
      <c r="B40" s="56">
        <f>(B39*100)</f>
        <v>211000</v>
      </c>
      <c r="C40" s="56">
        <f>(C39*60)</f>
        <v>0</v>
      </c>
      <c r="D40" s="56">
        <f>(D39)</f>
        <v>20</v>
      </c>
      <c r="E40" s="56">
        <f>(E39*100)</f>
        <v>14500</v>
      </c>
      <c r="F40" s="56">
        <f>(F39*20)</f>
        <v>79260</v>
      </c>
      <c r="G40" s="56">
        <f>(G39*60)</f>
        <v>300</v>
      </c>
      <c r="H40" s="56">
        <f>(H39)</f>
        <v>700</v>
      </c>
      <c r="I40" s="56">
        <f>+I39*7</f>
        <v>35</v>
      </c>
      <c r="J40" s="57">
        <f>(J39*1.1167)</f>
        <v>37498.786</v>
      </c>
      <c r="K40" s="58">
        <f>(K39*1.1167)</f>
        <v>9423.2059480000007</v>
      </c>
      <c r="L40" s="59">
        <f>(L39*1.1167)</f>
        <v>436815.0722</v>
      </c>
      <c r="M40" s="60"/>
      <c r="N40" s="60"/>
      <c r="O40" s="60"/>
      <c r="P40" s="60"/>
      <c r="Q40" s="60"/>
      <c r="R40" s="60"/>
      <c r="S40" s="60"/>
      <c r="T40" s="60"/>
      <c r="U40" s="56"/>
      <c r="V40" s="61" t="s">
        <v>35</v>
      </c>
      <c r="W40" s="56">
        <f>+L48+L49+L50+L51-W39</f>
        <v>0</v>
      </c>
      <c r="X40" s="56">
        <f>+L47-X39</f>
        <v>0</v>
      </c>
    </row>
    <row r="41" spans="1:24" ht="26.25" x14ac:dyDescent="0.25">
      <c r="A41" s="62" t="s">
        <v>38</v>
      </c>
      <c r="B41" s="43">
        <f>(B21+B39)</f>
        <v>4656</v>
      </c>
      <c r="C41" s="43">
        <f t="shared" ref="C41:X41" si="10">(C21+C39)</f>
        <v>1</v>
      </c>
      <c r="D41" s="43">
        <f t="shared" si="10"/>
        <v>80</v>
      </c>
      <c r="E41" s="43">
        <f t="shared" si="10"/>
        <v>271</v>
      </c>
      <c r="F41" s="43">
        <f t="shared" si="10"/>
        <v>8333</v>
      </c>
      <c r="G41" s="43">
        <f t="shared" si="10"/>
        <v>9</v>
      </c>
      <c r="H41" s="43">
        <f t="shared" si="10"/>
        <v>1362</v>
      </c>
      <c r="I41" s="43">
        <f t="shared" si="10"/>
        <v>5</v>
      </c>
      <c r="J41" s="43">
        <f t="shared" si="10"/>
        <v>66754</v>
      </c>
      <c r="K41" s="45">
        <f t="shared" si="10"/>
        <v>18410.531000000003</v>
      </c>
      <c r="L41" s="43">
        <f t="shared" si="10"/>
        <v>753361</v>
      </c>
      <c r="M41" s="43">
        <f t="shared" si="10"/>
        <v>418368.43</v>
      </c>
      <c r="N41" s="43">
        <f t="shared" si="10"/>
        <v>90789.4</v>
      </c>
      <c r="O41" s="43">
        <f t="shared" si="10"/>
        <v>1262401.0699999998</v>
      </c>
      <c r="P41" s="43">
        <f t="shared" si="10"/>
        <v>4037.55</v>
      </c>
      <c r="Q41" s="43">
        <f t="shared" si="10"/>
        <v>13630</v>
      </c>
      <c r="R41" s="43">
        <f t="shared" si="10"/>
        <v>760.2</v>
      </c>
      <c r="S41" s="43">
        <f t="shared" si="10"/>
        <v>46857.73</v>
      </c>
      <c r="T41" s="43">
        <f t="shared" si="10"/>
        <v>-1.5699999935064657E-2</v>
      </c>
      <c r="U41" s="43"/>
      <c r="V41" s="43"/>
      <c r="W41" s="43">
        <f t="shared" si="10"/>
        <v>1057534.2686677</v>
      </c>
      <c r="X41" s="43">
        <f t="shared" si="10"/>
        <v>540284.19179999991</v>
      </c>
    </row>
    <row r="42" spans="1:24" x14ac:dyDescent="0.25">
      <c r="A42" s="55" t="s">
        <v>37</v>
      </c>
      <c r="B42" s="56">
        <f>(B41*100)</f>
        <v>465600</v>
      </c>
      <c r="C42" s="56">
        <f>(C41*60)</f>
        <v>60</v>
      </c>
      <c r="D42" s="56">
        <f>(D41)</f>
        <v>80</v>
      </c>
      <c r="E42" s="56">
        <f>(E41*100)</f>
        <v>27100</v>
      </c>
      <c r="F42" s="63">
        <f>(F41*20)</f>
        <v>166660</v>
      </c>
      <c r="G42" s="56">
        <f>(G41*60)</f>
        <v>540</v>
      </c>
      <c r="H42" s="56">
        <f>(H41)</f>
        <v>1362</v>
      </c>
      <c r="I42" s="56">
        <f>+I41*7</f>
        <v>35</v>
      </c>
      <c r="J42" s="57">
        <f>(J41*1.1167)</f>
        <v>74544.191800000001</v>
      </c>
      <c r="K42" s="58">
        <f>(K41*1.1167)</f>
        <v>20559.039967700002</v>
      </c>
      <c r="L42" s="59">
        <f>(L41*1.1167)</f>
        <v>841278.22869999998</v>
      </c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56">
        <f>+D56+D57+D58+D59-W41</f>
        <v>0</v>
      </c>
      <c r="X42" s="56">
        <f>+D55-X41</f>
        <v>0</v>
      </c>
    </row>
    <row r="43" spans="1:24" x14ac:dyDescent="0.25">
      <c r="A43" s="51"/>
      <c r="B43" s="51"/>
      <c r="C43" s="51"/>
      <c r="D43" s="51"/>
      <c r="E43" s="51"/>
      <c r="F43" s="64"/>
      <c r="G43" s="51"/>
      <c r="H43" s="51"/>
      <c r="I43" s="51"/>
      <c r="J43" s="13"/>
      <c r="K43" s="65"/>
      <c r="L43" s="66"/>
      <c r="M43" s="67"/>
      <c r="N43" s="67"/>
      <c r="O43" s="67"/>
      <c r="P43" s="67"/>
      <c r="Q43" s="67"/>
      <c r="R43" s="67"/>
      <c r="S43" s="67"/>
      <c r="T43" s="67"/>
      <c r="U43" s="1"/>
      <c r="V43" s="1"/>
      <c r="W43" s="1"/>
      <c r="X43" s="1"/>
    </row>
    <row r="44" spans="1:24" x14ac:dyDescent="0.25">
      <c r="A44" s="51"/>
      <c r="B44" s="51"/>
      <c r="C44" s="51"/>
      <c r="D44" s="51"/>
      <c r="E44" s="51"/>
      <c r="F44" s="64"/>
      <c r="G44" s="51"/>
      <c r="H44" s="51"/>
      <c r="I44" s="51"/>
      <c r="J44" s="13"/>
      <c r="K44" s="65"/>
      <c r="L44" s="66"/>
      <c r="M44" s="67"/>
      <c r="N44" s="67"/>
      <c r="O44" s="67"/>
      <c r="P44" s="67"/>
      <c r="Q44" s="67"/>
      <c r="R44" s="67"/>
      <c r="S44" s="67"/>
      <c r="T44" s="67"/>
      <c r="U44" s="1"/>
      <c r="V44" s="1"/>
      <c r="W44" s="1"/>
      <c r="X44" s="1"/>
    </row>
    <row r="45" spans="1:24" x14ac:dyDescent="0.25">
      <c r="A45" s="51"/>
      <c r="B45" s="51"/>
      <c r="C45" s="51"/>
      <c r="D45" s="51"/>
      <c r="E45" s="51"/>
      <c r="F45" s="64"/>
      <c r="G45" s="51"/>
      <c r="H45" s="51"/>
      <c r="I45" s="51"/>
      <c r="J45" s="13"/>
      <c r="K45" s="65"/>
      <c r="L45" s="66"/>
      <c r="M45" s="67"/>
      <c r="N45" s="67"/>
      <c r="O45" s="67"/>
      <c r="P45" s="67"/>
      <c r="Q45" s="67"/>
      <c r="R45" s="67"/>
      <c r="S45" s="67"/>
      <c r="T45" s="67"/>
      <c r="U45" s="1"/>
      <c r="V45" s="1"/>
      <c r="W45" s="1"/>
      <c r="X45" s="1"/>
    </row>
    <row r="46" spans="1:24" x14ac:dyDescent="0.25">
      <c r="A46" s="27"/>
      <c r="B46" s="68" t="s">
        <v>39</v>
      </c>
      <c r="C46" s="56"/>
      <c r="D46" s="56"/>
      <c r="E46" s="56"/>
      <c r="F46" s="43"/>
      <c r="G46" s="43"/>
      <c r="H46" s="43"/>
      <c r="I46" s="43"/>
      <c r="J46" s="57" t="s">
        <v>40</v>
      </c>
      <c r="K46" s="58"/>
      <c r="L46" s="59"/>
      <c r="M46" s="60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27"/>
      <c r="B47" s="69" t="s">
        <v>41</v>
      </c>
      <c r="C47" s="43"/>
      <c r="D47" s="43">
        <f>SUM(B22:D22)+J22</f>
        <v>291765.40580000001</v>
      </c>
      <c r="E47" s="70" t="s">
        <v>42</v>
      </c>
      <c r="F47" s="70"/>
      <c r="G47" s="43"/>
      <c r="H47" s="43"/>
      <c r="I47" s="43"/>
      <c r="J47" s="44" t="s">
        <v>41</v>
      </c>
      <c r="K47" s="47"/>
      <c r="L47" s="48">
        <f>SUM(B40:D40)+J40</f>
        <v>248518.78599999999</v>
      </c>
      <c r="M47" s="2" t="s">
        <v>42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27"/>
      <c r="B48" s="69" t="s">
        <v>43</v>
      </c>
      <c r="C48" s="43"/>
      <c r="D48" s="43">
        <f>F22</f>
        <v>87400</v>
      </c>
      <c r="E48" s="70" t="s">
        <v>42</v>
      </c>
      <c r="F48" s="70"/>
      <c r="G48" s="43"/>
      <c r="H48" s="43"/>
      <c r="I48" s="43"/>
      <c r="J48" s="71" t="s">
        <v>43</v>
      </c>
      <c r="K48" s="47"/>
      <c r="L48" s="48">
        <f>F40</f>
        <v>79260</v>
      </c>
      <c r="M48" s="2" t="s">
        <v>42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27"/>
      <c r="B49" s="69" t="s">
        <v>44</v>
      </c>
      <c r="C49" s="43"/>
      <c r="D49" s="43">
        <f>SUM(E22,G22,H22,I22)</f>
        <v>13502</v>
      </c>
      <c r="E49" s="70" t="s">
        <v>42</v>
      </c>
      <c r="F49" s="70"/>
      <c r="G49" s="43"/>
      <c r="H49" s="43"/>
      <c r="I49" s="43"/>
      <c r="J49" s="44" t="s">
        <v>44</v>
      </c>
      <c r="K49" s="47"/>
      <c r="L49" s="48">
        <f>SUM(E40:I40)-F40</f>
        <v>15535</v>
      </c>
      <c r="M49" s="2" t="s">
        <v>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27"/>
      <c r="B50" s="69" t="s">
        <v>45</v>
      </c>
      <c r="C50" s="43"/>
      <c r="D50" s="43">
        <f>+K22</f>
        <v>11135.8340197</v>
      </c>
      <c r="E50" s="70" t="s">
        <v>42</v>
      </c>
      <c r="F50" s="70"/>
      <c r="G50" s="43"/>
      <c r="H50" s="43"/>
      <c r="I50" s="43"/>
      <c r="J50" s="71" t="s">
        <v>45</v>
      </c>
      <c r="K50" s="47"/>
      <c r="L50" s="48">
        <f>+K40</f>
        <v>9423.2059480000007</v>
      </c>
      <c r="M50" s="2" t="s">
        <v>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27"/>
      <c r="B51" s="72" t="s">
        <v>46</v>
      </c>
      <c r="C51" s="56"/>
      <c r="D51" s="56">
        <f>+L22</f>
        <v>404463.15649999998</v>
      </c>
      <c r="E51" s="73" t="s">
        <v>42</v>
      </c>
      <c r="F51" s="73"/>
      <c r="G51" s="43"/>
      <c r="H51" s="43"/>
      <c r="I51" s="43"/>
      <c r="J51" s="57" t="s">
        <v>46</v>
      </c>
      <c r="K51" s="58"/>
      <c r="L51" s="59">
        <f>+L40</f>
        <v>436815.0722</v>
      </c>
      <c r="M51" s="74" t="s">
        <v>42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27"/>
      <c r="B52" s="69"/>
      <c r="C52" s="43"/>
      <c r="D52" s="43">
        <f>SUM(D47:D51)</f>
        <v>808266.39631969994</v>
      </c>
      <c r="E52" s="70" t="s">
        <v>42</v>
      </c>
      <c r="F52" s="70"/>
      <c r="G52" s="43"/>
      <c r="H52" s="43"/>
      <c r="I52" s="43"/>
      <c r="J52" s="75"/>
      <c r="K52" s="76"/>
      <c r="L52" s="77">
        <f>SUM(L47:L51)</f>
        <v>789552.06414799998</v>
      </c>
      <c r="M52" s="2" t="s">
        <v>42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27"/>
      <c r="B53" s="69"/>
      <c r="C53" s="43"/>
      <c r="D53" s="43"/>
      <c r="E53" s="70"/>
      <c r="F53" s="70"/>
      <c r="G53" s="43"/>
      <c r="H53" s="43"/>
      <c r="I53" s="43"/>
      <c r="J53" s="75"/>
      <c r="K53" s="76"/>
      <c r="L53" s="77"/>
      <c r="M53" s="2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thickBot="1" x14ac:dyDescent="0.3">
      <c r="A54" s="27"/>
      <c r="B54" s="78"/>
      <c r="C54" s="78"/>
      <c r="D54" s="79" t="s">
        <v>47</v>
      </c>
      <c r="E54" s="78"/>
      <c r="F54" s="78"/>
      <c r="G54" s="78"/>
      <c r="H54" s="78"/>
      <c r="I54" s="78"/>
      <c r="J54" s="80"/>
      <c r="K54" s="47"/>
      <c r="L54" s="48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81" t="s">
        <v>41</v>
      </c>
      <c r="C55" s="43"/>
      <c r="D55" s="43">
        <f>+D47+L47</f>
        <v>540284.19180000003</v>
      </c>
      <c r="E55" s="70" t="s">
        <v>42</v>
      </c>
      <c r="F55" s="70" t="s">
        <v>48</v>
      </c>
      <c r="G55" s="82">
        <f>D5</f>
        <v>0.46379999999999999</v>
      </c>
      <c r="H55" s="70" t="s">
        <v>33</v>
      </c>
      <c r="I55" s="70"/>
      <c r="J55" s="44">
        <f>D55*G55</f>
        <v>250583.80815684001</v>
      </c>
      <c r="K55" s="47">
        <f>+D55-X41</f>
        <v>0</v>
      </c>
      <c r="L55" s="48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69" t="s">
        <v>43</v>
      </c>
      <c r="C56" s="43"/>
      <c r="D56" s="43">
        <f>D48+L48</f>
        <v>166660</v>
      </c>
      <c r="E56" s="70" t="s">
        <v>42</v>
      </c>
      <c r="F56" s="70" t="s">
        <v>48</v>
      </c>
      <c r="G56" s="83">
        <f>F5/20</f>
        <v>1.2</v>
      </c>
      <c r="H56" s="70" t="s">
        <v>33</v>
      </c>
      <c r="I56" s="70"/>
      <c r="J56" s="44">
        <f>D56*G56</f>
        <v>199992</v>
      </c>
      <c r="K56" s="47">
        <f>+D56+D57+D58+D59-W41</f>
        <v>0</v>
      </c>
      <c r="L56" s="48"/>
      <c r="M56" s="4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27"/>
      <c r="B57" s="81" t="s">
        <v>44</v>
      </c>
      <c r="C57" s="43"/>
      <c r="D57" s="43">
        <f>+D49+L49</f>
        <v>29037</v>
      </c>
      <c r="E57" s="70" t="s">
        <v>42</v>
      </c>
      <c r="F57" s="70" t="s">
        <v>48</v>
      </c>
      <c r="G57" s="83">
        <f>E5/100</f>
        <v>1.44</v>
      </c>
      <c r="H57" s="70" t="s">
        <v>33</v>
      </c>
      <c r="I57" s="70"/>
      <c r="J57" s="75">
        <f>D57*G57</f>
        <v>41813.279999999999</v>
      </c>
      <c r="K57" s="47"/>
      <c r="L57" s="48"/>
      <c r="M57" s="4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27"/>
      <c r="B58" s="69" t="s">
        <v>45</v>
      </c>
      <c r="C58" s="43"/>
      <c r="D58" s="43">
        <f>+D50+L50</f>
        <v>20559.039967700002</v>
      </c>
      <c r="E58" s="70" t="s">
        <v>42</v>
      </c>
      <c r="F58" s="70" t="s">
        <v>48</v>
      </c>
      <c r="G58" s="83">
        <f>K5/1.1167</f>
        <v>1.1641443538998837</v>
      </c>
      <c r="H58" s="70" t="s">
        <v>33</v>
      </c>
      <c r="I58" s="70"/>
      <c r="J58" s="75">
        <f>+D58*G58</f>
        <v>23933.690300000006</v>
      </c>
      <c r="K58" s="47"/>
      <c r="L58" s="48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thickBot="1" x14ac:dyDescent="0.3">
      <c r="A59" s="27"/>
      <c r="B59" s="79" t="s">
        <v>46</v>
      </c>
      <c r="C59" s="78"/>
      <c r="D59" s="78">
        <f>+D51+L51</f>
        <v>841278.22869999998</v>
      </c>
      <c r="E59" s="84" t="s">
        <v>42</v>
      </c>
      <c r="F59" s="84" t="s">
        <v>48</v>
      </c>
      <c r="G59" s="85">
        <f>L5/1.1167</f>
        <v>1.4238380943852422</v>
      </c>
      <c r="H59" s="84" t="s">
        <v>33</v>
      </c>
      <c r="I59" s="84"/>
      <c r="J59" s="80">
        <f>D59*G59</f>
        <v>1197843.99</v>
      </c>
      <c r="K59" s="47"/>
      <c r="L59" s="48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27"/>
      <c r="B60" s="81"/>
      <c r="C60" s="43"/>
      <c r="D60" s="43">
        <f>SUM(D55:D59)</f>
        <v>1597818.4604676999</v>
      </c>
      <c r="E60" s="70"/>
      <c r="F60" s="70"/>
      <c r="G60" s="83"/>
      <c r="H60" s="70"/>
      <c r="I60" s="70"/>
      <c r="J60" s="75">
        <f>SUM(J55:J59)</f>
        <v>1714166.76845684</v>
      </c>
      <c r="K60" s="47"/>
      <c r="L60" s="48"/>
      <c r="M60" s="4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27"/>
      <c r="B61" s="81"/>
      <c r="C61" s="43"/>
      <c r="D61" s="43">
        <f>+D60-W41-X41</f>
        <v>0</v>
      </c>
      <c r="E61" s="70"/>
      <c r="F61" s="70"/>
      <c r="G61" s="83"/>
      <c r="H61" s="70"/>
      <c r="I61" s="70"/>
      <c r="J61" s="75"/>
      <c r="K61" s="47"/>
      <c r="L61" s="48"/>
      <c r="M61" s="4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J62" s="86"/>
    </row>
  </sheetData>
  <pageMargins left="0.17" right="0.17" top="0.49" bottom="0.32" header="0.3" footer="0.17"/>
  <pageSetup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35DF-BD9B-4A53-8676-B3C02049F1BC}">
  <dimension ref="A1:X70"/>
  <sheetViews>
    <sheetView topLeftCell="A4" workbookViewId="0">
      <selection activeCell="H17" sqref="H17"/>
    </sheetView>
  </sheetViews>
  <sheetFormatPr defaultRowHeight="15" x14ac:dyDescent="0.25"/>
  <cols>
    <col min="1" max="1" width="14" customWidth="1"/>
    <col min="2" max="2" width="10.42578125" customWidth="1"/>
    <col min="4" max="4" width="11.2851562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6.85546875" customWidth="1"/>
    <col min="10" max="10" width="13.5703125" customWidth="1"/>
    <col min="11" max="12" width="15.5703125" customWidth="1"/>
    <col min="13" max="13" width="16" customWidth="1"/>
    <col min="14" max="14" width="14.85546875" customWidth="1"/>
    <col min="15" max="15" width="16" customWidth="1"/>
    <col min="16" max="16" width="14" customWidth="1"/>
    <col min="17" max="17" width="13.85546875" customWidth="1"/>
    <col min="18" max="18" width="10.140625" customWidth="1"/>
    <col min="19" max="19" width="14" customWidth="1"/>
    <col min="20" max="20" width="9.710937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>
        <v>44621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144</v>
      </c>
      <c r="F5" s="18">
        <v>24</v>
      </c>
      <c r="G5" s="18">
        <v>86.5</v>
      </c>
      <c r="H5" s="87">
        <v>1.44</v>
      </c>
      <c r="I5" s="17">
        <v>18.55</v>
      </c>
      <c r="J5" s="88">
        <v>0.52</v>
      </c>
      <c r="K5" s="89">
        <v>1.45</v>
      </c>
      <c r="L5" s="90">
        <v>1.59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44621</v>
      </c>
      <c r="B7" s="28">
        <v>229</v>
      </c>
      <c r="C7" s="28"/>
      <c r="D7" s="28">
        <v>20</v>
      </c>
      <c r="E7" s="28">
        <v>13</v>
      </c>
      <c r="F7" s="29">
        <v>606</v>
      </c>
      <c r="G7" s="28">
        <v>3</v>
      </c>
      <c r="H7" s="28">
        <v>170</v>
      </c>
      <c r="I7" s="28"/>
      <c r="J7" s="13">
        <f>2388+116</f>
        <v>2504</v>
      </c>
      <c r="K7" s="6">
        <v>1384.087</v>
      </c>
      <c r="L7" s="28">
        <f>42818-116</f>
        <v>42702</v>
      </c>
      <c r="M7" s="30">
        <v>26758.66</v>
      </c>
      <c r="N7" s="30">
        <v>3803.43</v>
      </c>
      <c r="O7" s="30">
        <f>72170.11+116*0.52-116*1.59+2.1</f>
        <v>72048.090000000011</v>
      </c>
      <c r="P7" s="31">
        <v>282.95</v>
      </c>
      <c r="Q7" s="30">
        <v>1550</v>
      </c>
      <c r="R7" s="30">
        <f>37.8+2.1</f>
        <v>39.9</v>
      </c>
      <c r="S7" s="30">
        <v>2755.05</v>
      </c>
      <c r="T7" s="32">
        <f>+B7*46.38+C7*27.83+D7*0.4638+E7*144+F7*24+G7*86.5+H7*1.44+I7*18.55+J7*0.52+K7*1.3+L7*1.59-M7-N7-O7-P7+Q7+R7+S7</f>
        <v>-1.0899999993398524E-2</v>
      </c>
      <c r="U7" s="1"/>
      <c r="V7" s="27">
        <f>+A7</f>
        <v>44621</v>
      </c>
      <c r="W7" s="28">
        <f>SUM(E7*100+F7*20+G7*60+H7+I7*7+K7*1.1167+L7*1.1167)</f>
        <v>63000.9333529</v>
      </c>
      <c r="X7" s="28">
        <f t="shared" ref="X7:X11" si="0">SUM(B7*100+C7*60+D7+J7*1.1167)</f>
        <v>25716.216800000002</v>
      </c>
    </row>
    <row r="8" spans="1:24" x14ac:dyDescent="0.25">
      <c r="A8" s="27">
        <v>44622</v>
      </c>
      <c r="B8" s="28">
        <v>247</v>
      </c>
      <c r="C8" s="28"/>
      <c r="D8" s="28"/>
      <c r="E8" s="28">
        <v>19</v>
      </c>
      <c r="F8" s="29">
        <v>428</v>
      </c>
      <c r="G8" s="28"/>
      <c r="H8" s="28">
        <v>30</v>
      </c>
      <c r="I8" s="28"/>
      <c r="J8" s="13">
        <v>4871</v>
      </c>
      <c r="K8" s="6">
        <v>434.64100000000002</v>
      </c>
      <c r="L8" s="28">
        <v>38399</v>
      </c>
      <c r="M8" s="30">
        <v>20999.53</v>
      </c>
      <c r="N8" s="30">
        <v>5734.62</v>
      </c>
      <c r="O8" s="30">
        <v>65720.639999999999</v>
      </c>
      <c r="P8" s="31">
        <v>119.74</v>
      </c>
      <c r="Q8" s="30">
        <v>1335</v>
      </c>
      <c r="R8" s="30">
        <v>42</v>
      </c>
      <c r="S8" s="30">
        <v>2538.11</v>
      </c>
      <c r="T8" s="32">
        <f t="shared" ref="T8:T11" si="1">+B8*46.38+C8*27.83+D8*0.4638+E8*144+F8*24+G8*86.5+H8*1.44+I8*18.55+J8*0.52+K8*1.3+L8*1.59-M8-N8-O8-P8+Q8+R8+S8</f>
        <v>3.3000000089487003E-3</v>
      </c>
      <c r="U8" s="1"/>
      <c r="V8" s="27">
        <f t="shared" ref="V8:V11" si="2">+A8</f>
        <v>44622</v>
      </c>
      <c r="W8" s="28">
        <f t="shared" ref="W8:W11" si="3">SUM(E8*100+F8*20+G8*60+H8+I8*7+K8*1.1167+L8*1.1167)</f>
        <v>53855.526904700004</v>
      </c>
      <c r="X8" s="28">
        <f t="shared" si="0"/>
        <v>30139.4457</v>
      </c>
    </row>
    <row r="9" spans="1:24" x14ac:dyDescent="0.25">
      <c r="A9" s="27">
        <v>44623</v>
      </c>
      <c r="B9" s="28">
        <v>245</v>
      </c>
      <c r="C9" s="28"/>
      <c r="D9" s="28"/>
      <c r="E9" s="28">
        <v>11</v>
      </c>
      <c r="F9" s="29">
        <v>413</v>
      </c>
      <c r="G9" s="28"/>
      <c r="H9" s="28"/>
      <c r="I9" s="28"/>
      <c r="J9" s="13">
        <v>1969</v>
      </c>
      <c r="K9" s="6">
        <v>867.75900000000001</v>
      </c>
      <c r="L9" s="28">
        <v>32321</v>
      </c>
      <c r="M9" s="30">
        <v>23872.71</v>
      </c>
      <c r="N9" s="30">
        <v>3720.4</v>
      </c>
      <c r="O9" s="30">
        <v>53967.26</v>
      </c>
      <c r="P9" s="33">
        <v>185.52</v>
      </c>
      <c r="Q9" s="30">
        <v>415</v>
      </c>
      <c r="R9" s="30">
        <v>29.4</v>
      </c>
      <c r="S9" s="30">
        <v>4900.03</v>
      </c>
      <c r="T9" s="32">
        <f t="shared" si="1"/>
        <v>-3.3000000084939529E-3</v>
      </c>
      <c r="U9" s="1"/>
      <c r="V9" s="27">
        <f t="shared" si="2"/>
        <v>44623</v>
      </c>
      <c r="W9" s="28">
        <f t="shared" si="3"/>
        <v>46421.887175299998</v>
      </c>
      <c r="X9" s="28">
        <f t="shared" si="0"/>
        <v>26698.782299999999</v>
      </c>
    </row>
    <row r="10" spans="1:24" x14ac:dyDescent="0.25">
      <c r="A10" s="27">
        <v>44624</v>
      </c>
      <c r="B10" s="28">
        <v>252</v>
      </c>
      <c r="C10" s="28"/>
      <c r="D10" s="28">
        <v>40</v>
      </c>
      <c r="E10" s="28">
        <v>16</v>
      </c>
      <c r="F10" s="29">
        <v>433</v>
      </c>
      <c r="G10" s="28"/>
      <c r="H10" s="28">
        <v>30</v>
      </c>
      <c r="I10" s="28"/>
      <c r="J10" s="13">
        <v>3393</v>
      </c>
      <c r="K10" s="34">
        <v>1220.3119999999999</v>
      </c>
      <c r="L10" s="28">
        <v>38828</v>
      </c>
      <c r="M10" s="30">
        <v>22668.73</v>
      </c>
      <c r="N10" s="30">
        <v>5263.48</v>
      </c>
      <c r="O10" s="30">
        <v>65862.36</v>
      </c>
      <c r="P10" s="31">
        <v>205.9</v>
      </c>
      <c r="Q10" s="30">
        <v>305</v>
      </c>
      <c r="R10" s="30">
        <v>33.6</v>
      </c>
      <c r="S10" s="30">
        <v>4129.0600000000004</v>
      </c>
      <c r="T10" s="32">
        <f t="shared" si="1"/>
        <v>-1.2399999985973409E-2</v>
      </c>
      <c r="U10" s="1"/>
      <c r="V10" s="27">
        <f t="shared" si="2"/>
        <v>44624</v>
      </c>
      <c r="W10" s="28">
        <f t="shared" si="3"/>
        <v>55011.950010399996</v>
      </c>
      <c r="X10" s="28">
        <f t="shared" si="0"/>
        <v>29028.963100000001</v>
      </c>
    </row>
    <row r="11" spans="1:24" x14ac:dyDescent="0.25">
      <c r="A11" s="35">
        <v>44625</v>
      </c>
      <c r="B11" s="36">
        <v>88</v>
      </c>
      <c r="C11" s="36"/>
      <c r="D11" s="36">
        <v>20</v>
      </c>
      <c r="E11" s="36">
        <v>2</v>
      </c>
      <c r="F11" s="37">
        <v>371</v>
      </c>
      <c r="G11" s="36"/>
      <c r="H11" s="36">
        <v>95</v>
      </c>
      <c r="I11" s="36"/>
      <c r="J11" s="38"/>
      <c r="K11" s="39">
        <v>452.77300000000002</v>
      </c>
      <c r="L11" s="36"/>
      <c r="M11" s="40">
        <v>15123.03</v>
      </c>
      <c r="N11" s="40"/>
      <c r="O11" s="40">
        <v>98.54</v>
      </c>
      <c r="P11" s="41">
        <v>3.38</v>
      </c>
      <c r="Q11" s="40">
        <v>40</v>
      </c>
      <c r="R11" s="40"/>
      <c r="S11" s="40">
        <v>1176.83</v>
      </c>
      <c r="T11" s="42">
        <f t="shared" si="1"/>
        <v>8.9999999909196049E-4</v>
      </c>
      <c r="U11" s="16"/>
      <c r="V11" s="35">
        <f t="shared" si="2"/>
        <v>44625</v>
      </c>
      <c r="W11" s="36">
        <f t="shared" si="3"/>
        <v>8220.6116091000004</v>
      </c>
      <c r="X11" s="36">
        <f t="shared" si="0"/>
        <v>8820</v>
      </c>
    </row>
    <row r="12" spans="1:24" x14ac:dyDescent="0.25">
      <c r="A12" s="27"/>
      <c r="B12" s="43">
        <f t="shared" ref="B12:T12" si="4">SUM(B7:B11)</f>
        <v>1061</v>
      </c>
      <c r="C12" s="43">
        <f t="shared" si="4"/>
        <v>0</v>
      </c>
      <c r="D12" s="43">
        <f t="shared" si="4"/>
        <v>80</v>
      </c>
      <c r="E12" s="43">
        <f t="shared" si="4"/>
        <v>61</v>
      </c>
      <c r="F12" s="43">
        <f t="shared" si="4"/>
        <v>2251</v>
      </c>
      <c r="G12" s="43">
        <f t="shared" si="4"/>
        <v>3</v>
      </c>
      <c r="H12" s="43">
        <f t="shared" si="4"/>
        <v>325</v>
      </c>
      <c r="I12" s="43">
        <f t="shared" si="4"/>
        <v>0</v>
      </c>
      <c r="J12" s="43">
        <f t="shared" si="4"/>
        <v>12737</v>
      </c>
      <c r="K12" s="94">
        <f t="shared" si="4"/>
        <v>4359.5720000000001</v>
      </c>
      <c r="L12" s="43">
        <f t="shared" si="4"/>
        <v>152250</v>
      </c>
      <c r="M12" s="45">
        <f t="shared" si="4"/>
        <v>109422.65999999999</v>
      </c>
      <c r="N12" s="45">
        <f t="shared" si="4"/>
        <v>18521.93</v>
      </c>
      <c r="O12" s="45">
        <f t="shared" si="4"/>
        <v>257696.89000000004</v>
      </c>
      <c r="P12" s="45">
        <f t="shared" si="4"/>
        <v>797.49</v>
      </c>
      <c r="Q12" s="45">
        <f t="shared" si="4"/>
        <v>3645</v>
      </c>
      <c r="R12" s="45">
        <f t="shared" si="4"/>
        <v>144.9</v>
      </c>
      <c r="S12" s="45">
        <f t="shared" si="4"/>
        <v>15499.08</v>
      </c>
      <c r="T12" s="45">
        <f t="shared" si="4"/>
        <v>-2.2399999979825225E-2</v>
      </c>
      <c r="U12" s="43"/>
      <c r="V12" s="43"/>
      <c r="W12" s="43">
        <f>SUM(W7:W11)</f>
        <v>226510.90905239998</v>
      </c>
      <c r="X12" s="43">
        <f>SUM(X7:X11)</f>
        <v>120403.40789999999</v>
      </c>
    </row>
    <row r="13" spans="1:24" x14ac:dyDescent="0.25">
      <c r="A13" s="27"/>
      <c r="B13" s="43">
        <f>(B12*100)</f>
        <v>106100</v>
      </c>
      <c r="C13" s="43">
        <f>(C12*60)</f>
        <v>0</v>
      </c>
      <c r="D13" s="43">
        <f>(D12)</f>
        <v>80</v>
      </c>
      <c r="E13" s="43">
        <f>(E12*100)</f>
        <v>6100</v>
      </c>
      <c r="F13" s="46">
        <f>(F12*20)</f>
        <v>45020</v>
      </c>
      <c r="G13" s="43">
        <f>(G12*60)</f>
        <v>180</v>
      </c>
      <c r="H13" s="43">
        <f>(H12)</f>
        <v>325</v>
      </c>
      <c r="I13" s="43">
        <f>+I12*7</f>
        <v>0</v>
      </c>
      <c r="J13" s="44">
        <f>(J12*1.1167)</f>
        <v>14223.4079</v>
      </c>
      <c r="K13" s="47">
        <f>(K12*1.1167)</f>
        <v>4868.3340524000005</v>
      </c>
      <c r="L13" s="48">
        <f>(L12*1.1167)</f>
        <v>170017.57500000001</v>
      </c>
      <c r="M13" s="49"/>
      <c r="N13" s="49"/>
      <c r="O13" s="49"/>
      <c r="P13" s="49"/>
      <c r="Q13" s="49"/>
      <c r="R13" s="49"/>
      <c r="S13" s="49"/>
      <c r="T13" s="49"/>
      <c r="U13" s="49"/>
      <c r="V13" s="50"/>
      <c r="W13" s="43"/>
      <c r="X13" s="43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5"/>
      <c r="K14" s="6"/>
      <c r="L14" s="7"/>
      <c r="M14" s="1"/>
      <c r="N14" s="1"/>
      <c r="O14" s="1"/>
      <c r="P14" s="1"/>
      <c r="Q14" s="1"/>
      <c r="R14" s="1"/>
      <c r="S14" s="1"/>
      <c r="T14" s="1"/>
      <c r="U14" s="49"/>
      <c r="V14" s="50"/>
      <c r="W14" s="43"/>
      <c r="X14" s="43"/>
    </row>
    <row r="15" spans="1:24" x14ac:dyDescent="0.25">
      <c r="A15" s="1"/>
      <c r="B15" s="1"/>
      <c r="C15" s="8" t="s">
        <v>2</v>
      </c>
      <c r="D15" s="9"/>
      <c r="E15" s="1"/>
      <c r="F15" s="8" t="s">
        <v>3</v>
      </c>
      <c r="G15" s="1"/>
      <c r="H15" s="1"/>
      <c r="I15" s="8" t="s">
        <v>4</v>
      </c>
      <c r="J15" s="5" t="s">
        <v>5</v>
      </c>
      <c r="K15" s="10" t="s">
        <v>6</v>
      </c>
      <c r="L15" s="11" t="s">
        <v>7</v>
      </c>
      <c r="M15" s="1"/>
      <c r="N15" s="1"/>
      <c r="O15" s="1"/>
      <c r="P15" s="1"/>
      <c r="Q15" s="1"/>
      <c r="R15" s="1"/>
      <c r="S15" s="1"/>
      <c r="T15" s="1"/>
      <c r="U15" s="49"/>
      <c r="V15" s="50"/>
      <c r="W15" s="43"/>
      <c r="X15" s="43"/>
    </row>
    <row r="16" spans="1:24" x14ac:dyDescent="0.25">
      <c r="A16" s="1"/>
      <c r="B16" s="12"/>
      <c r="C16" s="9"/>
      <c r="D16" s="1"/>
      <c r="E16" s="1"/>
      <c r="F16" s="9"/>
      <c r="G16" s="9"/>
      <c r="H16" s="1"/>
      <c r="I16" s="8" t="s">
        <v>8</v>
      </c>
      <c r="J16" s="13" t="s">
        <v>9</v>
      </c>
      <c r="K16" s="14" t="s">
        <v>10</v>
      </c>
      <c r="L16" s="11" t="s">
        <v>11</v>
      </c>
      <c r="M16" s="15" t="s">
        <v>12</v>
      </c>
      <c r="N16" s="15" t="s">
        <v>13</v>
      </c>
      <c r="O16" s="15" t="s">
        <v>14</v>
      </c>
      <c r="P16" s="15" t="s">
        <v>15</v>
      </c>
      <c r="Q16" s="15" t="s">
        <v>16</v>
      </c>
      <c r="R16" s="15" t="s">
        <v>17</v>
      </c>
      <c r="S16" s="15" t="s">
        <v>18</v>
      </c>
      <c r="T16" s="15" t="s">
        <v>19</v>
      </c>
      <c r="U16" s="49"/>
      <c r="V16" s="9" t="s">
        <v>20</v>
      </c>
      <c r="W16" s="1"/>
      <c r="X16" s="1"/>
    </row>
    <row r="17" spans="1:24" x14ac:dyDescent="0.25">
      <c r="A17" s="16"/>
      <c r="B17" s="17">
        <v>46.38</v>
      </c>
      <c r="C17" s="18">
        <v>27.83</v>
      </c>
      <c r="D17" s="19">
        <v>0.46379999999999999</v>
      </c>
      <c r="E17" s="20">
        <v>158.5</v>
      </c>
      <c r="F17" s="18">
        <v>25.5</v>
      </c>
      <c r="G17" s="18">
        <v>95</v>
      </c>
      <c r="H17" s="87">
        <v>1.59</v>
      </c>
      <c r="I17" s="17">
        <v>18.55</v>
      </c>
      <c r="J17" s="88">
        <v>0.52</v>
      </c>
      <c r="K17" s="89">
        <v>1.55</v>
      </c>
      <c r="L17" s="90">
        <v>1.75</v>
      </c>
      <c r="M17" s="21" t="s">
        <v>21</v>
      </c>
      <c r="N17" s="21" t="s">
        <v>21</v>
      </c>
      <c r="O17" s="21" t="s">
        <v>21</v>
      </c>
      <c r="P17" s="21" t="s">
        <v>21</v>
      </c>
      <c r="Q17" s="21" t="s">
        <v>21</v>
      </c>
      <c r="R17" s="21" t="s">
        <v>22</v>
      </c>
      <c r="S17" s="21" t="s">
        <v>23</v>
      </c>
      <c r="T17" s="21" t="s">
        <v>24</v>
      </c>
      <c r="U17" s="91"/>
      <c r="V17" s="16" t="s">
        <v>25</v>
      </c>
      <c r="W17" s="16"/>
      <c r="X17" s="16"/>
    </row>
    <row r="18" spans="1:24" x14ac:dyDescent="0.25">
      <c r="A18" s="22" t="s">
        <v>26</v>
      </c>
      <c r="B18" s="22" t="s">
        <v>27</v>
      </c>
      <c r="C18" s="22" t="s">
        <v>28</v>
      </c>
      <c r="D18" s="22" t="s">
        <v>29</v>
      </c>
      <c r="E18" s="22" t="s">
        <v>27</v>
      </c>
      <c r="F18" s="22" t="s">
        <v>30</v>
      </c>
      <c r="G18" s="22" t="s">
        <v>28</v>
      </c>
      <c r="H18" s="22" t="s">
        <v>29</v>
      </c>
      <c r="I18" s="22" t="s">
        <v>31</v>
      </c>
      <c r="J18" s="23" t="s">
        <v>32</v>
      </c>
      <c r="K18" s="24" t="s">
        <v>32</v>
      </c>
      <c r="L18" s="25" t="s">
        <v>32</v>
      </c>
      <c r="M18" s="22" t="s">
        <v>33</v>
      </c>
      <c r="N18" s="22" t="s">
        <v>33</v>
      </c>
      <c r="O18" s="22" t="s">
        <v>33</v>
      </c>
      <c r="P18" s="22" t="s">
        <v>33</v>
      </c>
      <c r="Q18" s="22" t="s">
        <v>33</v>
      </c>
      <c r="R18" s="22" t="s">
        <v>33</v>
      </c>
      <c r="S18" s="22" t="s">
        <v>33</v>
      </c>
      <c r="T18" s="22" t="s">
        <v>33</v>
      </c>
      <c r="U18" s="92"/>
      <c r="V18" s="22" t="s">
        <v>26</v>
      </c>
      <c r="W18" s="22" t="s">
        <v>11</v>
      </c>
      <c r="X18" s="22" t="s">
        <v>34</v>
      </c>
    </row>
    <row r="19" spans="1:24" x14ac:dyDescent="0.25">
      <c r="A19" s="27">
        <v>44627</v>
      </c>
      <c r="B19" s="28">
        <v>252</v>
      </c>
      <c r="C19" s="28"/>
      <c r="D19" s="28"/>
      <c r="E19" s="28">
        <v>15</v>
      </c>
      <c r="F19" s="29">
        <v>492</v>
      </c>
      <c r="G19" s="28"/>
      <c r="H19" s="28">
        <v>40</v>
      </c>
      <c r="I19" s="28"/>
      <c r="J19" s="13">
        <v>4171</v>
      </c>
      <c r="K19" s="6">
        <v>2075.2910000000002</v>
      </c>
      <c r="L19" s="28">
        <v>39908</v>
      </c>
      <c r="M19" s="30">
        <v>25152.7</v>
      </c>
      <c r="N19" s="30">
        <v>5886.2</v>
      </c>
      <c r="O19" s="30">
        <v>73782.59</v>
      </c>
      <c r="P19" s="31">
        <v>355.88</v>
      </c>
      <c r="Q19" s="30">
        <v>1195</v>
      </c>
      <c r="R19" s="30">
        <v>42</v>
      </c>
      <c r="S19" s="30">
        <v>2248.42</v>
      </c>
      <c r="T19" s="32">
        <f>+B19*46.38+C19*27.83+D19*0.4638+E19*158.5+F19*25.5+G19*95+H19*1.59+I19*18.55+J19*0.52+K19*1.45+L19*1.75-M19-N19-O19-P19+Q19+R19+S19</f>
        <v>1.9500000116750016E-3</v>
      </c>
      <c r="U19" s="30"/>
      <c r="V19" s="27">
        <f t="shared" ref="V19:V26" si="5">+A19</f>
        <v>44627</v>
      </c>
      <c r="W19" s="28">
        <f>SUM(E19*100+F19*20+G19*60+H19+I19*7+K19*1.1167+L19*1.1167)</f>
        <v>58262.741059699998</v>
      </c>
      <c r="X19" s="28">
        <f>SUM(B19*100+C19*60+D19+J19*1.1167)</f>
        <v>29857.755700000002</v>
      </c>
    </row>
    <row r="20" spans="1:24" x14ac:dyDescent="0.25">
      <c r="A20" s="27">
        <v>44628</v>
      </c>
      <c r="B20" s="28">
        <v>239</v>
      </c>
      <c r="C20" s="28"/>
      <c r="D20" s="28"/>
      <c r="E20" s="28">
        <v>9</v>
      </c>
      <c r="F20" s="29">
        <v>394</v>
      </c>
      <c r="G20" s="28"/>
      <c r="H20" s="28">
        <v>80</v>
      </c>
      <c r="I20" s="28"/>
      <c r="J20" s="13">
        <v>3224</v>
      </c>
      <c r="K20" s="6">
        <v>442.12299999999999</v>
      </c>
      <c r="L20" s="28">
        <v>42052</v>
      </c>
      <c r="M20" s="30">
        <v>18656.64</v>
      </c>
      <c r="N20" s="30">
        <v>5837.25</v>
      </c>
      <c r="O20" s="30">
        <v>76367.94</v>
      </c>
      <c r="P20" s="31">
        <v>136.26</v>
      </c>
      <c r="Q20" s="30">
        <v>565</v>
      </c>
      <c r="R20" s="30">
        <v>48.3</v>
      </c>
      <c r="S20" s="30">
        <v>1790.71</v>
      </c>
      <c r="T20" s="32">
        <f t="shared" ref="T20:T26" si="6">+B20*46.38+C20*27.83+D20*0.4638+E20*158.5+F20*25.5+G20*95+H20*1.59+I20*18.55+J20*0.52+K20*1.45+L20*1.75-M20-N20-O20-P20+Q20+R20+S20</f>
        <v>-1.6500000058385922E-3</v>
      </c>
      <c r="U20" s="30"/>
      <c r="V20" s="27">
        <f t="shared" si="5"/>
        <v>44628</v>
      </c>
      <c r="W20" s="28">
        <f t="shared" ref="W20:W26" si="7">SUM(E20*100+F20*20+G20*60+H20+I20*7+K20*1.1167+L20*1.1167)</f>
        <v>56313.1871541</v>
      </c>
      <c r="X20" s="28">
        <f t="shared" ref="X20:X26" si="8">SUM(B20*100+C20*60+D20+J20*1.1167)</f>
        <v>27500.2408</v>
      </c>
    </row>
    <row r="21" spans="1:24" x14ac:dyDescent="0.25">
      <c r="A21" s="27">
        <v>44629</v>
      </c>
      <c r="B21" s="28">
        <v>240</v>
      </c>
      <c r="C21" s="28"/>
      <c r="D21" s="28"/>
      <c r="E21" s="28">
        <v>15</v>
      </c>
      <c r="F21" s="29">
        <v>346</v>
      </c>
      <c r="G21" s="28">
        <v>3</v>
      </c>
      <c r="H21" s="28">
        <v>70</v>
      </c>
      <c r="I21" s="28"/>
      <c r="J21" s="13">
        <v>3333</v>
      </c>
      <c r="K21" s="6">
        <v>912.245</v>
      </c>
      <c r="L21" s="28">
        <f>38628-100</f>
        <v>38528</v>
      </c>
      <c r="M21" s="30">
        <v>19497.25</v>
      </c>
      <c r="N21" s="30">
        <v>6065.88</v>
      </c>
      <c r="O21" s="30">
        <f>72020.94-100*1.75</f>
        <v>71845.94</v>
      </c>
      <c r="P21" s="33">
        <f>185.52+158.5-46.38</f>
        <v>297.64</v>
      </c>
      <c r="Q21" s="30">
        <v>1190</v>
      </c>
      <c r="R21" s="30">
        <v>52.5</v>
      </c>
      <c r="S21" s="30">
        <v>3256.3</v>
      </c>
      <c r="T21" s="32">
        <f t="shared" si="6"/>
        <v>5.2499999837891664E-3</v>
      </c>
      <c r="U21" s="30"/>
      <c r="V21" s="27">
        <f t="shared" si="5"/>
        <v>44629</v>
      </c>
      <c r="W21" s="28">
        <f t="shared" si="7"/>
        <v>52712.921591500002</v>
      </c>
      <c r="X21" s="28">
        <f t="shared" si="8"/>
        <v>27721.9611</v>
      </c>
    </row>
    <row r="22" spans="1:24" x14ac:dyDescent="0.25">
      <c r="A22" s="27">
        <v>44630</v>
      </c>
      <c r="B22" s="28">
        <v>223</v>
      </c>
      <c r="C22" s="28"/>
      <c r="D22" s="28"/>
      <c r="E22" s="28">
        <v>14</v>
      </c>
      <c r="F22" s="29">
        <v>303</v>
      </c>
      <c r="G22" s="28"/>
      <c r="H22" s="28">
        <v>90</v>
      </c>
      <c r="I22" s="28"/>
      <c r="J22" s="13">
        <v>3878</v>
      </c>
      <c r="K22" s="34">
        <v>656.41700000000003</v>
      </c>
      <c r="L22" s="28">
        <v>36887</v>
      </c>
      <c r="M22" s="30">
        <v>17561.98</v>
      </c>
      <c r="N22" s="30">
        <v>4758.74</v>
      </c>
      <c r="O22" s="30">
        <v>67276.88</v>
      </c>
      <c r="P22" s="31">
        <v>92.76</v>
      </c>
      <c r="Q22" s="30">
        <v>610</v>
      </c>
      <c r="R22" s="30">
        <v>35.700000000000003</v>
      </c>
      <c r="S22" s="30">
        <v>1092.71</v>
      </c>
      <c r="T22" s="32">
        <f t="shared" si="6"/>
        <v>4.6499999939442205E-3</v>
      </c>
      <c r="U22" s="30"/>
      <c r="V22" s="27">
        <f t="shared" si="5"/>
        <v>44630</v>
      </c>
      <c r="W22" s="28">
        <f t="shared" ref="W22:W24" si="9">SUM(E22*100+F22*20+G22*60+H22+I22*7+K22*1.1167+L22*1.1167)</f>
        <v>49474.733763899996</v>
      </c>
      <c r="X22" s="28">
        <f t="shared" ref="X22:X24" si="10">SUM(B22*100+C22*60+D22+J22*1.1167)</f>
        <v>26630.562600000001</v>
      </c>
    </row>
    <row r="23" spans="1:24" x14ac:dyDescent="0.25">
      <c r="A23" s="27">
        <v>44631</v>
      </c>
      <c r="B23" s="28">
        <v>236</v>
      </c>
      <c r="C23" s="28"/>
      <c r="D23" s="28">
        <v>20</v>
      </c>
      <c r="E23" s="28">
        <v>17</v>
      </c>
      <c r="F23" s="29">
        <v>342</v>
      </c>
      <c r="G23" s="28"/>
      <c r="H23" s="28">
        <v>15</v>
      </c>
      <c r="I23" s="28"/>
      <c r="J23" s="13">
        <v>1119</v>
      </c>
      <c r="K23" s="34">
        <v>1005.976</v>
      </c>
      <c r="L23" s="28">
        <v>35987</v>
      </c>
      <c r="M23" s="30">
        <v>18402.689999999999</v>
      </c>
      <c r="N23" s="30">
        <v>6296.78</v>
      </c>
      <c r="O23" s="30">
        <v>66271.16</v>
      </c>
      <c r="P23" s="31">
        <v>205.9</v>
      </c>
      <c r="Q23" s="30">
        <v>1435</v>
      </c>
      <c r="R23" s="30">
        <v>6.3</v>
      </c>
      <c r="S23" s="30">
        <v>2323.12</v>
      </c>
      <c r="T23" s="32">
        <f t="shared" si="6"/>
        <v>-8.800000000064756E-3</v>
      </c>
      <c r="U23" s="30"/>
      <c r="V23" s="27">
        <f t="shared" si="5"/>
        <v>44631</v>
      </c>
      <c r="W23" s="28">
        <f t="shared" si="9"/>
        <v>49865.056299199998</v>
      </c>
      <c r="X23" s="28">
        <f t="shared" si="10"/>
        <v>24869.587299999999</v>
      </c>
    </row>
    <row r="24" spans="1:24" x14ac:dyDescent="0.25">
      <c r="A24" s="27">
        <v>44632</v>
      </c>
      <c r="B24" s="28">
        <v>59</v>
      </c>
      <c r="C24" s="28"/>
      <c r="D24" s="28"/>
      <c r="E24" s="28">
        <v>1</v>
      </c>
      <c r="F24" s="29">
        <v>375</v>
      </c>
      <c r="G24" s="28"/>
      <c r="H24" s="28">
        <v>100</v>
      </c>
      <c r="I24" s="28"/>
      <c r="J24" s="13">
        <v>1267</v>
      </c>
      <c r="K24" s="34">
        <v>577.86099999999999</v>
      </c>
      <c r="L24" s="28">
        <v>2840</v>
      </c>
      <c r="M24" s="30">
        <v>13289.84</v>
      </c>
      <c r="N24" s="30"/>
      <c r="O24" s="30">
        <v>7010.58</v>
      </c>
      <c r="P24" s="31">
        <v>46.38</v>
      </c>
      <c r="Q24" s="30">
        <v>40</v>
      </c>
      <c r="R24" s="30">
        <v>27.3</v>
      </c>
      <c r="S24" s="30">
        <v>1196.3399999999999</v>
      </c>
      <c r="T24" s="32">
        <f t="shared" ref="T24" si="11">+B24*46.38+C24*27.83+D24*0.4638+E24*158.5+F24*25.5+G24*95+H24*1.59+I24*18.55+J24*0.52+K24*1.45+L24*1.75-M24-N24-O24-P24+Q24+R24+S24</f>
        <v>-1.5499999976782419E-3</v>
      </c>
      <c r="U24" s="30"/>
      <c r="V24" s="27">
        <f t="shared" si="5"/>
        <v>44632</v>
      </c>
      <c r="W24" s="28">
        <f t="shared" si="9"/>
        <v>11516.725378699999</v>
      </c>
      <c r="X24" s="28">
        <f t="shared" si="10"/>
        <v>7314.8589000000002</v>
      </c>
    </row>
    <row r="25" spans="1:24" x14ac:dyDescent="0.25">
      <c r="A25" s="27">
        <v>44634</v>
      </c>
      <c r="B25" s="28">
        <v>329</v>
      </c>
      <c r="C25" s="28"/>
      <c r="D25" s="28"/>
      <c r="E25" s="28">
        <v>21</v>
      </c>
      <c r="F25" s="29">
        <f>227+105+68</f>
        <v>400</v>
      </c>
      <c r="G25" s="28"/>
      <c r="H25" s="28">
        <v>115</v>
      </c>
      <c r="I25" s="28"/>
      <c r="J25" s="13">
        <v>3496</v>
      </c>
      <c r="K25" s="34">
        <v>751.14200000000005</v>
      </c>
      <c r="L25" s="28">
        <v>43077</v>
      </c>
      <c r="M25" s="30">
        <v>22977.19</v>
      </c>
      <c r="N25" s="30">
        <v>6693.4</v>
      </c>
      <c r="O25" s="30">
        <v>80693.259999999995</v>
      </c>
      <c r="P25" s="31">
        <v>171.41</v>
      </c>
      <c r="Q25" s="30">
        <v>1715</v>
      </c>
      <c r="R25" s="30">
        <v>33.6</v>
      </c>
      <c r="S25" s="30">
        <v>1524.46</v>
      </c>
      <c r="T25" s="32">
        <f t="shared" si="6"/>
        <v>-4.0999999851010216E-3</v>
      </c>
      <c r="U25" s="30"/>
      <c r="V25" s="27">
        <f t="shared" si="5"/>
        <v>44634</v>
      </c>
      <c r="W25" s="28">
        <f t="shared" si="7"/>
        <v>59157.886171399994</v>
      </c>
      <c r="X25" s="28">
        <f t="shared" si="8"/>
        <v>36803.983200000002</v>
      </c>
    </row>
    <row r="26" spans="1:24" x14ac:dyDescent="0.25">
      <c r="A26" s="35">
        <v>44635</v>
      </c>
      <c r="B26" s="36">
        <v>313</v>
      </c>
      <c r="C26" s="36"/>
      <c r="D26" s="36"/>
      <c r="E26" s="36">
        <v>6</v>
      </c>
      <c r="F26" s="37">
        <v>358</v>
      </c>
      <c r="G26" s="36"/>
      <c r="H26" s="36">
        <v>80</v>
      </c>
      <c r="I26" s="36"/>
      <c r="J26" s="38">
        <v>897</v>
      </c>
      <c r="K26" s="39">
        <v>587.34299999999996</v>
      </c>
      <c r="L26" s="36">
        <v>43707</v>
      </c>
      <c r="M26" s="40">
        <v>19575.900000000001</v>
      </c>
      <c r="N26" s="40">
        <v>6063.7</v>
      </c>
      <c r="O26" s="40">
        <v>78080.39</v>
      </c>
      <c r="P26" s="41">
        <v>299.89999999999998</v>
      </c>
      <c r="Q26" s="40">
        <v>580</v>
      </c>
      <c r="R26" s="40">
        <v>14.7</v>
      </c>
      <c r="S26" s="40">
        <v>895.71</v>
      </c>
      <c r="T26" s="42">
        <f t="shared" si="6"/>
        <v>-2.6499999896714144E-3</v>
      </c>
      <c r="U26" s="40"/>
      <c r="V26" s="35">
        <f t="shared" si="5"/>
        <v>44635</v>
      </c>
      <c r="W26" s="36">
        <f t="shared" si="7"/>
        <v>57303.492828100003</v>
      </c>
      <c r="X26" s="36">
        <f t="shared" si="8"/>
        <v>32301.679899999999</v>
      </c>
    </row>
    <row r="27" spans="1:24" x14ac:dyDescent="0.25">
      <c r="A27" s="27"/>
      <c r="B27" s="43">
        <f>SUM(B19:B26)</f>
        <v>1891</v>
      </c>
      <c r="C27" s="43">
        <f t="shared" ref="C27:L27" si="12">SUM(C19:C26)</f>
        <v>0</v>
      </c>
      <c r="D27" s="43">
        <f t="shared" si="12"/>
        <v>20</v>
      </c>
      <c r="E27" s="43">
        <f t="shared" si="12"/>
        <v>98</v>
      </c>
      <c r="F27" s="43">
        <f t="shared" si="12"/>
        <v>3010</v>
      </c>
      <c r="G27" s="43">
        <f t="shared" si="12"/>
        <v>3</v>
      </c>
      <c r="H27" s="43">
        <f t="shared" si="12"/>
        <v>590</v>
      </c>
      <c r="I27" s="43">
        <f t="shared" si="12"/>
        <v>0</v>
      </c>
      <c r="J27" s="43">
        <f t="shared" si="12"/>
        <v>21385</v>
      </c>
      <c r="K27" s="94">
        <f t="shared" si="12"/>
        <v>7008.3979999999992</v>
      </c>
      <c r="L27" s="43">
        <f t="shared" si="12"/>
        <v>282986</v>
      </c>
      <c r="M27" s="97">
        <f t="shared" ref="M27:T27" si="13">SUM(M19:M26)</f>
        <v>155114.18999999997</v>
      </c>
      <c r="N27" s="97">
        <f t="shared" si="13"/>
        <v>41601.949999999997</v>
      </c>
      <c r="O27" s="97">
        <f t="shared" si="13"/>
        <v>521328.74000000005</v>
      </c>
      <c r="P27" s="97">
        <f t="shared" si="13"/>
        <v>1606.13</v>
      </c>
      <c r="Q27" s="97">
        <f t="shared" si="13"/>
        <v>7330</v>
      </c>
      <c r="R27" s="97">
        <f t="shared" si="13"/>
        <v>260.40000000000003</v>
      </c>
      <c r="S27" s="97">
        <f t="shared" si="13"/>
        <v>14327.769999999997</v>
      </c>
      <c r="T27" s="97">
        <f t="shared" si="13"/>
        <v>-6.8999999889456376E-3</v>
      </c>
      <c r="U27" s="30"/>
      <c r="V27" s="43"/>
      <c r="W27" s="43">
        <f>SUM(W19:W26)</f>
        <v>394606.74424659996</v>
      </c>
      <c r="X27" s="43">
        <f>SUM(X19:X26)</f>
        <v>213000.62949999998</v>
      </c>
    </row>
    <row r="28" spans="1:24" x14ac:dyDescent="0.25">
      <c r="A28" s="27"/>
      <c r="B28" s="43">
        <f>+B27*100</f>
        <v>189100</v>
      </c>
      <c r="C28" s="43"/>
      <c r="D28" s="43">
        <f>+D27</f>
        <v>20</v>
      </c>
      <c r="E28" s="43">
        <f>+E27*100</f>
        <v>9800</v>
      </c>
      <c r="F28" s="46">
        <f>+F27*20</f>
        <v>60200</v>
      </c>
      <c r="G28" s="43">
        <f>+G27*60</f>
        <v>180</v>
      </c>
      <c r="H28" s="43">
        <f>+H27</f>
        <v>590</v>
      </c>
      <c r="I28" s="43"/>
      <c r="J28" s="44">
        <f>+J27*1.1167</f>
        <v>23880.629499999999</v>
      </c>
      <c r="K28" s="47">
        <f>+K27*1.1167</f>
        <v>7826.2780465999995</v>
      </c>
      <c r="L28" s="48">
        <f>+L27*1.1167</f>
        <v>316010.46620000002</v>
      </c>
      <c r="M28" s="49"/>
      <c r="N28" s="49"/>
      <c r="O28" s="49"/>
      <c r="P28" s="49"/>
      <c r="Q28" s="49"/>
      <c r="R28" s="49"/>
      <c r="S28" s="49"/>
      <c r="T28" s="49"/>
      <c r="U28" s="30"/>
      <c r="V28" s="50" t="s">
        <v>35</v>
      </c>
      <c r="W28" s="43">
        <f>+W12+W27</f>
        <v>621117.65329899988</v>
      </c>
      <c r="X28" s="43">
        <f>+X12+X27</f>
        <v>333404.03739999997</v>
      </c>
    </row>
    <row r="29" spans="1:24" x14ac:dyDescent="0.25">
      <c r="A29" s="27"/>
      <c r="B29" s="43"/>
      <c r="C29" s="43"/>
      <c r="D29" s="43"/>
      <c r="E29" s="43"/>
      <c r="F29" s="46"/>
      <c r="G29" s="43"/>
      <c r="H29" s="43"/>
      <c r="I29" s="43"/>
      <c r="J29" s="44"/>
      <c r="K29" s="47"/>
      <c r="L29" s="48"/>
      <c r="M29" s="49"/>
      <c r="N29" s="49"/>
      <c r="O29" s="49"/>
      <c r="P29" s="49"/>
      <c r="Q29" s="49"/>
      <c r="R29" s="49"/>
      <c r="S29" s="49"/>
      <c r="T29" s="49"/>
      <c r="U29" s="40"/>
      <c r="V29" s="50"/>
      <c r="W29" s="43">
        <f>+D56+D57+D58+D59-W28</f>
        <v>0</v>
      </c>
      <c r="X29" s="43">
        <f>+D55-X28</f>
        <v>0</v>
      </c>
    </row>
    <row r="30" spans="1:24" x14ac:dyDescent="0.25">
      <c r="A30" s="22" t="s">
        <v>26</v>
      </c>
      <c r="B30" s="22" t="s">
        <v>27</v>
      </c>
      <c r="C30" s="22" t="s">
        <v>28</v>
      </c>
      <c r="D30" s="22" t="s">
        <v>29</v>
      </c>
      <c r="E30" s="22" t="s">
        <v>27</v>
      </c>
      <c r="F30" s="22" t="s">
        <v>30</v>
      </c>
      <c r="G30" s="22" t="s">
        <v>28</v>
      </c>
      <c r="H30" s="22" t="s">
        <v>29</v>
      </c>
      <c r="I30" s="22" t="s">
        <v>31</v>
      </c>
      <c r="J30" s="23" t="s">
        <v>32</v>
      </c>
      <c r="K30" s="24" t="s">
        <v>32</v>
      </c>
      <c r="L30" s="25" t="s">
        <v>32</v>
      </c>
      <c r="M30" s="22" t="s">
        <v>33</v>
      </c>
      <c r="N30" s="22" t="s">
        <v>33</v>
      </c>
      <c r="O30" s="22" t="s">
        <v>33</v>
      </c>
      <c r="P30" s="22" t="s">
        <v>33</v>
      </c>
      <c r="Q30" s="22" t="s">
        <v>33</v>
      </c>
      <c r="R30" s="22" t="s">
        <v>33</v>
      </c>
      <c r="S30" s="22" t="s">
        <v>33</v>
      </c>
      <c r="T30" s="22" t="s">
        <v>33</v>
      </c>
      <c r="U30" s="92"/>
      <c r="V30" s="22" t="s">
        <v>26</v>
      </c>
      <c r="W30" s="22" t="s">
        <v>11</v>
      </c>
      <c r="X30" s="22" t="s">
        <v>34</v>
      </c>
    </row>
    <row r="31" spans="1:24" x14ac:dyDescent="0.25">
      <c r="A31" s="27">
        <v>44636</v>
      </c>
      <c r="B31" s="28">
        <v>244</v>
      </c>
      <c r="C31" s="28"/>
      <c r="D31" s="28"/>
      <c r="E31" s="28">
        <v>18</v>
      </c>
      <c r="F31" s="29">
        <v>321</v>
      </c>
      <c r="G31" s="28">
        <v>3</v>
      </c>
      <c r="H31" s="28">
        <v>80</v>
      </c>
      <c r="I31" s="28"/>
      <c r="J31" s="13">
        <v>2692</v>
      </c>
      <c r="K31" s="34">
        <v>1227.665</v>
      </c>
      <c r="L31" s="28">
        <v>37259</v>
      </c>
      <c r="M31" s="30">
        <v>18797.669999999998</v>
      </c>
      <c r="N31" s="30">
        <v>5040.1000000000004</v>
      </c>
      <c r="O31" s="30">
        <v>68521.03</v>
      </c>
      <c r="P31" s="33">
        <v>59.78</v>
      </c>
      <c r="Q31" s="30">
        <v>310</v>
      </c>
      <c r="R31" s="30">
        <v>31.5</v>
      </c>
      <c r="S31" s="30">
        <v>926.46</v>
      </c>
      <c r="T31" s="32">
        <f t="shared" ref="T31:T45" si="14">+B31*46.38+C31*27.83+D31*0.4638+E31*158.5+F31*25.5+G31*95+H31*1.59+I31*18.55+J31*0.52+K31*1.45+L31*1.75-M31-N31-O31-P31+Q31+R31+S31</f>
        <v>4.2499999906340236E-3</v>
      </c>
      <c r="U31" s="30"/>
      <c r="V31" s="27">
        <f t="shared" ref="V31:V45" si="15">+A31</f>
        <v>44636</v>
      </c>
      <c r="W31" s="28">
        <f t="shared" ref="W31:W45" si="16">SUM(E31*100+F31*20+G31*60+H31+I31*7+K31*1.1167+L31*1.1167)</f>
        <v>51458.058805499997</v>
      </c>
      <c r="X31" s="28">
        <f t="shared" ref="X31:X45" si="17">SUM(B31*100+C31*60+D31+J31*1.1167)</f>
        <v>27406.1564</v>
      </c>
    </row>
    <row r="32" spans="1:24" x14ac:dyDescent="0.25">
      <c r="A32" s="27">
        <v>44637</v>
      </c>
      <c r="B32" s="28">
        <v>269</v>
      </c>
      <c r="C32" s="28"/>
      <c r="D32" s="28"/>
      <c r="E32" s="28">
        <v>19</v>
      </c>
      <c r="F32" s="29">
        <v>453</v>
      </c>
      <c r="G32" s="28"/>
      <c r="H32" s="28">
        <v>40</v>
      </c>
      <c r="I32" s="28"/>
      <c r="J32" s="13">
        <v>1217</v>
      </c>
      <c r="K32" s="34">
        <v>1069.51</v>
      </c>
      <c r="L32" s="52">
        <v>26286</v>
      </c>
      <c r="M32" s="30">
        <v>23288.87</v>
      </c>
      <c r="N32" s="30">
        <v>4535.18</v>
      </c>
      <c r="O32" s="30">
        <v>48800.31</v>
      </c>
      <c r="P32" s="31">
        <v>179.33</v>
      </c>
      <c r="Q32" s="30">
        <v>440</v>
      </c>
      <c r="R32" s="30">
        <v>12.6</v>
      </c>
      <c r="S32" s="30">
        <v>1064.1400000000001</v>
      </c>
      <c r="T32" s="32">
        <f t="shared" si="14"/>
        <v>-4.9999999077954271E-4</v>
      </c>
      <c r="U32" s="30"/>
      <c r="V32" s="27">
        <f t="shared" si="15"/>
        <v>44637</v>
      </c>
      <c r="W32" s="28">
        <f t="shared" si="16"/>
        <v>41547.898017</v>
      </c>
      <c r="X32" s="28">
        <f t="shared" si="17"/>
        <v>28259.0239</v>
      </c>
    </row>
    <row r="33" spans="1:24" x14ac:dyDescent="0.25">
      <c r="A33" s="27">
        <v>44638</v>
      </c>
      <c r="B33" s="28"/>
      <c r="C33" s="28"/>
      <c r="D33" s="28"/>
      <c r="E33" s="28"/>
      <c r="F33" s="29"/>
      <c r="G33" s="28"/>
      <c r="H33" s="28"/>
      <c r="I33" s="28"/>
      <c r="J33" s="13">
        <v>637</v>
      </c>
      <c r="K33" s="34"/>
      <c r="L33" s="52">
        <v>41519</v>
      </c>
      <c r="M33" s="30"/>
      <c r="N33" s="30"/>
      <c r="O33" s="30">
        <v>72995.789999999994</v>
      </c>
      <c r="P33" s="31"/>
      <c r="Q33" s="30"/>
      <c r="R33" s="30">
        <v>6.3</v>
      </c>
      <c r="S33" s="30"/>
      <c r="T33" s="32">
        <f t="shared" ref="T33" si="18">+B33*46.38+C33*27.83+D33*0.4638+E33*158.5+F33*25.5+G33*95+H33*1.59+I33*18.55+J33*0.52+K33*1.45+L33*1.75-M33-N33-O33-P33+Q33+R33+S33</f>
        <v>1.1641354547009541E-11</v>
      </c>
      <c r="U33" s="30"/>
      <c r="V33" s="27">
        <f t="shared" ref="V33" si="19">+A33</f>
        <v>44638</v>
      </c>
      <c r="W33" s="28">
        <f t="shared" ref="W33" si="20">SUM(E33*100+F33*20+G33*60+H33+I33*7+K33*1.1167+L33*1.1167)</f>
        <v>46364.2673</v>
      </c>
      <c r="X33" s="28">
        <f t="shared" ref="X33" si="21">SUM(B33*100+C33*60+D33+J33*1.1167)</f>
        <v>711.33789999999999</v>
      </c>
    </row>
    <row r="34" spans="1:24" x14ac:dyDescent="0.25">
      <c r="A34" s="27">
        <v>44639</v>
      </c>
      <c r="B34" s="28">
        <v>72</v>
      </c>
      <c r="C34" s="28"/>
      <c r="D34" s="28"/>
      <c r="E34" s="28">
        <v>3</v>
      </c>
      <c r="F34" s="29">
        <v>430</v>
      </c>
      <c r="G34" s="28"/>
      <c r="H34" s="28">
        <v>70</v>
      </c>
      <c r="I34" s="28"/>
      <c r="J34" s="13">
        <v>2701</v>
      </c>
      <c r="K34" s="34">
        <v>232.501</v>
      </c>
      <c r="L34" s="52">
        <v>2662</v>
      </c>
      <c r="M34" s="30">
        <v>15410.53</v>
      </c>
      <c r="N34" s="30">
        <v>46.38</v>
      </c>
      <c r="O34" s="30">
        <v>6147.2</v>
      </c>
      <c r="P34" s="31"/>
      <c r="Q34" s="30">
        <v>35</v>
      </c>
      <c r="R34" s="30">
        <v>37.799999999999997</v>
      </c>
      <c r="S34" s="30">
        <v>240</v>
      </c>
      <c r="T34" s="32">
        <f t="shared" si="14"/>
        <v>-3.5500000005299626E-3</v>
      </c>
      <c r="U34" s="30"/>
      <c r="V34" s="27">
        <f t="shared" si="15"/>
        <v>44639</v>
      </c>
      <c r="W34" s="28">
        <f t="shared" si="16"/>
        <v>12202.2892667</v>
      </c>
      <c r="X34" s="28">
        <f t="shared" si="17"/>
        <v>10216.206700000001</v>
      </c>
    </row>
    <row r="35" spans="1:24" x14ac:dyDescent="0.25">
      <c r="A35" s="27">
        <v>44640</v>
      </c>
      <c r="B35" s="28"/>
      <c r="C35" s="28"/>
      <c r="D35" s="28"/>
      <c r="E35" s="28"/>
      <c r="F35" s="29"/>
      <c r="G35" s="28"/>
      <c r="H35" s="28"/>
      <c r="I35" s="28"/>
      <c r="J35" s="13"/>
      <c r="K35" s="6"/>
      <c r="L35" s="52">
        <v>351</v>
      </c>
      <c r="M35" s="30"/>
      <c r="N35" s="30"/>
      <c r="O35" s="30">
        <v>614.25</v>
      </c>
      <c r="P35" s="33"/>
      <c r="Q35" s="30"/>
      <c r="R35" s="30"/>
      <c r="S35" s="30"/>
      <c r="T35" s="32">
        <f t="shared" si="14"/>
        <v>0</v>
      </c>
      <c r="U35" s="43"/>
      <c r="V35" s="27">
        <f t="shared" si="15"/>
        <v>44640</v>
      </c>
      <c r="W35" s="28">
        <f t="shared" si="16"/>
        <v>391.96170000000001</v>
      </c>
      <c r="X35" s="28">
        <f t="shared" si="17"/>
        <v>0</v>
      </c>
    </row>
    <row r="36" spans="1:24" x14ac:dyDescent="0.25">
      <c r="A36" s="27">
        <v>44641</v>
      </c>
      <c r="B36" s="28">
        <v>227</v>
      </c>
      <c r="C36" s="28"/>
      <c r="D36" s="28"/>
      <c r="E36" s="28">
        <v>22</v>
      </c>
      <c r="F36" s="29">
        <v>418</v>
      </c>
      <c r="G36" s="28"/>
      <c r="H36" s="28">
        <v>40</v>
      </c>
      <c r="I36" s="28"/>
      <c r="J36" s="13">
        <v>5014</v>
      </c>
      <c r="K36" s="34">
        <v>879.71900000000005</v>
      </c>
      <c r="L36" s="52">
        <v>43615</v>
      </c>
      <c r="M36" s="30">
        <v>21082.13</v>
      </c>
      <c r="N36" s="30">
        <v>4556.62</v>
      </c>
      <c r="O36" s="30">
        <v>81632.600000000006</v>
      </c>
      <c r="P36" s="33">
        <v>139.13999999999999</v>
      </c>
      <c r="Q36" s="30">
        <v>1080</v>
      </c>
      <c r="R36" s="30">
        <v>58.8</v>
      </c>
      <c r="S36" s="30">
        <v>1324.71</v>
      </c>
      <c r="T36" s="32">
        <f t="shared" si="14"/>
        <v>2.549999994926111E-3</v>
      </c>
      <c r="U36" s="43"/>
      <c r="V36" s="27">
        <f t="shared" si="15"/>
        <v>44641</v>
      </c>
      <c r="W36" s="28">
        <f t="shared" si="16"/>
        <v>60287.252707300009</v>
      </c>
      <c r="X36" s="28">
        <f t="shared" si="17"/>
        <v>28299.1338</v>
      </c>
    </row>
    <row r="37" spans="1:24" x14ac:dyDescent="0.25">
      <c r="A37" s="27">
        <v>44642</v>
      </c>
      <c r="B37" s="28">
        <v>214</v>
      </c>
      <c r="C37" s="28"/>
      <c r="D37" s="28">
        <v>20</v>
      </c>
      <c r="E37" s="28">
        <v>9</v>
      </c>
      <c r="F37" s="29">
        <v>350</v>
      </c>
      <c r="G37" s="28"/>
      <c r="H37" s="28">
        <v>15</v>
      </c>
      <c r="I37" s="28"/>
      <c r="J37" s="13">
        <f>1938+2513</f>
        <v>4451</v>
      </c>
      <c r="K37" s="34">
        <v>621.85599999999999</v>
      </c>
      <c r="L37" s="52">
        <f>44337-2513</f>
        <v>41824</v>
      </c>
      <c r="M37" s="30">
        <v>17843.7</v>
      </c>
      <c r="N37" s="30">
        <v>4877.3</v>
      </c>
      <c r="O37" s="30">
        <f>79721.45+2513*0.52-2513*1.75</f>
        <v>76630.459999999992</v>
      </c>
      <c r="P37" s="33">
        <v>302.70999999999998</v>
      </c>
      <c r="Q37" s="30">
        <v>195</v>
      </c>
      <c r="R37" s="30">
        <v>27.3</v>
      </c>
      <c r="S37" s="30">
        <v>2713.71</v>
      </c>
      <c r="T37" s="32">
        <f t="shared" si="14"/>
        <v>-2.7999999902021955E-3</v>
      </c>
      <c r="U37" s="43"/>
      <c r="V37" s="27">
        <f t="shared" si="15"/>
        <v>44642</v>
      </c>
      <c r="W37" s="28">
        <f t="shared" si="16"/>
        <v>55314.287395200001</v>
      </c>
      <c r="X37" s="28">
        <f t="shared" si="17"/>
        <v>26390.431700000001</v>
      </c>
    </row>
    <row r="38" spans="1:24" x14ac:dyDescent="0.25">
      <c r="A38" s="27">
        <v>44643</v>
      </c>
      <c r="B38" s="28">
        <v>262</v>
      </c>
      <c r="C38" s="28"/>
      <c r="D38" s="28"/>
      <c r="E38" s="28">
        <v>16</v>
      </c>
      <c r="F38" s="29">
        <v>313</v>
      </c>
      <c r="G38" s="28"/>
      <c r="H38" s="28">
        <v>75</v>
      </c>
      <c r="I38" s="28">
        <v>1</v>
      </c>
      <c r="J38" s="13">
        <f>4251-140</f>
        <v>4111</v>
      </c>
      <c r="K38" s="34">
        <v>1162.607</v>
      </c>
      <c r="L38" s="52">
        <f>38155+140</f>
        <v>38295</v>
      </c>
      <c r="M38" s="30">
        <v>22514.2</v>
      </c>
      <c r="N38" s="30">
        <v>6285.16</v>
      </c>
      <c r="O38" s="30">
        <f>71068.48-140*0.52+140*1.75-2.1</f>
        <v>71238.579999999987</v>
      </c>
      <c r="P38" s="33">
        <v>306.18</v>
      </c>
      <c r="Q38" s="30">
        <v>725</v>
      </c>
      <c r="R38" s="30">
        <f>35.7-2.1</f>
        <v>33.6</v>
      </c>
      <c r="S38" s="30">
        <v>5938.91</v>
      </c>
      <c r="T38" s="32">
        <f t="shared" si="14"/>
        <v>1.5000000530562829E-4</v>
      </c>
      <c r="U38" s="49"/>
      <c r="V38" s="27">
        <f t="shared" si="15"/>
        <v>44643</v>
      </c>
      <c r="W38" s="28">
        <f t="shared" si="16"/>
        <v>52004.309736900002</v>
      </c>
      <c r="X38" s="28">
        <f t="shared" si="17"/>
        <v>30790.753700000001</v>
      </c>
    </row>
    <row r="39" spans="1:24" x14ac:dyDescent="0.25">
      <c r="A39" s="27">
        <v>44644</v>
      </c>
      <c r="B39" s="28">
        <v>199</v>
      </c>
      <c r="C39" s="28"/>
      <c r="D39" s="28"/>
      <c r="E39" s="28">
        <v>13</v>
      </c>
      <c r="F39" s="29">
        <v>324</v>
      </c>
      <c r="G39" s="28"/>
      <c r="H39" s="28">
        <v>10</v>
      </c>
      <c r="I39" s="28"/>
      <c r="J39" s="13">
        <v>2587</v>
      </c>
      <c r="K39" s="34">
        <v>933.10900000000004</v>
      </c>
      <c r="L39" s="52">
        <v>35832</v>
      </c>
      <c r="M39" s="30">
        <v>18262.64</v>
      </c>
      <c r="N39" s="30">
        <v>3854.32</v>
      </c>
      <c r="O39" s="30">
        <v>65751.45</v>
      </c>
      <c r="P39" s="33">
        <v>276.06</v>
      </c>
      <c r="Q39" s="30">
        <v>390</v>
      </c>
      <c r="R39" s="30">
        <v>27.3</v>
      </c>
      <c r="S39" s="30">
        <v>2754.91</v>
      </c>
      <c r="T39" s="32">
        <f t="shared" si="14"/>
        <v>8.0500000171923602E-3</v>
      </c>
      <c r="U39" s="1"/>
      <c r="V39" s="27">
        <f t="shared" si="15"/>
        <v>44644</v>
      </c>
      <c r="W39" s="28">
        <f t="shared" si="16"/>
        <v>48845.597220299998</v>
      </c>
      <c r="X39" s="28">
        <f t="shared" si="17"/>
        <v>22788.902900000001</v>
      </c>
    </row>
    <row r="40" spans="1:24" x14ac:dyDescent="0.25">
      <c r="A40" s="27">
        <v>44645</v>
      </c>
      <c r="B40" s="28">
        <v>257</v>
      </c>
      <c r="C40" s="28"/>
      <c r="D40" s="28"/>
      <c r="E40" s="28">
        <v>14</v>
      </c>
      <c r="F40" s="29">
        <v>363</v>
      </c>
      <c r="G40" s="28">
        <v>2</v>
      </c>
      <c r="H40" s="28">
        <v>100</v>
      </c>
      <c r="I40" s="28"/>
      <c r="J40" s="13">
        <v>1764</v>
      </c>
      <c r="K40" s="34">
        <v>741.29399999999998</v>
      </c>
      <c r="L40" s="52">
        <v>34030</v>
      </c>
      <c r="M40" s="30">
        <v>20635.82</v>
      </c>
      <c r="N40" s="30">
        <v>4691.66</v>
      </c>
      <c r="O40" s="30">
        <v>62509.27</v>
      </c>
      <c r="P40" s="33">
        <v>305.52</v>
      </c>
      <c r="Q40" s="30">
        <v>295</v>
      </c>
      <c r="R40" s="30">
        <v>31.5</v>
      </c>
      <c r="S40" s="30">
        <v>2526.96</v>
      </c>
      <c r="T40" s="32">
        <f t="shared" si="14"/>
        <v>6.3000000131978595E-3</v>
      </c>
      <c r="U40" s="1"/>
      <c r="V40" s="27">
        <f t="shared" si="15"/>
        <v>44645</v>
      </c>
      <c r="W40" s="28">
        <f t="shared" si="16"/>
        <v>47709.104009800001</v>
      </c>
      <c r="X40" s="28">
        <f t="shared" si="17"/>
        <v>27669.858800000002</v>
      </c>
    </row>
    <row r="41" spans="1:24" x14ac:dyDescent="0.25">
      <c r="A41" s="27">
        <v>44646</v>
      </c>
      <c r="B41" s="28">
        <v>75</v>
      </c>
      <c r="C41" s="28"/>
      <c r="D41" s="28"/>
      <c r="E41" s="28">
        <v>5</v>
      </c>
      <c r="F41" s="29">
        <v>391</v>
      </c>
      <c r="G41" s="28"/>
      <c r="H41" s="28">
        <v>140</v>
      </c>
      <c r="I41" s="28"/>
      <c r="J41" s="13">
        <v>1490</v>
      </c>
      <c r="K41" s="34">
        <v>205.49600000000001</v>
      </c>
      <c r="L41" s="52">
        <v>1002</v>
      </c>
      <c r="M41" s="30">
        <v>17612.98</v>
      </c>
      <c r="N41" s="30"/>
      <c r="O41" s="30">
        <v>2564</v>
      </c>
      <c r="P41" s="33"/>
      <c r="Q41" s="30">
        <v>10</v>
      </c>
      <c r="R41" s="30">
        <v>35.700000000000003</v>
      </c>
      <c r="S41" s="30">
        <v>2840.91</v>
      </c>
      <c r="T41" s="32">
        <f t="shared" si="14"/>
        <v>-7.9999999888968887E-4</v>
      </c>
      <c r="U41" s="1"/>
      <c r="V41" s="27">
        <f t="shared" si="15"/>
        <v>44646</v>
      </c>
      <c r="W41" s="28">
        <f t="shared" si="16"/>
        <v>9808.4107831999991</v>
      </c>
      <c r="X41" s="28">
        <f t="shared" si="17"/>
        <v>9163.8829999999998</v>
      </c>
    </row>
    <row r="42" spans="1:24" x14ac:dyDescent="0.25">
      <c r="A42" s="27">
        <v>44648</v>
      </c>
      <c r="B42" s="28">
        <v>239</v>
      </c>
      <c r="C42" s="28"/>
      <c r="D42" s="28"/>
      <c r="E42" s="28">
        <v>9</v>
      </c>
      <c r="F42" s="29">
        <v>425</v>
      </c>
      <c r="G42" s="28"/>
      <c r="H42" s="28">
        <v>25</v>
      </c>
      <c r="I42" s="28"/>
      <c r="J42" s="13">
        <v>400</v>
      </c>
      <c r="K42" s="34">
        <v>1378.691</v>
      </c>
      <c r="L42" s="52">
        <v>40769</v>
      </c>
      <c r="M42" s="30">
        <v>23085.97</v>
      </c>
      <c r="N42" s="30">
        <v>4082.78</v>
      </c>
      <c r="O42" s="30">
        <v>73295.5</v>
      </c>
      <c r="P42" s="33">
        <v>104.91</v>
      </c>
      <c r="Q42" s="30">
        <v>680</v>
      </c>
      <c r="R42" s="30">
        <v>4.2</v>
      </c>
      <c r="S42" s="30">
        <v>2943.55</v>
      </c>
      <c r="T42" s="32">
        <f t="shared" si="14"/>
        <v>1.1950000003707828E-2</v>
      </c>
      <c r="U42" s="1"/>
      <c r="V42" s="27">
        <f t="shared" si="15"/>
        <v>44648</v>
      </c>
      <c r="W42" s="28">
        <f t="shared" si="16"/>
        <v>56491.3265397</v>
      </c>
      <c r="X42" s="28">
        <f t="shared" si="17"/>
        <v>24346.68</v>
      </c>
    </row>
    <row r="43" spans="1:24" x14ac:dyDescent="0.25">
      <c r="A43" s="27">
        <v>44649</v>
      </c>
      <c r="B43" s="28">
        <v>252</v>
      </c>
      <c r="C43" s="28"/>
      <c r="D43" s="28"/>
      <c r="E43" s="28">
        <v>11</v>
      </c>
      <c r="F43" s="29">
        <v>305</v>
      </c>
      <c r="G43" s="28"/>
      <c r="H43" s="28">
        <v>35</v>
      </c>
      <c r="I43" s="28"/>
      <c r="J43" s="13">
        <v>2312</v>
      </c>
      <c r="K43" s="34">
        <v>1111.896</v>
      </c>
      <c r="L43" s="52">
        <v>43671</v>
      </c>
      <c r="M43" s="30">
        <v>18015.189999999999</v>
      </c>
      <c r="N43" s="30">
        <v>5753.4</v>
      </c>
      <c r="O43" s="30">
        <v>79254.570000000007</v>
      </c>
      <c r="P43" s="33">
        <v>92.76</v>
      </c>
      <c r="Q43" s="30">
        <v>1225</v>
      </c>
      <c r="R43" s="30">
        <v>35.700000000000003</v>
      </c>
      <c r="S43" s="30">
        <v>1352.07</v>
      </c>
      <c r="T43" s="32">
        <f t="shared" si="14"/>
        <v>-8.0000000389190973E-4</v>
      </c>
      <c r="U43" s="1"/>
      <c r="V43" s="27">
        <f t="shared" si="15"/>
        <v>44649</v>
      </c>
      <c r="W43" s="28">
        <f t="shared" si="16"/>
        <v>57244.059963200001</v>
      </c>
      <c r="X43" s="28">
        <f t="shared" si="17"/>
        <v>27781.810399999998</v>
      </c>
    </row>
    <row r="44" spans="1:24" x14ac:dyDescent="0.25">
      <c r="A44" s="27">
        <v>44650</v>
      </c>
      <c r="B44" s="28">
        <v>234</v>
      </c>
      <c r="C44" s="28"/>
      <c r="D44" s="28"/>
      <c r="E44" s="28">
        <v>13</v>
      </c>
      <c r="F44" s="29">
        <v>272</v>
      </c>
      <c r="G44" s="28"/>
      <c r="H44" s="28"/>
      <c r="I44" s="28"/>
      <c r="J44" s="13">
        <v>1286</v>
      </c>
      <c r="K44" s="34">
        <v>777.33900000000006</v>
      </c>
      <c r="L44" s="52">
        <v>37504</v>
      </c>
      <c r="M44" s="30">
        <v>18161.400000000001</v>
      </c>
      <c r="N44" s="30">
        <v>4654.6400000000003</v>
      </c>
      <c r="O44" s="30">
        <v>67692.19</v>
      </c>
      <c r="P44" s="33">
        <v>278.27999999999997</v>
      </c>
      <c r="Q44" s="30">
        <v>950</v>
      </c>
      <c r="R44" s="30">
        <v>16.8</v>
      </c>
      <c r="S44" s="30">
        <v>2542.4299999999998</v>
      </c>
      <c r="T44" s="32">
        <f t="shared" si="14"/>
        <v>1.5499999894927896E-3</v>
      </c>
      <c r="U44" s="1"/>
      <c r="V44" s="27">
        <f t="shared" si="15"/>
        <v>44650</v>
      </c>
      <c r="W44" s="28">
        <f t="shared" si="16"/>
        <v>49488.771261300004</v>
      </c>
      <c r="X44" s="28">
        <f t="shared" si="17"/>
        <v>24836.0762</v>
      </c>
    </row>
    <row r="45" spans="1:24" x14ac:dyDescent="0.25">
      <c r="A45" s="35">
        <v>44651</v>
      </c>
      <c r="B45" s="36">
        <v>253</v>
      </c>
      <c r="C45" s="36"/>
      <c r="D45" s="36"/>
      <c r="E45" s="36">
        <v>15</v>
      </c>
      <c r="F45" s="37">
        <v>360</v>
      </c>
      <c r="G45" s="36"/>
      <c r="H45" s="36">
        <v>15</v>
      </c>
      <c r="I45" s="36"/>
      <c r="J45" s="38">
        <v>2865</v>
      </c>
      <c r="K45" s="39">
        <v>875.77200000000005</v>
      </c>
      <c r="L45" s="53">
        <v>37207</v>
      </c>
      <c r="M45" s="40">
        <v>19943.189999999999</v>
      </c>
      <c r="N45" s="40">
        <v>4093.4</v>
      </c>
      <c r="O45" s="40">
        <v>68562.03</v>
      </c>
      <c r="P45" s="54">
        <f>219.52-46.38+158.5</f>
        <v>331.64</v>
      </c>
      <c r="Q45" s="40">
        <v>205</v>
      </c>
      <c r="R45" s="40">
        <v>35.700000000000003</v>
      </c>
      <c r="S45" s="40">
        <v>1502.15</v>
      </c>
      <c r="T45" s="42">
        <f t="shared" si="14"/>
        <v>-5.9999999098181434E-4</v>
      </c>
      <c r="U45" s="16"/>
      <c r="V45" s="35">
        <f t="shared" si="15"/>
        <v>44651</v>
      </c>
      <c r="W45" s="36">
        <f t="shared" si="16"/>
        <v>51242.031492400005</v>
      </c>
      <c r="X45" s="36">
        <f t="shared" si="17"/>
        <v>28499.345499999999</v>
      </c>
    </row>
    <row r="46" spans="1:24" x14ac:dyDescent="0.25">
      <c r="A46" s="50" t="s">
        <v>36</v>
      </c>
      <c r="B46" s="43">
        <f>SUM(B31:B45)</f>
        <v>2797</v>
      </c>
      <c r="C46" s="43">
        <f t="shared" ref="C46:L46" si="22">SUM(C31:C45)</f>
        <v>0</v>
      </c>
      <c r="D46" s="43">
        <f t="shared" si="22"/>
        <v>20</v>
      </c>
      <c r="E46" s="43">
        <f t="shared" si="22"/>
        <v>167</v>
      </c>
      <c r="F46" s="43">
        <f t="shared" si="22"/>
        <v>4725</v>
      </c>
      <c r="G46" s="43">
        <f t="shared" si="22"/>
        <v>5</v>
      </c>
      <c r="H46" s="43">
        <f t="shared" si="22"/>
        <v>645</v>
      </c>
      <c r="I46" s="43">
        <f t="shared" si="22"/>
        <v>1</v>
      </c>
      <c r="J46" s="43">
        <f t="shared" si="22"/>
        <v>33527</v>
      </c>
      <c r="K46" s="94">
        <f t="shared" si="22"/>
        <v>11217.455000000002</v>
      </c>
      <c r="L46" s="43">
        <f t="shared" si="22"/>
        <v>461826</v>
      </c>
      <c r="M46" s="95">
        <f t="shared" ref="M46:T46" si="23">SUM(M31:M45)</f>
        <v>254654.29</v>
      </c>
      <c r="N46" s="95">
        <f t="shared" si="23"/>
        <v>52470.94</v>
      </c>
      <c r="O46" s="95">
        <f t="shared" si="23"/>
        <v>846209.23</v>
      </c>
      <c r="P46" s="95">
        <f t="shared" si="23"/>
        <v>2376.31</v>
      </c>
      <c r="Q46" s="95">
        <f t="shared" si="23"/>
        <v>6540</v>
      </c>
      <c r="R46" s="95">
        <f t="shared" si="23"/>
        <v>394.8</v>
      </c>
      <c r="S46" s="95">
        <f t="shared" si="23"/>
        <v>28670.91</v>
      </c>
      <c r="T46" s="95">
        <f t="shared" si="23"/>
        <v>2.5750000050822841E-2</v>
      </c>
      <c r="U46" s="1"/>
      <c r="V46" s="43"/>
      <c r="W46" s="43">
        <f>SUM(W31:W45)</f>
        <v>640399.62619849993</v>
      </c>
      <c r="X46" s="43">
        <f>SUM(X31:X45)</f>
        <v>317159.60089999996</v>
      </c>
    </row>
    <row r="47" spans="1:24" x14ac:dyDescent="0.25">
      <c r="A47" s="55" t="s">
        <v>37</v>
      </c>
      <c r="B47" s="56">
        <f>(B46*100)</f>
        <v>279700</v>
      </c>
      <c r="C47" s="56">
        <f>(C46*60)</f>
        <v>0</v>
      </c>
      <c r="D47" s="56">
        <f>(D46)</f>
        <v>20</v>
      </c>
      <c r="E47" s="56">
        <f>(E46*100)</f>
        <v>16700</v>
      </c>
      <c r="F47" s="56">
        <f>(F46*20)</f>
        <v>94500</v>
      </c>
      <c r="G47" s="56">
        <f>(G46*60)</f>
        <v>300</v>
      </c>
      <c r="H47" s="56">
        <f>(H46)</f>
        <v>645</v>
      </c>
      <c r="I47" s="56">
        <f>+I46*7</f>
        <v>7</v>
      </c>
      <c r="J47" s="57">
        <f>(J46*1.1167)</f>
        <v>37439.600899999998</v>
      </c>
      <c r="K47" s="58">
        <f>(K46*1.1167)</f>
        <v>12526.531998500002</v>
      </c>
      <c r="L47" s="59">
        <f>(L46*1.1167)</f>
        <v>515721.09419999999</v>
      </c>
      <c r="M47" s="60"/>
      <c r="N47" s="60"/>
      <c r="O47" s="60"/>
      <c r="P47" s="60"/>
      <c r="Q47" s="60"/>
      <c r="R47" s="60"/>
      <c r="S47" s="60"/>
      <c r="T47" s="60"/>
      <c r="U47" s="16"/>
      <c r="V47" s="61" t="s">
        <v>35</v>
      </c>
      <c r="W47" s="56">
        <f>+L56+L57+L58+L59-W46</f>
        <v>0</v>
      </c>
      <c r="X47" s="56">
        <f>+L55-X46</f>
        <v>0</v>
      </c>
    </row>
    <row r="48" spans="1:24" x14ac:dyDescent="0.25">
      <c r="A48" s="93"/>
      <c r="B48" s="43"/>
      <c r="C48" s="43"/>
      <c r="D48" s="43"/>
      <c r="E48" s="43"/>
      <c r="F48" s="43"/>
      <c r="G48" s="43"/>
      <c r="H48" s="43"/>
      <c r="I48" s="43"/>
      <c r="J48" s="75"/>
      <c r="K48" s="76"/>
      <c r="L48" s="77"/>
      <c r="M48" s="49"/>
      <c r="N48" s="49"/>
      <c r="O48" s="49"/>
      <c r="P48" s="49"/>
      <c r="Q48" s="49"/>
      <c r="R48" s="49"/>
      <c r="S48" s="49"/>
      <c r="T48" s="49"/>
      <c r="U48" s="1"/>
      <c r="V48" s="50"/>
      <c r="W48" s="43"/>
      <c r="X48" s="43"/>
    </row>
    <row r="49" spans="1:24" ht="26.25" x14ac:dyDescent="0.25">
      <c r="A49" s="62" t="s">
        <v>38</v>
      </c>
      <c r="B49" s="43">
        <f>+B12+B27+B46</f>
        <v>5749</v>
      </c>
      <c r="C49" s="43">
        <f t="shared" ref="C49:L49" si="24">+C12+C27+C46</f>
        <v>0</v>
      </c>
      <c r="D49" s="43">
        <f t="shared" si="24"/>
        <v>120</v>
      </c>
      <c r="E49" s="43">
        <f t="shared" si="24"/>
        <v>326</v>
      </c>
      <c r="F49" s="43">
        <f t="shared" si="24"/>
        <v>9986</v>
      </c>
      <c r="G49" s="43">
        <f t="shared" si="24"/>
        <v>11</v>
      </c>
      <c r="H49" s="43">
        <f t="shared" si="24"/>
        <v>1560</v>
      </c>
      <c r="I49" s="43">
        <f t="shared" si="24"/>
        <v>1</v>
      </c>
      <c r="J49" s="43">
        <f t="shared" si="24"/>
        <v>67649</v>
      </c>
      <c r="K49" s="43">
        <f t="shared" si="24"/>
        <v>22585.425000000003</v>
      </c>
      <c r="L49" s="43">
        <f t="shared" si="24"/>
        <v>897062</v>
      </c>
      <c r="M49" s="95">
        <f>+M12+M27+M46</f>
        <v>519191.14</v>
      </c>
      <c r="N49" s="95">
        <f t="shared" ref="N49:T49" si="25">+N12+N27+N46</f>
        <v>112594.82</v>
      </c>
      <c r="O49" s="96">
        <f t="shared" si="25"/>
        <v>1625234.86</v>
      </c>
      <c r="P49" s="95">
        <f t="shared" si="25"/>
        <v>4779.93</v>
      </c>
      <c r="Q49" s="95">
        <f t="shared" si="25"/>
        <v>17515</v>
      </c>
      <c r="R49" s="95">
        <f t="shared" si="25"/>
        <v>800.10000000000014</v>
      </c>
      <c r="S49" s="95">
        <f t="shared" si="25"/>
        <v>58497.759999999995</v>
      </c>
      <c r="T49" s="95">
        <f t="shared" si="25"/>
        <v>-3.5499999179480213E-3</v>
      </c>
      <c r="U49" s="1"/>
      <c r="V49" s="43"/>
      <c r="W49" s="43">
        <f>+W28+W46</f>
        <v>1261517.2794974998</v>
      </c>
      <c r="X49" s="43">
        <f>+X28+X46</f>
        <v>650563.63829999999</v>
      </c>
    </row>
    <row r="50" spans="1:24" x14ac:dyDescent="0.25">
      <c r="A50" s="55" t="s">
        <v>37</v>
      </c>
      <c r="B50" s="56">
        <f>(B49*100)</f>
        <v>574900</v>
      </c>
      <c r="C50" s="56">
        <f>(C49*60)</f>
        <v>0</v>
      </c>
      <c r="D50" s="56">
        <f>(D49)</f>
        <v>120</v>
      </c>
      <c r="E50" s="56">
        <f>(E49*100)</f>
        <v>32600</v>
      </c>
      <c r="F50" s="63">
        <f>(F49*20)</f>
        <v>199720</v>
      </c>
      <c r="G50" s="56">
        <f>(G49*60)</f>
        <v>660</v>
      </c>
      <c r="H50" s="56">
        <f>(H49)</f>
        <v>1560</v>
      </c>
      <c r="I50" s="56">
        <f>+I49*7</f>
        <v>7</v>
      </c>
      <c r="J50" s="57">
        <f>(J49*1.1167)</f>
        <v>75543.638300000006</v>
      </c>
      <c r="K50" s="58">
        <f>(K49*1.1167)</f>
        <v>25221.144097500004</v>
      </c>
      <c r="L50" s="59">
        <f>(L49*1.1167)</f>
        <v>1001749.1354</v>
      </c>
      <c r="M50" s="60"/>
      <c r="N50" s="60"/>
      <c r="O50" s="60"/>
      <c r="P50" s="60"/>
      <c r="Q50" s="60"/>
      <c r="R50" s="60"/>
      <c r="S50" s="60"/>
      <c r="T50" s="60"/>
      <c r="U50" s="16"/>
      <c r="V50" s="60"/>
      <c r="W50" s="56">
        <f>+D64+D65+D66+D67-W49</f>
        <v>0</v>
      </c>
      <c r="X50" s="56">
        <f>+D63-X49</f>
        <v>0</v>
      </c>
    </row>
    <row r="51" spans="1:24" x14ac:dyDescent="0.25">
      <c r="A51" s="51"/>
      <c r="B51" s="51"/>
      <c r="C51" s="51"/>
      <c r="D51" s="51"/>
      <c r="E51" s="51"/>
      <c r="F51" s="64"/>
      <c r="G51" s="51"/>
      <c r="H51" s="51"/>
      <c r="I51" s="51"/>
      <c r="J51" s="13"/>
      <c r="K51" s="65"/>
      <c r="L51" s="66"/>
      <c r="M51" s="67"/>
      <c r="N51" s="67"/>
      <c r="O51" s="67"/>
      <c r="P51" s="67"/>
      <c r="Q51" s="67"/>
      <c r="R51" s="67"/>
      <c r="S51" s="67"/>
      <c r="T51" s="67"/>
      <c r="U51" s="1"/>
      <c r="V51" s="1"/>
      <c r="W51" s="1"/>
      <c r="X51" s="1"/>
    </row>
    <row r="52" spans="1:24" x14ac:dyDescent="0.25">
      <c r="A52" s="51"/>
      <c r="B52" s="51"/>
      <c r="C52" s="51"/>
      <c r="D52" s="51"/>
      <c r="E52" s="51"/>
      <c r="F52" s="64"/>
      <c r="G52" s="51"/>
      <c r="H52" s="51"/>
      <c r="I52" s="51"/>
      <c r="J52" s="13"/>
      <c r="K52" s="65"/>
      <c r="L52" s="66"/>
      <c r="M52" s="67"/>
      <c r="N52" s="67"/>
      <c r="O52" s="67"/>
      <c r="P52" s="67"/>
      <c r="Q52" s="67"/>
      <c r="R52" s="67"/>
      <c r="S52" s="67"/>
      <c r="T52" s="67"/>
      <c r="U52" s="1"/>
      <c r="V52" s="1"/>
      <c r="W52" s="1"/>
      <c r="X52" s="1"/>
    </row>
    <row r="53" spans="1:24" x14ac:dyDescent="0.25">
      <c r="A53" s="51"/>
      <c r="B53" s="51"/>
      <c r="C53" s="51"/>
      <c r="D53" s="51"/>
      <c r="E53" s="51"/>
      <c r="F53" s="64"/>
      <c r="G53" s="51"/>
      <c r="H53" s="51"/>
      <c r="I53" s="51"/>
      <c r="J53" s="13"/>
      <c r="K53" s="65"/>
      <c r="L53" s="66"/>
      <c r="M53" s="67"/>
      <c r="N53" s="67"/>
      <c r="O53" s="67"/>
      <c r="P53" s="67"/>
      <c r="Q53" s="67"/>
      <c r="R53" s="67"/>
      <c r="S53" s="67"/>
      <c r="T53" s="67"/>
      <c r="U53" s="1"/>
      <c r="V53" s="1"/>
      <c r="W53" s="1"/>
      <c r="X53" s="1"/>
    </row>
    <row r="54" spans="1:24" x14ac:dyDescent="0.25">
      <c r="A54" s="27"/>
      <c r="B54" s="68" t="s">
        <v>39</v>
      </c>
      <c r="C54" s="56"/>
      <c r="D54" s="56"/>
      <c r="E54" s="56"/>
      <c r="F54" s="43"/>
      <c r="G54" s="43"/>
      <c r="H54" s="43"/>
      <c r="I54" s="43"/>
      <c r="J54" s="57" t="s">
        <v>40</v>
      </c>
      <c r="K54" s="58"/>
      <c r="L54" s="59"/>
      <c r="M54" s="6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69" t="s">
        <v>41</v>
      </c>
      <c r="C55" s="43"/>
      <c r="D55" s="43">
        <f>+B13+C13+D13+B28+D28+J13+J28</f>
        <v>333404.03739999997</v>
      </c>
      <c r="E55" s="70" t="s">
        <v>42</v>
      </c>
      <c r="F55" s="70"/>
      <c r="G55" s="43"/>
      <c r="H55" s="43"/>
      <c r="I55" s="43"/>
      <c r="J55" s="44" t="s">
        <v>41</v>
      </c>
      <c r="K55" s="47"/>
      <c r="L55" s="45">
        <f>+B47+D47+J47</f>
        <v>317159.60090000002</v>
      </c>
      <c r="M55" s="2" t="s">
        <v>42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69" t="s">
        <v>43</v>
      </c>
      <c r="C56" s="43"/>
      <c r="D56" s="43">
        <f>+F13+F28</f>
        <v>105220</v>
      </c>
      <c r="E56" s="70" t="s">
        <v>42</v>
      </c>
      <c r="F56" s="70"/>
      <c r="G56" s="43"/>
      <c r="H56" s="43"/>
      <c r="I56" s="43"/>
      <c r="J56" s="71" t="s">
        <v>43</v>
      </c>
      <c r="K56" s="47"/>
      <c r="L56" s="48">
        <f>+F47</f>
        <v>94500</v>
      </c>
      <c r="M56" s="2" t="s">
        <v>42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27"/>
      <c r="B57" s="69" t="s">
        <v>44</v>
      </c>
      <c r="C57" s="43"/>
      <c r="D57" s="43">
        <f>+E13+G13+H13+E28+G28+H28</f>
        <v>17175</v>
      </c>
      <c r="E57" s="70" t="s">
        <v>42</v>
      </c>
      <c r="F57" s="70"/>
      <c r="G57" s="43"/>
      <c r="H57" s="43"/>
      <c r="I57" s="43"/>
      <c r="J57" s="44" t="s">
        <v>44</v>
      </c>
      <c r="K57" s="47"/>
      <c r="L57" s="48">
        <f>+E47+G47+H47+I47</f>
        <v>17652</v>
      </c>
      <c r="M57" s="2" t="s">
        <v>42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27"/>
      <c r="B58" s="69" t="s">
        <v>45</v>
      </c>
      <c r="C58" s="43"/>
      <c r="D58" s="43">
        <f>+K13+K28</f>
        <v>12694.612099</v>
      </c>
      <c r="E58" s="70" t="s">
        <v>42</v>
      </c>
      <c r="F58" s="70"/>
      <c r="G58" s="43"/>
      <c r="H58" s="43"/>
      <c r="I58" s="43"/>
      <c r="J58" s="71" t="s">
        <v>45</v>
      </c>
      <c r="K58" s="47"/>
      <c r="L58" s="48">
        <f>+K47</f>
        <v>12526.531998500002</v>
      </c>
      <c r="M58" s="2" t="s">
        <v>42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27"/>
      <c r="B59" s="72" t="s">
        <v>46</v>
      </c>
      <c r="C59" s="56"/>
      <c r="D59" s="56">
        <f>+L13+L28</f>
        <v>486028.04120000004</v>
      </c>
      <c r="E59" s="73" t="s">
        <v>42</v>
      </c>
      <c r="F59" s="73"/>
      <c r="G59" s="43"/>
      <c r="H59" s="43"/>
      <c r="I59" s="43"/>
      <c r="J59" s="57" t="s">
        <v>46</v>
      </c>
      <c r="K59" s="58"/>
      <c r="L59" s="59">
        <f>+L47</f>
        <v>515721.09419999999</v>
      </c>
      <c r="M59" s="74" t="s">
        <v>42</v>
      </c>
      <c r="N59" s="1"/>
      <c r="O59" s="1"/>
      <c r="P59" s="1"/>
      <c r="Q59" s="1"/>
      <c r="R59" s="1"/>
      <c r="S59" s="1"/>
      <c r="T59" s="1"/>
      <c r="V59" s="1"/>
      <c r="W59" s="1"/>
      <c r="X59" s="1"/>
    </row>
    <row r="60" spans="1:24" x14ac:dyDescent="0.25">
      <c r="A60" s="27"/>
      <c r="B60" s="69"/>
      <c r="C60" s="43"/>
      <c r="D60" s="43">
        <f>SUM(D55:D59)</f>
        <v>954521.69069900003</v>
      </c>
      <c r="E60" s="70" t="s">
        <v>42</v>
      </c>
      <c r="F60" s="70"/>
      <c r="G60" s="43"/>
      <c r="H60" s="43"/>
      <c r="I60" s="43"/>
      <c r="J60" s="75"/>
      <c r="K60" s="76"/>
      <c r="L60" s="77">
        <f>SUM(L55:L59)</f>
        <v>957559.22709850001</v>
      </c>
      <c r="M60" s="2" t="s">
        <v>42</v>
      </c>
      <c r="N60" s="1"/>
      <c r="O60" s="1"/>
      <c r="P60" s="1"/>
      <c r="Q60" s="1"/>
      <c r="R60" s="1"/>
      <c r="S60" s="1"/>
      <c r="T60" s="1"/>
      <c r="V60" s="1"/>
      <c r="W60" s="1"/>
      <c r="X60" s="1"/>
    </row>
    <row r="61" spans="1:24" x14ac:dyDescent="0.25">
      <c r="A61" s="27"/>
      <c r="B61" s="69"/>
      <c r="C61" s="43"/>
      <c r="D61" s="43"/>
      <c r="E61" s="70"/>
      <c r="F61" s="70"/>
      <c r="G61" s="43"/>
      <c r="H61" s="43"/>
      <c r="I61" s="43"/>
      <c r="J61" s="75"/>
      <c r="K61" s="76"/>
      <c r="L61" s="77"/>
      <c r="M61" s="2"/>
      <c r="N61" s="1"/>
      <c r="O61" s="1"/>
      <c r="P61" s="1"/>
      <c r="Q61" s="1"/>
      <c r="R61" s="1"/>
      <c r="S61" s="1"/>
      <c r="T61" s="1"/>
      <c r="V61" s="1"/>
      <c r="W61" s="1"/>
      <c r="X61" s="1"/>
    </row>
    <row r="62" spans="1:24" ht="15.75" thickBot="1" x14ac:dyDescent="0.3">
      <c r="A62" s="27"/>
      <c r="B62" s="78"/>
      <c r="C62" s="78"/>
      <c r="D62" s="79" t="s">
        <v>47</v>
      </c>
      <c r="E62" s="78"/>
      <c r="F62" s="78"/>
      <c r="G62" s="78"/>
      <c r="H62" s="78"/>
      <c r="I62" s="78"/>
      <c r="J62" s="80"/>
      <c r="K62" s="47"/>
      <c r="L62" s="48"/>
      <c r="M62" s="49"/>
      <c r="N62" s="1"/>
      <c r="O62" s="1"/>
      <c r="P62" s="1"/>
      <c r="Q62" s="1"/>
      <c r="R62" s="1"/>
      <c r="S62" s="1"/>
      <c r="T62" s="1"/>
      <c r="V62" s="1"/>
      <c r="W62" s="1"/>
      <c r="X62" s="1"/>
    </row>
    <row r="63" spans="1:24" x14ac:dyDescent="0.25">
      <c r="A63" s="27"/>
      <c r="B63" s="81" t="s">
        <v>41</v>
      </c>
      <c r="C63" s="43"/>
      <c r="D63" s="43">
        <f>+D55+L55</f>
        <v>650563.63829999999</v>
      </c>
      <c r="E63" s="70" t="s">
        <v>42</v>
      </c>
      <c r="F63" s="70" t="s">
        <v>48</v>
      </c>
      <c r="G63" s="82">
        <f>D5</f>
        <v>0.46379999999999999</v>
      </c>
      <c r="H63" s="70" t="s">
        <v>33</v>
      </c>
      <c r="I63" s="70"/>
      <c r="J63" s="44">
        <f>D63*G63</f>
        <v>301731.41544353997</v>
      </c>
      <c r="K63" s="47">
        <f>+D63-X49</f>
        <v>0</v>
      </c>
      <c r="L63" s="48"/>
      <c r="M63" s="49"/>
      <c r="N63" s="1"/>
      <c r="O63" s="1"/>
      <c r="P63" s="1"/>
      <c r="Q63" s="1"/>
      <c r="R63" s="1"/>
      <c r="S63" s="1"/>
      <c r="T63" s="1"/>
      <c r="V63" s="1"/>
      <c r="W63" s="1"/>
      <c r="X63" s="1"/>
    </row>
    <row r="64" spans="1:24" x14ac:dyDescent="0.25">
      <c r="A64" s="27"/>
      <c r="B64" s="69" t="s">
        <v>43</v>
      </c>
      <c r="C64" s="43"/>
      <c r="D64" s="43">
        <f>+D56+L56</f>
        <v>199720</v>
      </c>
      <c r="E64" s="70" t="s">
        <v>42</v>
      </c>
      <c r="F64" s="70" t="s">
        <v>48</v>
      </c>
      <c r="G64" s="83">
        <f>F5/20</f>
        <v>1.2</v>
      </c>
      <c r="H64" s="70" t="s">
        <v>33</v>
      </c>
      <c r="I64" s="70"/>
      <c r="J64" s="44">
        <f>D64*G64</f>
        <v>239664</v>
      </c>
      <c r="K64" s="47">
        <f>+D64+D65+D66+D67-W49</f>
        <v>0</v>
      </c>
      <c r="L64" s="48"/>
      <c r="M64" s="49"/>
      <c r="N64" s="1"/>
      <c r="O64" s="1"/>
      <c r="P64" s="1"/>
      <c r="Q64" s="1"/>
      <c r="R64" s="1"/>
      <c r="S64" s="1"/>
      <c r="T64" s="1"/>
      <c r="V64" s="1"/>
      <c r="W64" s="1"/>
      <c r="X64" s="1"/>
    </row>
    <row r="65" spans="1:24" x14ac:dyDescent="0.25">
      <c r="A65" s="27"/>
      <c r="B65" s="81" t="s">
        <v>44</v>
      </c>
      <c r="C65" s="43"/>
      <c r="D65" s="43">
        <f>+D57+L57</f>
        <v>34827</v>
      </c>
      <c r="E65" s="70" t="s">
        <v>42</v>
      </c>
      <c r="F65" s="70" t="s">
        <v>48</v>
      </c>
      <c r="G65" s="83">
        <f>E5/100</f>
        <v>1.44</v>
      </c>
      <c r="H65" s="70" t="s">
        <v>33</v>
      </c>
      <c r="I65" s="70"/>
      <c r="J65" s="75">
        <f>D65*G65</f>
        <v>50150.879999999997</v>
      </c>
      <c r="K65" s="47"/>
      <c r="L65" s="48"/>
      <c r="M65" s="49"/>
      <c r="N65" s="1"/>
      <c r="O65" s="1"/>
      <c r="P65" s="1"/>
      <c r="Q65" s="1"/>
      <c r="R65" s="1"/>
      <c r="S65" s="1"/>
      <c r="T65" s="1"/>
      <c r="V65" s="1"/>
      <c r="W65" s="1"/>
      <c r="X65" s="1"/>
    </row>
    <row r="66" spans="1:24" x14ac:dyDescent="0.25">
      <c r="A66" s="27"/>
      <c r="B66" s="69" t="s">
        <v>45</v>
      </c>
      <c r="C66" s="43"/>
      <c r="D66" s="43">
        <f>+D58+L58</f>
        <v>25221.1440975</v>
      </c>
      <c r="E66" s="70" t="s">
        <v>42</v>
      </c>
      <c r="F66" s="70" t="s">
        <v>48</v>
      </c>
      <c r="G66" s="83">
        <f>K5/1.1167</f>
        <v>1.2984687024267931</v>
      </c>
      <c r="H66" s="70" t="s">
        <v>33</v>
      </c>
      <c r="I66" s="70"/>
      <c r="J66" s="75">
        <f>+D66*G66</f>
        <v>32748.866249999999</v>
      </c>
      <c r="K66" s="47"/>
      <c r="L66" s="48"/>
      <c r="M66" s="49"/>
      <c r="N66" s="1"/>
      <c r="O66" s="1"/>
      <c r="P66" s="1"/>
      <c r="Q66" s="1"/>
      <c r="R66" s="1"/>
      <c r="S66" s="1"/>
      <c r="T66" s="1"/>
      <c r="V66" s="1"/>
      <c r="W66" s="1"/>
      <c r="X66" s="1"/>
    </row>
    <row r="67" spans="1:24" ht="15.75" thickBot="1" x14ac:dyDescent="0.3">
      <c r="A67" s="27"/>
      <c r="B67" s="79" t="s">
        <v>46</v>
      </c>
      <c r="C67" s="78"/>
      <c r="D67" s="78">
        <f>+D59+L59</f>
        <v>1001749.1354</v>
      </c>
      <c r="E67" s="84" t="s">
        <v>42</v>
      </c>
      <c r="F67" s="84" t="s">
        <v>48</v>
      </c>
      <c r="G67" s="85">
        <f>L5/1.1167</f>
        <v>1.4238380943852422</v>
      </c>
      <c r="H67" s="84" t="s">
        <v>33</v>
      </c>
      <c r="I67" s="84"/>
      <c r="J67" s="80">
        <f>D67*G67</f>
        <v>1426328.58</v>
      </c>
      <c r="K67" s="47"/>
      <c r="L67" s="48"/>
      <c r="M67" s="49"/>
      <c r="N67" s="1"/>
      <c r="O67" s="1"/>
      <c r="P67" s="1"/>
      <c r="Q67" s="1"/>
      <c r="R67" s="1"/>
      <c r="S67" s="1"/>
      <c r="T67" s="1"/>
      <c r="V67" s="1"/>
      <c r="W67" s="1"/>
      <c r="X67" s="1"/>
    </row>
    <row r="68" spans="1:24" x14ac:dyDescent="0.25">
      <c r="A68" s="27"/>
      <c r="B68" s="81"/>
      <c r="C68" s="43"/>
      <c r="D68" s="43">
        <f>SUM(D63:D67)</f>
        <v>1912080.9177975</v>
      </c>
      <c r="E68" s="70"/>
      <c r="F68" s="70"/>
      <c r="G68" s="83"/>
      <c r="H68" s="70"/>
      <c r="I68" s="70"/>
      <c r="J68" s="75">
        <f>SUM(J63:J67)</f>
        <v>2050623.74169354</v>
      </c>
      <c r="K68" s="47"/>
      <c r="L68" s="48"/>
      <c r="M68" s="49"/>
      <c r="N68" s="1"/>
      <c r="O68" s="1"/>
      <c r="P68" s="1"/>
      <c r="Q68" s="1"/>
      <c r="R68" s="1"/>
      <c r="S68" s="1"/>
      <c r="T68" s="1"/>
      <c r="V68" s="1"/>
      <c r="W68" s="1"/>
      <c r="X68" s="1"/>
    </row>
    <row r="69" spans="1:24" x14ac:dyDescent="0.25">
      <c r="A69" s="27"/>
      <c r="B69" s="81"/>
      <c r="C69" s="43"/>
      <c r="D69" s="43"/>
      <c r="E69" s="70"/>
      <c r="F69" s="70"/>
      <c r="G69" s="83"/>
      <c r="H69" s="70"/>
      <c r="I69" s="70"/>
      <c r="J69" s="75"/>
      <c r="K69" s="47"/>
      <c r="L69" s="48"/>
      <c r="M69" s="49"/>
      <c r="N69" s="1"/>
      <c r="O69" s="1"/>
      <c r="P69" s="1"/>
      <c r="Q69" s="1"/>
      <c r="R69" s="1"/>
      <c r="S69" s="1"/>
      <c r="T69" s="1"/>
      <c r="V69" s="1"/>
      <c r="W69" s="1"/>
      <c r="X69" s="1"/>
    </row>
    <row r="70" spans="1:24" x14ac:dyDescent="0.25">
      <c r="J70" s="86"/>
    </row>
  </sheetData>
  <pageMargins left="0.23" right="0.2" top="0.32" bottom="0.28000000000000003" header="0.17" footer="0.17"/>
  <pageSetup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6A57-7C78-46A4-A39A-6AF441EC5898}">
  <dimension ref="A1:X60"/>
  <sheetViews>
    <sheetView workbookViewId="0">
      <selection activeCell="K6" sqref="K6"/>
    </sheetView>
  </sheetViews>
  <sheetFormatPr defaultRowHeight="15" x14ac:dyDescent="0.25"/>
  <cols>
    <col min="1" max="1" width="14" customWidth="1"/>
    <col min="2" max="2" width="10.42578125" customWidth="1"/>
    <col min="4" max="4" width="14.8554687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6.85546875" customWidth="1"/>
    <col min="10" max="10" width="13.5703125" customWidth="1"/>
    <col min="11" max="11" width="15.5703125" customWidth="1"/>
    <col min="12" max="12" width="13.42578125" customWidth="1"/>
    <col min="13" max="13" width="16" customWidth="1"/>
    <col min="14" max="14" width="14.85546875" customWidth="1"/>
    <col min="15" max="15" width="15.140625" customWidth="1"/>
    <col min="16" max="16" width="14" customWidth="1"/>
    <col min="17" max="17" width="13.85546875" customWidth="1"/>
    <col min="18" max="18" width="10.140625" customWidth="1"/>
    <col min="19" max="19" width="14" customWidth="1"/>
    <col min="20" max="20" width="11.570312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>
        <v>44652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158.5</v>
      </c>
      <c r="F5" s="18">
        <v>25.5</v>
      </c>
      <c r="G5" s="18">
        <v>95</v>
      </c>
      <c r="H5" s="87">
        <v>1.59</v>
      </c>
      <c r="I5" s="17">
        <v>18.55</v>
      </c>
      <c r="J5" s="88">
        <v>0.52</v>
      </c>
      <c r="K5" s="89">
        <v>1.55</v>
      </c>
      <c r="L5" s="90">
        <v>1.75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44652</v>
      </c>
      <c r="B7" s="28">
        <v>233</v>
      </c>
      <c r="C7" s="28"/>
      <c r="D7" s="28"/>
      <c r="E7" s="28">
        <v>21</v>
      </c>
      <c r="F7" s="29">
        <v>415</v>
      </c>
      <c r="G7" s="28">
        <v>2</v>
      </c>
      <c r="H7" s="28">
        <v>145</v>
      </c>
      <c r="I7" s="28"/>
      <c r="J7" s="13">
        <f>2695+150</f>
        <v>2845</v>
      </c>
      <c r="K7" s="6">
        <v>607.85599999999999</v>
      </c>
      <c r="L7" s="28">
        <f>38899-150</f>
        <v>38749</v>
      </c>
      <c r="M7" s="30">
        <v>19969.55</v>
      </c>
      <c r="N7" s="30">
        <v>5465.42</v>
      </c>
      <c r="O7" s="30">
        <f>71421.49-184.5</f>
        <v>71236.990000000005</v>
      </c>
      <c r="P7" s="31">
        <v>214.02</v>
      </c>
      <c r="Q7" s="30">
        <v>445</v>
      </c>
      <c r="R7" s="30">
        <v>33.6</v>
      </c>
      <c r="S7" s="30">
        <v>1097.74</v>
      </c>
      <c r="T7" s="32">
        <f t="shared" ref="T7:T19" si="0">+B7*46.38+C7*27.83+D7*0.4638+E7*158.5+F7*25.5+G7*95+H7*1.59+I7*18.55+J7*0.52+K7*1.45+L7*1.75-M7-N7-O7-P7+Q7+R7+S7</f>
        <v>-8.8000000030206138E-3</v>
      </c>
      <c r="U7" s="1"/>
      <c r="V7" s="27">
        <f>+A7</f>
        <v>44652</v>
      </c>
      <c r="W7" s="28">
        <f>SUM(E7*100+F7*20+G7*60+H7+I7*7+K7*1.1167+L7*1.1167)</f>
        <v>54614.801095200004</v>
      </c>
      <c r="X7" s="28">
        <f t="shared" ref="X7:X19" si="1">SUM(B7*100+C7*60+D7+J7*1.1167)</f>
        <v>26477.011500000001</v>
      </c>
    </row>
    <row r="8" spans="1:24" x14ac:dyDescent="0.25">
      <c r="A8" s="27">
        <v>44653</v>
      </c>
      <c r="B8" s="28">
        <v>80</v>
      </c>
      <c r="C8" s="28"/>
      <c r="D8" s="28"/>
      <c r="E8" s="28"/>
      <c r="F8" s="29">
        <v>465</v>
      </c>
      <c r="G8" s="28"/>
      <c r="H8" s="28">
        <v>40</v>
      </c>
      <c r="I8" s="28"/>
      <c r="J8" s="13">
        <v>1727</v>
      </c>
      <c r="K8" s="6">
        <v>299.93799999999999</v>
      </c>
      <c r="L8" s="28">
        <v>2507</v>
      </c>
      <c r="M8" s="30">
        <v>16399.22</v>
      </c>
      <c r="N8" s="30"/>
      <c r="O8" s="30">
        <v>5601.28</v>
      </c>
      <c r="P8" s="31">
        <v>19</v>
      </c>
      <c r="Q8" s="30">
        <v>270</v>
      </c>
      <c r="R8" s="30">
        <v>37.799999999999997</v>
      </c>
      <c r="S8" s="30">
        <v>360</v>
      </c>
      <c r="T8" s="32">
        <f t="shared" si="0"/>
        <v>1.0000000094123607E-4</v>
      </c>
      <c r="U8" s="1"/>
      <c r="V8" s="27">
        <f t="shared" ref="V8:V19" si="2">+A8</f>
        <v>44653</v>
      </c>
      <c r="W8" s="28">
        <f t="shared" ref="W8:W19" si="3">SUM(E8*100+F8*20+G8*60+H8+I8*7+K8*1.1167+L8*1.1167)</f>
        <v>12474.5076646</v>
      </c>
      <c r="X8" s="28">
        <f t="shared" si="1"/>
        <v>9928.5409</v>
      </c>
    </row>
    <row r="9" spans="1:24" x14ac:dyDescent="0.25">
      <c r="A9" s="27">
        <v>44655</v>
      </c>
      <c r="B9" s="28">
        <v>240</v>
      </c>
      <c r="C9" s="28"/>
      <c r="D9" s="28"/>
      <c r="E9" s="28">
        <v>11</v>
      </c>
      <c r="F9" s="29">
        <v>440</v>
      </c>
      <c r="G9" s="28"/>
      <c r="H9" s="28">
        <v>65</v>
      </c>
      <c r="I9" s="28"/>
      <c r="J9" s="13">
        <v>3511</v>
      </c>
      <c r="K9" s="6">
        <v>1388.403</v>
      </c>
      <c r="L9" s="28">
        <v>40674</v>
      </c>
      <c r="M9" s="30">
        <v>20878.14</v>
      </c>
      <c r="N9" s="30">
        <v>5100.1000000000004</v>
      </c>
      <c r="O9" s="30">
        <v>75319.47</v>
      </c>
      <c r="P9" s="33">
        <v>213.35</v>
      </c>
      <c r="Q9" s="30">
        <v>575</v>
      </c>
      <c r="R9" s="30">
        <v>18.899999999999999</v>
      </c>
      <c r="S9" s="30">
        <v>1700.7</v>
      </c>
      <c r="T9" s="32">
        <f t="shared" si="0"/>
        <v>-5.6500000061987521E-3</v>
      </c>
      <c r="U9" s="1"/>
      <c r="V9" s="27">
        <f t="shared" si="2"/>
        <v>44655</v>
      </c>
      <c r="W9" s="28">
        <f t="shared" si="3"/>
        <v>56936.0854301</v>
      </c>
      <c r="X9" s="28">
        <f t="shared" si="1"/>
        <v>27920.733700000001</v>
      </c>
    </row>
    <row r="10" spans="1:24" x14ac:dyDescent="0.25">
      <c r="A10" s="27">
        <v>44656</v>
      </c>
      <c r="B10" s="28">
        <v>241</v>
      </c>
      <c r="C10" s="28"/>
      <c r="D10" s="28"/>
      <c r="E10" s="28">
        <v>10</v>
      </c>
      <c r="F10" s="29">
        <v>319</v>
      </c>
      <c r="G10" s="28"/>
      <c r="H10" s="28">
        <v>30</v>
      </c>
      <c r="I10" s="28"/>
      <c r="J10" s="13">
        <f>3476-170</f>
        <v>3306</v>
      </c>
      <c r="K10" s="34">
        <v>1282.838</v>
      </c>
      <c r="L10" s="28">
        <f>42625+170</f>
        <v>42795</v>
      </c>
      <c r="M10" s="30">
        <v>18271.400000000001</v>
      </c>
      <c r="N10" s="30">
        <v>4696.37</v>
      </c>
      <c r="O10" s="30">
        <f>78141.17+170*1.75-170*0.52-2.1</f>
        <v>78348.17</v>
      </c>
      <c r="P10" s="31">
        <v>314.64</v>
      </c>
      <c r="Q10" s="30">
        <v>730</v>
      </c>
      <c r="R10" s="30">
        <f>31.5-2.1</f>
        <v>29.4</v>
      </c>
      <c r="S10" s="30">
        <v>1455.91</v>
      </c>
      <c r="T10" s="32">
        <f t="shared" si="0"/>
        <v>-4.8999999978605047E-3</v>
      </c>
      <c r="U10" s="1"/>
      <c r="V10" s="27">
        <f t="shared" si="2"/>
        <v>44656</v>
      </c>
      <c r="W10" s="28">
        <f t="shared" si="3"/>
        <v>56631.721694599997</v>
      </c>
      <c r="X10" s="28">
        <f t="shared" si="1"/>
        <v>27791.8102</v>
      </c>
    </row>
    <row r="11" spans="1:24" x14ac:dyDescent="0.25">
      <c r="A11" s="27">
        <v>44657</v>
      </c>
      <c r="B11" s="28">
        <v>227</v>
      </c>
      <c r="C11" s="28"/>
      <c r="D11" s="28">
        <v>20</v>
      </c>
      <c r="E11" s="28">
        <v>14</v>
      </c>
      <c r="F11" s="29">
        <v>353</v>
      </c>
      <c r="G11" s="28"/>
      <c r="H11" s="28"/>
      <c r="I11" s="28"/>
      <c r="J11" s="13">
        <v>1698</v>
      </c>
      <c r="K11" s="34">
        <v>246.59200000000001</v>
      </c>
      <c r="L11" s="28">
        <v>38827</v>
      </c>
      <c r="M11" s="30">
        <v>19475.7</v>
      </c>
      <c r="N11" s="30">
        <v>4637.4799999999996</v>
      </c>
      <c r="O11" s="30">
        <v>70625.929999999993</v>
      </c>
      <c r="P11" s="33">
        <v>188.9</v>
      </c>
      <c r="Q11" s="30">
        <v>800</v>
      </c>
      <c r="R11" s="30">
        <v>31.5</v>
      </c>
      <c r="S11" s="30">
        <v>3150.71</v>
      </c>
      <c r="T11" s="32">
        <f t="shared" si="0"/>
        <v>4.4000000075357093E-3</v>
      </c>
      <c r="U11" s="1"/>
      <c r="V11" s="27">
        <f t="shared" si="2"/>
        <v>44657</v>
      </c>
      <c r="W11" s="28">
        <f t="shared" si="3"/>
        <v>52093.480186400004</v>
      </c>
      <c r="X11" s="28">
        <f t="shared" si="1"/>
        <v>24616.156599999998</v>
      </c>
    </row>
    <row r="12" spans="1:24" x14ac:dyDescent="0.25">
      <c r="A12" s="27">
        <v>44658</v>
      </c>
      <c r="B12" s="28">
        <v>232</v>
      </c>
      <c r="C12" s="28"/>
      <c r="D12" s="28"/>
      <c r="E12" s="28">
        <v>21</v>
      </c>
      <c r="F12" s="29">
        <v>366</v>
      </c>
      <c r="G12" s="28"/>
      <c r="H12" s="28">
        <v>40</v>
      </c>
      <c r="I12" s="28"/>
      <c r="J12" s="13">
        <f>1577+576</f>
        <v>2153</v>
      </c>
      <c r="K12" s="34">
        <v>520.37199999999996</v>
      </c>
      <c r="L12" s="28">
        <f>34646-576</f>
        <v>34070</v>
      </c>
      <c r="M12" s="30">
        <v>19635.93</v>
      </c>
      <c r="N12" s="30">
        <v>5266.06</v>
      </c>
      <c r="O12" s="30">
        <f>62933.65+576*0.52-576*1.75</f>
        <v>62225.17</v>
      </c>
      <c r="P12" s="31">
        <v>251.26</v>
      </c>
      <c r="Q12" s="30">
        <v>555</v>
      </c>
      <c r="R12" s="30">
        <v>27.3</v>
      </c>
      <c r="S12" s="30">
        <v>1814.27</v>
      </c>
      <c r="T12" s="32">
        <f t="shared" si="0"/>
        <v>9.4000000046889909E-3</v>
      </c>
      <c r="U12" s="1"/>
      <c r="V12" s="27">
        <f t="shared" si="2"/>
        <v>44658</v>
      </c>
      <c r="W12" s="28">
        <f t="shared" si="3"/>
        <v>48087.068412399996</v>
      </c>
      <c r="X12" s="28">
        <f t="shared" si="1"/>
        <v>25604.255099999998</v>
      </c>
    </row>
    <row r="13" spans="1:24" x14ac:dyDescent="0.25">
      <c r="A13" s="27">
        <v>44659</v>
      </c>
      <c r="B13" s="28">
        <v>225</v>
      </c>
      <c r="C13" s="28"/>
      <c r="D13" s="28"/>
      <c r="E13" s="28">
        <v>21</v>
      </c>
      <c r="F13" s="29">
        <v>359</v>
      </c>
      <c r="G13" s="28"/>
      <c r="H13" s="28">
        <v>110</v>
      </c>
      <c r="I13" s="28"/>
      <c r="J13" s="13">
        <v>1392</v>
      </c>
      <c r="K13" s="34">
        <v>979.78300000000002</v>
      </c>
      <c r="L13" s="28">
        <v>35358</v>
      </c>
      <c r="M13" s="30">
        <v>17792.12</v>
      </c>
      <c r="N13" s="30">
        <v>7004.74</v>
      </c>
      <c r="O13" s="30">
        <v>64891.35</v>
      </c>
      <c r="P13" s="31">
        <v>297.64</v>
      </c>
      <c r="Q13" s="30">
        <v>1300</v>
      </c>
      <c r="R13" s="30">
        <v>18.899999999999999</v>
      </c>
      <c r="S13" s="30">
        <v>1552.52</v>
      </c>
      <c r="T13" s="32">
        <f t="shared" si="0"/>
        <v>-4.6499999866682629E-3</v>
      </c>
      <c r="U13" s="1"/>
      <c r="V13" s="27">
        <f t="shared" si="2"/>
        <v>44659</v>
      </c>
      <c r="W13" s="28">
        <f t="shared" si="3"/>
        <v>49968.402276099994</v>
      </c>
      <c r="X13" s="28">
        <f t="shared" si="1"/>
        <v>24054.446400000001</v>
      </c>
    </row>
    <row r="14" spans="1:24" x14ac:dyDescent="0.25">
      <c r="A14" s="27">
        <v>44660</v>
      </c>
      <c r="B14" s="28">
        <v>100</v>
      </c>
      <c r="C14" s="28"/>
      <c r="D14" s="28"/>
      <c r="E14" s="28"/>
      <c r="F14" s="29">
        <f>39+383</f>
        <v>422</v>
      </c>
      <c r="G14" s="28">
        <v>2</v>
      </c>
      <c r="H14" s="28">
        <v>45</v>
      </c>
      <c r="I14" s="28"/>
      <c r="J14" s="13">
        <v>2922</v>
      </c>
      <c r="K14" s="34">
        <v>111.55500000000001</v>
      </c>
      <c r="L14" s="28">
        <v>1074</v>
      </c>
      <c r="M14" s="30">
        <f>9886.5+6197.57</f>
        <v>16084.07</v>
      </c>
      <c r="N14" s="30"/>
      <c r="O14" s="30">
        <v>3481.02</v>
      </c>
      <c r="P14" s="31"/>
      <c r="Q14" s="30">
        <v>35</v>
      </c>
      <c r="R14" s="30">
        <v>35.700000000000003</v>
      </c>
      <c r="S14" s="30">
        <f>153.15+120</f>
        <v>273.14999999999998</v>
      </c>
      <c r="T14" s="32">
        <f t="shared" si="0"/>
        <v>4.7499999982960617E-3</v>
      </c>
      <c r="U14" s="1"/>
      <c r="V14" s="27">
        <f t="shared" si="2"/>
        <v>44660</v>
      </c>
      <c r="W14" s="28">
        <f t="shared" si="3"/>
        <v>9928.9092685000014</v>
      </c>
      <c r="X14" s="28">
        <f t="shared" si="1"/>
        <v>13262.9974</v>
      </c>
    </row>
    <row r="15" spans="1:24" x14ac:dyDescent="0.25">
      <c r="A15" s="27">
        <v>44662</v>
      </c>
      <c r="B15" s="28">
        <v>256</v>
      </c>
      <c r="C15" s="28"/>
      <c r="D15" s="28"/>
      <c r="E15" s="28">
        <v>12</v>
      </c>
      <c r="F15" s="29">
        <v>381</v>
      </c>
      <c r="G15" s="28"/>
      <c r="H15" s="28">
        <v>10</v>
      </c>
      <c r="I15" s="28"/>
      <c r="J15" s="13">
        <v>2396</v>
      </c>
      <c r="K15" s="34">
        <v>974.24400000000003</v>
      </c>
      <c r="L15" s="28">
        <v>39975</v>
      </c>
      <c r="M15" s="30">
        <v>19473.68</v>
      </c>
      <c r="N15" s="30">
        <v>5874.68</v>
      </c>
      <c r="O15" s="30">
        <v>72827.3</v>
      </c>
      <c r="P15" s="31">
        <v>431.6</v>
      </c>
      <c r="Q15" s="30">
        <v>850</v>
      </c>
      <c r="R15" s="30">
        <v>18.899999999999999</v>
      </c>
      <c r="S15" s="30">
        <v>1616.85</v>
      </c>
      <c r="T15" s="32">
        <f t="shared" si="0"/>
        <v>-6.1999999829822627E-3</v>
      </c>
      <c r="U15" s="1"/>
      <c r="V15" s="27">
        <f t="shared" si="2"/>
        <v>44662</v>
      </c>
      <c r="W15" s="28">
        <f t="shared" si="3"/>
        <v>54558.020774800003</v>
      </c>
      <c r="X15" s="28">
        <f t="shared" si="1"/>
        <v>28275.6132</v>
      </c>
    </row>
    <row r="16" spans="1:24" x14ac:dyDescent="0.25">
      <c r="A16" s="27">
        <v>44663</v>
      </c>
      <c r="B16" s="28">
        <v>229</v>
      </c>
      <c r="C16" s="28"/>
      <c r="D16" s="28"/>
      <c r="E16" s="28">
        <v>11</v>
      </c>
      <c r="F16" s="29">
        <v>383</v>
      </c>
      <c r="G16" s="28"/>
      <c r="H16" s="28">
        <v>100</v>
      </c>
      <c r="I16" s="28"/>
      <c r="J16" s="13">
        <v>1264</v>
      </c>
      <c r="K16" s="34">
        <v>1115.327</v>
      </c>
      <c r="L16" s="28">
        <v>41474</v>
      </c>
      <c r="M16" s="30">
        <v>19549.560000000001</v>
      </c>
      <c r="N16" s="30">
        <v>4695.6400000000003</v>
      </c>
      <c r="O16" s="30">
        <v>74618.92</v>
      </c>
      <c r="P16" s="31">
        <v>92.76</v>
      </c>
      <c r="Q16" s="30">
        <v>165</v>
      </c>
      <c r="R16" s="30">
        <v>29.4</v>
      </c>
      <c r="S16" s="30">
        <v>1618.46</v>
      </c>
      <c r="T16" s="32">
        <f t="shared" si="0"/>
        <v>4.1500000022551831E-3</v>
      </c>
      <c r="U16" s="1"/>
      <c r="V16" s="27">
        <f t="shared" si="2"/>
        <v>44663</v>
      </c>
      <c r="W16" s="28">
        <f t="shared" si="3"/>
        <v>56419.501460899999</v>
      </c>
      <c r="X16" s="28">
        <f t="shared" si="1"/>
        <v>24311.5088</v>
      </c>
    </row>
    <row r="17" spans="1:24" x14ac:dyDescent="0.25">
      <c r="A17" s="27">
        <v>44664</v>
      </c>
      <c r="B17" s="28">
        <v>289</v>
      </c>
      <c r="C17" s="28"/>
      <c r="D17" s="28"/>
      <c r="E17" s="28">
        <v>26</v>
      </c>
      <c r="F17" s="29">
        <v>408</v>
      </c>
      <c r="G17" s="28"/>
      <c r="H17" s="28">
        <v>70</v>
      </c>
      <c r="I17" s="28"/>
      <c r="J17" s="13">
        <v>717</v>
      </c>
      <c r="K17" s="34">
        <v>486.03100000000001</v>
      </c>
      <c r="L17" s="28">
        <f>39598+200</f>
        <v>39798</v>
      </c>
      <c r="M17" s="30">
        <f>21836.95+360</f>
        <v>22196.95</v>
      </c>
      <c r="N17" s="30">
        <v>6334.38</v>
      </c>
      <c r="O17" s="30">
        <f>71688.52+245.6+350</f>
        <v>72284.12000000001</v>
      </c>
      <c r="P17" s="31">
        <v>348.02</v>
      </c>
      <c r="Q17" s="30">
        <f>700+125</f>
        <v>825</v>
      </c>
      <c r="R17" s="30">
        <v>12.6</v>
      </c>
      <c r="S17" s="30">
        <f>1127.44+360+74.22</f>
        <v>1561.66</v>
      </c>
      <c r="T17" s="32">
        <f t="shared" ref="T17:T18" si="4">+B17*46.38+C17*27.83+D17*0.4638+E17*158.5+F17*25.5+G17*95+H17*1.59+I17*18.55+J17*0.52+K17*1.45+L17*1.75-M17-N17-O17-P17+Q17+R17+S17</f>
        <v>-5.05000001226108E-3</v>
      </c>
      <c r="U17" s="1"/>
      <c r="V17" s="27">
        <f t="shared" ref="V17" si="5">+A17</f>
        <v>44664</v>
      </c>
      <c r="W17" s="28">
        <f t="shared" ref="W17" si="6">SUM(E17*100+F17*20+G17*60+H17+I17*7+K17*1.1167+L17*1.1167)</f>
        <v>55815.177417699997</v>
      </c>
      <c r="X17" s="28">
        <f t="shared" ref="X17" si="7">SUM(B17*100+C17*60+D17+J17*1.1167)</f>
        <v>29700.673900000002</v>
      </c>
    </row>
    <row r="18" spans="1:24" x14ac:dyDescent="0.25">
      <c r="A18" s="27">
        <v>44665</v>
      </c>
      <c r="B18" s="28">
        <v>245</v>
      </c>
      <c r="C18" s="28"/>
      <c r="D18" s="28"/>
      <c r="E18" s="28">
        <v>12</v>
      </c>
      <c r="F18" s="29">
        <v>488</v>
      </c>
      <c r="G18" s="28"/>
      <c r="H18" s="28">
        <v>55</v>
      </c>
      <c r="I18" s="28"/>
      <c r="J18" s="13">
        <v>2879</v>
      </c>
      <c r="K18" s="34">
        <v>1075.173</v>
      </c>
      <c r="L18" s="28">
        <v>34680</v>
      </c>
      <c r="M18" s="30">
        <v>23825.18</v>
      </c>
      <c r="N18" s="30">
        <v>4597.96</v>
      </c>
      <c r="O18" s="30">
        <v>64884.68</v>
      </c>
      <c r="P18" s="31">
        <v>139.13999999999999</v>
      </c>
      <c r="Q18" s="30">
        <v>715</v>
      </c>
      <c r="R18" s="30">
        <v>42</v>
      </c>
      <c r="S18" s="30">
        <v>3147.33</v>
      </c>
      <c r="T18" s="32">
        <f t="shared" si="4"/>
        <v>8.4999999444335117E-4</v>
      </c>
      <c r="U18" s="1"/>
      <c r="V18" s="27">
        <f t="shared" si="2"/>
        <v>44665</v>
      </c>
      <c r="W18" s="28">
        <f t="shared" si="3"/>
        <v>50942.801689100001</v>
      </c>
      <c r="X18" s="28">
        <f t="shared" si="1"/>
        <v>27714.979299999999</v>
      </c>
    </row>
    <row r="19" spans="1:24" x14ac:dyDescent="0.25">
      <c r="A19" s="35">
        <v>44666</v>
      </c>
      <c r="B19" s="36"/>
      <c r="C19" s="36"/>
      <c r="D19" s="36"/>
      <c r="E19" s="36"/>
      <c r="F19" s="37"/>
      <c r="G19" s="36"/>
      <c r="H19" s="36"/>
      <c r="I19" s="36"/>
      <c r="J19" s="38">
        <v>578</v>
      </c>
      <c r="K19" s="39"/>
      <c r="L19" s="36">
        <v>35693</v>
      </c>
      <c r="M19" s="40"/>
      <c r="N19" s="40"/>
      <c r="O19" s="40">
        <v>62769.61</v>
      </c>
      <c r="P19" s="41"/>
      <c r="Q19" s="40"/>
      <c r="R19" s="40">
        <v>6.3</v>
      </c>
      <c r="S19" s="40"/>
      <c r="T19" s="42">
        <f t="shared" si="0"/>
        <v>-2.9105606813573104E-12</v>
      </c>
      <c r="U19" s="16"/>
      <c r="V19" s="35">
        <f t="shared" si="2"/>
        <v>44666</v>
      </c>
      <c r="W19" s="36">
        <f t="shared" si="3"/>
        <v>39858.373100000004</v>
      </c>
      <c r="X19" s="36">
        <f t="shared" si="1"/>
        <v>645.45259999999996</v>
      </c>
    </row>
    <row r="20" spans="1:24" x14ac:dyDescent="0.25">
      <c r="A20" s="27"/>
      <c r="B20" s="43">
        <f>SUM(B7:B19)</f>
        <v>2597</v>
      </c>
      <c r="C20" s="43">
        <f t="shared" ref="C20:L20" si="8">SUM(C7:C19)</f>
        <v>0</v>
      </c>
      <c r="D20" s="43">
        <f t="shared" si="8"/>
        <v>20</v>
      </c>
      <c r="E20" s="43">
        <f t="shared" si="8"/>
        <v>159</v>
      </c>
      <c r="F20" s="43">
        <f t="shared" si="8"/>
        <v>4799</v>
      </c>
      <c r="G20" s="43">
        <f t="shared" si="8"/>
        <v>4</v>
      </c>
      <c r="H20" s="43">
        <f t="shared" si="8"/>
        <v>710</v>
      </c>
      <c r="I20" s="43">
        <f t="shared" si="8"/>
        <v>0</v>
      </c>
      <c r="J20" s="43">
        <f t="shared" si="8"/>
        <v>27388</v>
      </c>
      <c r="K20" s="94">
        <f t="shared" si="8"/>
        <v>9088.112000000001</v>
      </c>
      <c r="L20" s="43">
        <f t="shared" si="8"/>
        <v>425674</v>
      </c>
      <c r="M20" s="45">
        <f t="shared" ref="M20:T20" si="9">SUM(M7:M19)</f>
        <v>233551.5</v>
      </c>
      <c r="N20" s="45">
        <f t="shared" si="9"/>
        <v>53672.829999999994</v>
      </c>
      <c r="O20" s="45">
        <f t="shared" si="9"/>
        <v>779114.01</v>
      </c>
      <c r="P20" s="45">
        <f t="shared" si="9"/>
        <v>2510.3299999999995</v>
      </c>
      <c r="Q20" s="45">
        <f t="shared" si="9"/>
        <v>7265</v>
      </c>
      <c r="R20" s="45">
        <f t="shared" si="9"/>
        <v>342.30000000000007</v>
      </c>
      <c r="S20" s="45">
        <f t="shared" si="9"/>
        <v>19349.300000000003</v>
      </c>
      <c r="T20" s="45">
        <f t="shared" si="9"/>
        <v>-1.1599999983741505E-2</v>
      </c>
      <c r="U20" s="43"/>
      <c r="V20" s="43"/>
      <c r="W20" s="43">
        <f>SUM(W7:W19)</f>
        <v>598328.85047039995</v>
      </c>
      <c r="X20" s="43">
        <f>SUM(X7:X19)</f>
        <v>290304.17959999997</v>
      </c>
    </row>
    <row r="21" spans="1:24" x14ac:dyDescent="0.25">
      <c r="A21" s="27"/>
      <c r="B21" s="43">
        <f>(B20*100)</f>
        <v>259700</v>
      </c>
      <c r="C21" s="43">
        <f>(C20*60)</f>
        <v>0</v>
      </c>
      <c r="D21" s="43">
        <f>(D20)</f>
        <v>20</v>
      </c>
      <c r="E21" s="43">
        <f>(E20*100)</f>
        <v>15900</v>
      </c>
      <c r="F21" s="46">
        <f>(F20*20)</f>
        <v>95980</v>
      </c>
      <c r="G21" s="43">
        <f>(G20*60)</f>
        <v>240</v>
      </c>
      <c r="H21" s="43">
        <f>(H20)</f>
        <v>710</v>
      </c>
      <c r="I21" s="43">
        <f>+I20*7</f>
        <v>0</v>
      </c>
      <c r="J21" s="44">
        <f>(J20*1.1167)</f>
        <v>30584.179599999999</v>
      </c>
      <c r="K21" s="47">
        <f>(K20*1.1167)</f>
        <v>10148.694670400002</v>
      </c>
      <c r="L21" s="48">
        <f>(L20*1.1167)</f>
        <v>475350.15580000001</v>
      </c>
      <c r="M21" s="49"/>
      <c r="N21" s="49"/>
      <c r="O21" s="49"/>
      <c r="P21" s="49"/>
      <c r="Q21" s="49"/>
      <c r="R21" s="49"/>
      <c r="S21" s="49"/>
      <c r="T21" s="49"/>
      <c r="U21" s="49"/>
      <c r="V21" s="50" t="s">
        <v>35</v>
      </c>
      <c r="W21" s="43">
        <f>+D46+D47+D48+D49-W20</f>
        <v>0</v>
      </c>
      <c r="X21" s="43">
        <f>+D45-X20</f>
        <v>0</v>
      </c>
    </row>
    <row r="22" spans="1:24" x14ac:dyDescent="0.25">
      <c r="A22" s="27"/>
      <c r="B22" s="43"/>
      <c r="C22" s="43"/>
      <c r="D22" s="43"/>
      <c r="E22" s="43"/>
      <c r="F22" s="46"/>
      <c r="G22" s="43"/>
      <c r="H22" s="43"/>
      <c r="I22" s="43"/>
      <c r="J22" s="44"/>
      <c r="K22" s="47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50"/>
      <c r="W22" s="43"/>
      <c r="X22" s="43"/>
    </row>
    <row r="23" spans="1:24" x14ac:dyDescent="0.25">
      <c r="A23" s="22" t="s">
        <v>26</v>
      </c>
      <c r="B23" s="22" t="s">
        <v>27</v>
      </c>
      <c r="C23" s="22" t="s">
        <v>28</v>
      </c>
      <c r="D23" s="22" t="s">
        <v>29</v>
      </c>
      <c r="E23" s="22" t="s">
        <v>27</v>
      </c>
      <c r="F23" s="22" t="s">
        <v>30</v>
      </c>
      <c r="G23" s="22" t="s">
        <v>28</v>
      </c>
      <c r="H23" s="22" t="s">
        <v>29</v>
      </c>
      <c r="I23" s="22" t="s">
        <v>31</v>
      </c>
      <c r="J23" s="23" t="s">
        <v>32</v>
      </c>
      <c r="K23" s="24" t="s">
        <v>32</v>
      </c>
      <c r="L23" s="25" t="s">
        <v>32</v>
      </c>
      <c r="M23" s="22" t="s">
        <v>33</v>
      </c>
      <c r="N23" s="22" t="s">
        <v>33</v>
      </c>
      <c r="O23" s="22" t="s">
        <v>33</v>
      </c>
      <c r="P23" s="22" t="s">
        <v>33</v>
      </c>
      <c r="Q23" s="22" t="s">
        <v>33</v>
      </c>
      <c r="R23" s="22" t="s">
        <v>33</v>
      </c>
      <c r="S23" s="22" t="s">
        <v>33</v>
      </c>
      <c r="T23" s="22" t="s">
        <v>33</v>
      </c>
      <c r="U23" s="26"/>
      <c r="V23" s="22" t="s">
        <v>26</v>
      </c>
      <c r="W23" s="22" t="s">
        <v>11</v>
      </c>
      <c r="X23" s="22" t="s">
        <v>34</v>
      </c>
    </row>
    <row r="24" spans="1:24" x14ac:dyDescent="0.25">
      <c r="A24" s="27">
        <v>44667</v>
      </c>
      <c r="B24" s="28">
        <v>68</v>
      </c>
      <c r="C24" s="28"/>
      <c r="D24" s="28">
        <v>20</v>
      </c>
      <c r="E24" s="28">
        <v>2</v>
      </c>
      <c r="F24" s="29">
        <v>374</v>
      </c>
      <c r="G24" s="28">
        <v>2</v>
      </c>
      <c r="H24" s="28">
        <v>70</v>
      </c>
      <c r="I24" s="28"/>
      <c r="J24" s="13">
        <v>2527</v>
      </c>
      <c r="K24" s="34">
        <v>519.553</v>
      </c>
      <c r="L24" s="28">
        <v>1942</v>
      </c>
      <c r="M24" s="30">
        <v>14105.37</v>
      </c>
      <c r="N24" s="30"/>
      <c r="O24" s="30">
        <v>5135.18</v>
      </c>
      <c r="P24" s="33">
        <v>60.18</v>
      </c>
      <c r="Q24" s="30">
        <v>5</v>
      </c>
      <c r="R24" s="30">
        <v>46.2</v>
      </c>
      <c r="S24" s="30">
        <v>465.23</v>
      </c>
      <c r="T24" s="32">
        <f t="shared" ref="T24:T36" si="10">+B24*46.38+C24*27.83+D24*0.4638+E24*158.5+F24*25.5+G24*95+H24*1.59+I24*18.55+J24*0.52+K24*1.45+L24*1.75-M24-N24-O24-P24+Q24+R24+S24</f>
        <v>7.8499999963810296E-3</v>
      </c>
      <c r="U24" s="51"/>
      <c r="V24" s="27">
        <f>+A24</f>
        <v>44667</v>
      </c>
      <c r="W24" s="28">
        <f t="shared" ref="W24:W34" si="11">SUM(E24*100+F24*20+G24*60+H24+I24*7+K24*1.1167+L24*1.1167)</f>
        <v>10618.816235100001</v>
      </c>
      <c r="X24" s="28">
        <f t="shared" ref="X24:X34" si="12">SUM(B24*100+C24*60+D24+J24*1.1167)</f>
        <v>9641.9009000000005</v>
      </c>
    </row>
    <row r="25" spans="1:24" x14ac:dyDescent="0.25">
      <c r="A25" s="27">
        <v>44669</v>
      </c>
      <c r="B25" s="28"/>
      <c r="C25" s="28"/>
      <c r="D25" s="28"/>
      <c r="E25" s="28"/>
      <c r="F25" s="29"/>
      <c r="G25" s="28"/>
      <c r="H25" s="28"/>
      <c r="I25" s="28"/>
      <c r="J25" s="13">
        <v>2805</v>
      </c>
      <c r="K25" s="34"/>
      <c r="L25" s="52">
        <v>39621</v>
      </c>
      <c r="M25" s="30"/>
      <c r="N25" s="30"/>
      <c r="O25" s="30">
        <v>70797.45</v>
      </c>
      <c r="P25" s="31"/>
      <c r="Q25" s="30"/>
      <c r="R25" s="30">
        <v>2.1</v>
      </c>
      <c r="S25" s="30"/>
      <c r="T25" s="32">
        <f t="shared" si="10"/>
        <v>8.7312379548620811E-12</v>
      </c>
      <c r="U25" s="30"/>
      <c r="V25" s="27">
        <f t="shared" ref="V25:V36" si="13">+A25</f>
        <v>44669</v>
      </c>
      <c r="W25" s="28">
        <f t="shared" si="11"/>
        <v>44244.770700000001</v>
      </c>
      <c r="X25" s="28">
        <f t="shared" si="12"/>
        <v>3132.3434999999999</v>
      </c>
    </row>
    <row r="26" spans="1:24" x14ac:dyDescent="0.25">
      <c r="A26" s="27">
        <v>44670</v>
      </c>
      <c r="B26" s="28">
        <v>192</v>
      </c>
      <c r="C26" s="28"/>
      <c r="D26" s="28"/>
      <c r="E26" s="28">
        <v>19</v>
      </c>
      <c r="F26" s="29">
        <v>462</v>
      </c>
      <c r="G26" s="28"/>
      <c r="H26" s="28">
        <v>60</v>
      </c>
      <c r="I26" s="28"/>
      <c r="J26" s="13">
        <v>2847</v>
      </c>
      <c r="K26" s="34">
        <v>1004.837</v>
      </c>
      <c r="L26" s="52">
        <v>39337</v>
      </c>
      <c r="M26" s="30">
        <v>24793.06</v>
      </c>
      <c r="N26" s="30">
        <v>3975.74</v>
      </c>
      <c r="O26" s="30">
        <v>72026.81</v>
      </c>
      <c r="P26" s="31">
        <v>92.76</v>
      </c>
      <c r="Q26" s="30">
        <v>705</v>
      </c>
      <c r="R26" s="30">
        <v>44.1</v>
      </c>
      <c r="S26" s="30">
        <v>4569.21</v>
      </c>
      <c r="T26" s="32">
        <f t="shared" si="10"/>
        <v>3.6499999960142304E-3</v>
      </c>
      <c r="U26" s="30"/>
      <c r="V26" s="27">
        <f t="shared" si="13"/>
        <v>44670</v>
      </c>
      <c r="W26" s="28">
        <f t="shared" si="11"/>
        <v>56249.729377900003</v>
      </c>
      <c r="X26" s="28">
        <f t="shared" si="12"/>
        <v>22379.244900000002</v>
      </c>
    </row>
    <row r="27" spans="1:24" x14ac:dyDescent="0.25">
      <c r="A27" s="27">
        <v>44671</v>
      </c>
      <c r="B27" s="28">
        <v>233</v>
      </c>
      <c r="C27" s="28"/>
      <c r="D27" s="28">
        <v>20</v>
      </c>
      <c r="E27" s="28">
        <v>21</v>
      </c>
      <c r="F27" s="29">
        <v>341</v>
      </c>
      <c r="G27" s="28"/>
      <c r="H27" s="28">
        <v>70</v>
      </c>
      <c r="I27" s="28"/>
      <c r="J27" s="13">
        <v>1799</v>
      </c>
      <c r="K27" s="6">
        <v>875.56799999999998</v>
      </c>
      <c r="L27" s="52">
        <v>40291</v>
      </c>
      <c r="M27" s="30">
        <v>19525.939999999999</v>
      </c>
      <c r="N27" s="30">
        <v>5175.28</v>
      </c>
      <c r="O27" s="30">
        <v>73738.740000000005</v>
      </c>
      <c r="P27" s="33">
        <v>3.38</v>
      </c>
      <c r="Q27" s="30">
        <v>1335</v>
      </c>
      <c r="R27" s="30">
        <v>25.2</v>
      </c>
      <c r="S27" s="30">
        <v>1417.72</v>
      </c>
      <c r="T27" s="32">
        <f t="shared" si="10"/>
        <v>-4.0000001263251761E-4</v>
      </c>
      <c r="U27" s="30"/>
      <c r="V27" s="27">
        <f t="shared" si="13"/>
        <v>44671</v>
      </c>
      <c r="W27" s="28">
        <f t="shared" si="11"/>
        <v>54960.7064856</v>
      </c>
      <c r="X27" s="28">
        <f t="shared" si="12"/>
        <v>25328.943299999999</v>
      </c>
    </row>
    <row r="28" spans="1:24" x14ac:dyDescent="0.25">
      <c r="A28" s="27">
        <v>44672</v>
      </c>
      <c r="B28" s="28">
        <v>253</v>
      </c>
      <c r="C28" s="28"/>
      <c r="D28" s="28"/>
      <c r="E28" s="28">
        <v>23</v>
      </c>
      <c r="F28" s="29">
        <v>318</v>
      </c>
      <c r="G28" s="28"/>
      <c r="H28" s="28"/>
      <c r="I28" s="28"/>
      <c r="J28" s="13">
        <v>3299</v>
      </c>
      <c r="K28" s="34">
        <v>819.01499999999999</v>
      </c>
      <c r="L28" s="52">
        <v>36819</v>
      </c>
      <c r="M28" s="30">
        <v>20565.3</v>
      </c>
      <c r="N28" s="30">
        <v>5113.82</v>
      </c>
      <c r="O28" s="30">
        <v>67548.36</v>
      </c>
      <c r="P28" s="33">
        <v>231.9</v>
      </c>
      <c r="Q28" s="30">
        <v>595</v>
      </c>
      <c r="R28" s="30">
        <v>23.1</v>
      </c>
      <c r="S28" s="30">
        <v>2016.34</v>
      </c>
      <c r="T28" s="32">
        <f t="shared" si="10"/>
        <v>1.74999999467218E-3</v>
      </c>
      <c r="U28" s="30"/>
      <c r="V28" s="27">
        <f t="shared" si="13"/>
        <v>44672</v>
      </c>
      <c r="W28" s="28">
        <f t="shared" si="11"/>
        <v>50690.371350500005</v>
      </c>
      <c r="X28" s="28">
        <f t="shared" si="12"/>
        <v>28983.993300000002</v>
      </c>
    </row>
    <row r="29" spans="1:24" x14ac:dyDescent="0.25">
      <c r="A29" s="27">
        <v>44673</v>
      </c>
      <c r="B29" s="28">
        <v>237</v>
      </c>
      <c r="C29" s="28"/>
      <c r="D29" s="28"/>
      <c r="E29" s="28">
        <v>14</v>
      </c>
      <c r="F29" s="29">
        <v>397</v>
      </c>
      <c r="G29" s="28">
        <v>2</v>
      </c>
      <c r="H29" s="28">
        <v>115</v>
      </c>
      <c r="I29" s="28"/>
      <c r="J29" s="13">
        <v>404</v>
      </c>
      <c r="K29" s="34">
        <v>757.32100000000003</v>
      </c>
      <c r="L29" s="52">
        <v>37407</v>
      </c>
      <c r="M29" s="30">
        <v>19039.91</v>
      </c>
      <c r="N29" s="30">
        <v>4851.32</v>
      </c>
      <c r="O29" s="30">
        <v>68117.899999999994</v>
      </c>
      <c r="P29" s="33">
        <v>249.54</v>
      </c>
      <c r="Q29" s="30">
        <v>445</v>
      </c>
      <c r="R29" s="30">
        <v>4.2</v>
      </c>
      <c r="S29" s="30">
        <v>1331.62</v>
      </c>
      <c r="T29" s="32">
        <f t="shared" si="10"/>
        <v>5.4499999980635039E-3</v>
      </c>
      <c r="U29" s="30"/>
      <c r="V29" s="27">
        <f t="shared" si="13"/>
        <v>44673</v>
      </c>
      <c r="W29" s="28">
        <f t="shared" si="11"/>
        <v>52193.0972607</v>
      </c>
      <c r="X29" s="28">
        <f t="shared" si="12"/>
        <v>24151.146799999999</v>
      </c>
    </row>
    <row r="30" spans="1:24" x14ac:dyDescent="0.25">
      <c r="A30" s="27">
        <v>44674</v>
      </c>
      <c r="B30" s="28">
        <v>60</v>
      </c>
      <c r="C30" s="28"/>
      <c r="D30" s="28"/>
      <c r="E30" s="28">
        <v>1</v>
      </c>
      <c r="F30" s="29">
        <v>431</v>
      </c>
      <c r="G30" s="28"/>
      <c r="H30" s="28">
        <v>115</v>
      </c>
      <c r="I30" s="28"/>
      <c r="J30" s="13">
        <v>4814</v>
      </c>
      <c r="K30" s="34">
        <v>392.767</v>
      </c>
      <c r="L30" s="52">
        <v>4025</v>
      </c>
      <c r="M30" s="30">
        <v>14597.47</v>
      </c>
      <c r="N30" s="30">
        <v>46.38</v>
      </c>
      <c r="O30" s="30">
        <v>9692.1299999999992</v>
      </c>
      <c r="P30" s="33">
        <v>92.76</v>
      </c>
      <c r="Q30" s="30">
        <v>10</v>
      </c>
      <c r="R30" s="30">
        <v>94.5</v>
      </c>
      <c r="S30" s="30">
        <v>93.05</v>
      </c>
      <c r="T30" s="32">
        <f t="shared" si="10"/>
        <v>2.150000001208241E-3</v>
      </c>
      <c r="U30" s="30"/>
      <c r="V30" s="27">
        <f t="shared" si="13"/>
        <v>44674</v>
      </c>
      <c r="W30" s="28">
        <f t="shared" si="11"/>
        <v>13768.320408899999</v>
      </c>
      <c r="X30" s="28">
        <f t="shared" si="12"/>
        <v>11375.793799999999</v>
      </c>
    </row>
    <row r="31" spans="1:24" x14ac:dyDescent="0.25">
      <c r="A31" s="27">
        <v>44676</v>
      </c>
      <c r="B31" s="28">
        <v>246</v>
      </c>
      <c r="C31" s="28"/>
      <c r="D31" s="28"/>
      <c r="E31" s="28">
        <v>7</v>
      </c>
      <c r="F31" s="29">
        <v>408</v>
      </c>
      <c r="G31" s="28"/>
      <c r="H31" s="28"/>
      <c r="I31" s="28"/>
      <c r="J31" s="13">
        <v>2921</v>
      </c>
      <c r="K31" s="34">
        <v>1209.039</v>
      </c>
      <c r="L31" s="52">
        <v>39918</v>
      </c>
      <c r="M31" s="30">
        <v>21662.01</v>
      </c>
      <c r="N31" s="30">
        <v>4325.68</v>
      </c>
      <c r="O31" s="30">
        <v>72763.740000000005</v>
      </c>
      <c r="P31" s="33">
        <v>139.13999999999999</v>
      </c>
      <c r="Q31" s="30">
        <v>50</v>
      </c>
      <c r="R31" s="30">
        <v>21</v>
      </c>
      <c r="S31" s="30">
        <v>2768.07</v>
      </c>
      <c r="T31" s="32">
        <f t="shared" si="10"/>
        <v>6.5500000127940439E-3</v>
      </c>
      <c r="U31" s="30"/>
      <c r="V31" s="27">
        <f t="shared" si="13"/>
        <v>44676</v>
      </c>
      <c r="W31" s="28">
        <f t="shared" si="11"/>
        <v>54786.564451300001</v>
      </c>
      <c r="X31" s="28">
        <f t="shared" si="12"/>
        <v>27861.880700000002</v>
      </c>
    </row>
    <row r="32" spans="1:24" x14ac:dyDescent="0.25">
      <c r="A32" s="27">
        <v>44677</v>
      </c>
      <c r="B32" s="28">
        <v>240</v>
      </c>
      <c r="C32" s="28"/>
      <c r="D32" s="28"/>
      <c r="E32" s="28">
        <v>11</v>
      </c>
      <c r="F32" s="7">
        <v>493</v>
      </c>
      <c r="G32" s="28">
        <v>2</v>
      </c>
      <c r="H32" s="28">
        <v>170</v>
      </c>
      <c r="I32" s="28"/>
      <c r="J32" s="13">
        <v>3561</v>
      </c>
      <c r="K32" s="34">
        <v>1207.414</v>
      </c>
      <c r="L32" s="52">
        <v>50789</v>
      </c>
      <c r="M32" s="30">
        <v>21834.67</v>
      </c>
      <c r="N32" s="30">
        <v>5079.72</v>
      </c>
      <c r="O32" s="30">
        <v>92580.34</v>
      </c>
      <c r="P32" s="33">
        <v>378.02</v>
      </c>
      <c r="Q32" s="30">
        <v>335</v>
      </c>
      <c r="R32" s="30">
        <v>14.7</v>
      </c>
      <c r="S32" s="30">
        <v>1133.3399999999999</v>
      </c>
      <c r="T32" s="32">
        <f t="shared" si="10"/>
        <v>1.030000000491782E-2</v>
      </c>
      <c r="U32" s="30"/>
      <c r="V32" s="27">
        <f t="shared" si="13"/>
        <v>44677</v>
      </c>
      <c r="W32" s="28">
        <f t="shared" si="11"/>
        <v>69314.395513800002</v>
      </c>
      <c r="X32" s="28">
        <f t="shared" si="12"/>
        <v>27976.5687</v>
      </c>
    </row>
    <row r="33" spans="1:24" x14ac:dyDescent="0.25">
      <c r="A33" s="27">
        <v>44678</v>
      </c>
      <c r="B33" s="28">
        <v>2</v>
      </c>
      <c r="C33" s="28"/>
      <c r="D33" s="28"/>
      <c r="E33" s="28"/>
      <c r="F33" s="29"/>
      <c r="G33" s="28"/>
      <c r="H33" s="28"/>
      <c r="I33" s="28"/>
      <c r="J33" s="13">
        <v>50</v>
      </c>
      <c r="K33" s="34"/>
      <c r="L33" s="52">
        <v>31474</v>
      </c>
      <c r="M33" s="30"/>
      <c r="N33" s="30"/>
      <c r="O33" s="30">
        <v>55107.6</v>
      </c>
      <c r="P33" s="33">
        <v>92.76</v>
      </c>
      <c r="Q33" s="30"/>
      <c r="R33" s="30">
        <v>2.1</v>
      </c>
      <c r="S33" s="30"/>
      <c r="T33" s="32">
        <f t="shared" si="10"/>
        <v>3.4874325649525417E-12</v>
      </c>
      <c r="U33" s="30"/>
      <c r="V33" s="27">
        <f t="shared" si="13"/>
        <v>44678</v>
      </c>
      <c r="W33" s="28">
        <f t="shared" si="11"/>
        <v>35147.015800000001</v>
      </c>
      <c r="X33" s="28">
        <f t="shared" si="12"/>
        <v>255.83500000000001</v>
      </c>
    </row>
    <row r="34" spans="1:24" x14ac:dyDescent="0.25">
      <c r="A34" s="27">
        <v>44679</v>
      </c>
      <c r="B34" s="28">
        <v>214</v>
      </c>
      <c r="C34" s="28"/>
      <c r="D34" s="28">
        <v>20</v>
      </c>
      <c r="E34" s="28">
        <v>25</v>
      </c>
      <c r="F34" s="29">
        <v>379</v>
      </c>
      <c r="G34" s="28"/>
      <c r="H34" s="28">
        <v>80</v>
      </c>
      <c r="I34" s="28"/>
      <c r="J34" s="98">
        <v>4834</v>
      </c>
      <c r="K34" s="99">
        <v>952.93799999999999</v>
      </c>
      <c r="L34" s="100">
        <v>30097</v>
      </c>
      <c r="M34" s="30">
        <v>21467.9</v>
      </c>
      <c r="N34" s="30">
        <v>5266.48</v>
      </c>
      <c r="O34" s="30">
        <v>57100.38</v>
      </c>
      <c r="P34" s="101">
        <v>226.23</v>
      </c>
      <c r="Q34" s="30">
        <v>1170</v>
      </c>
      <c r="R34" s="30">
        <v>54.6</v>
      </c>
      <c r="S34" s="30">
        <v>2582.4</v>
      </c>
      <c r="T34" s="32">
        <f t="shared" si="10"/>
        <v>-3.9000000074338459E-3</v>
      </c>
      <c r="U34" s="30"/>
      <c r="V34" s="27">
        <f t="shared" si="13"/>
        <v>44679</v>
      </c>
      <c r="W34" s="28">
        <f t="shared" si="11"/>
        <v>44833.465764599998</v>
      </c>
      <c r="X34" s="28">
        <f t="shared" si="12"/>
        <v>26818.127800000002</v>
      </c>
    </row>
    <row r="35" spans="1:24" x14ac:dyDescent="0.25">
      <c r="A35" s="27">
        <v>44680</v>
      </c>
      <c r="B35" s="28">
        <v>253</v>
      </c>
      <c r="C35" s="28"/>
      <c r="D35" s="28"/>
      <c r="E35" s="28">
        <v>20</v>
      </c>
      <c r="F35" s="29">
        <v>491</v>
      </c>
      <c r="G35" s="28"/>
      <c r="H35" s="28">
        <v>40</v>
      </c>
      <c r="I35" s="28"/>
      <c r="J35" s="98">
        <v>746</v>
      </c>
      <c r="K35" s="99">
        <v>588.01900000000001</v>
      </c>
      <c r="L35" s="100">
        <v>34089</v>
      </c>
      <c r="M35" s="30">
        <v>22875.65</v>
      </c>
      <c r="N35" s="30">
        <v>5461.7</v>
      </c>
      <c r="O35" s="30">
        <v>62603.28</v>
      </c>
      <c r="P35" s="101">
        <v>328.6</v>
      </c>
      <c r="Q35" s="30">
        <v>1285</v>
      </c>
      <c r="R35" s="30">
        <v>10.5</v>
      </c>
      <c r="S35" s="30">
        <v>1589.2</v>
      </c>
      <c r="T35" s="32">
        <f t="shared" si="10"/>
        <v>7.5499999963994924E-3</v>
      </c>
      <c r="U35" s="30"/>
      <c r="V35" s="27">
        <f t="shared" si="13"/>
        <v>44680</v>
      </c>
      <c r="W35" s="28">
        <f>SUM(E35*100+F35*20+G35*60+H35+I35*7+K35*1.1167+L35*1.1167)</f>
        <v>50583.827117300003</v>
      </c>
      <c r="X35" s="28">
        <f>SUM(B35*100+C35*60+D35+J35*1.1167)</f>
        <v>26133.058199999999</v>
      </c>
    </row>
    <row r="36" spans="1:24" x14ac:dyDescent="0.25">
      <c r="A36" s="35">
        <v>44681</v>
      </c>
      <c r="B36" s="36">
        <v>98</v>
      </c>
      <c r="C36" s="36"/>
      <c r="D36" s="36"/>
      <c r="E36" s="36">
        <v>2</v>
      </c>
      <c r="F36" s="37">
        <v>500</v>
      </c>
      <c r="G36" s="36"/>
      <c r="H36" s="36">
        <v>120</v>
      </c>
      <c r="I36" s="36"/>
      <c r="J36" s="38">
        <v>3043</v>
      </c>
      <c r="K36" s="39">
        <v>478.839</v>
      </c>
      <c r="L36" s="53">
        <v>2021</v>
      </c>
      <c r="M36" s="40">
        <f>19014.99</f>
        <v>19014.990000000002</v>
      </c>
      <c r="N36" s="40"/>
      <c r="O36" s="40">
        <v>5225.99</v>
      </c>
      <c r="P36" s="54">
        <v>30.4</v>
      </c>
      <c r="Q36" s="40">
        <v>15</v>
      </c>
      <c r="R36" s="40">
        <v>39.9</v>
      </c>
      <c r="S36" s="40">
        <v>600.01</v>
      </c>
      <c r="T36" s="42">
        <f t="shared" si="10"/>
        <v>-3.4500000003845344E-3</v>
      </c>
      <c r="U36" s="40"/>
      <c r="V36" s="35">
        <f t="shared" si="13"/>
        <v>44681</v>
      </c>
      <c r="W36" s="36">
        <f>SUM(E36*100+F36*20+G36*60+H36+I36*7+K36*1.1167+L36*1.1167)</f>
        <v>13111.570211300001</v>
      </c>
      <c r="X36" s="36">
        <f>SUM(B36*100+C36*60+D36+J36*1.1167)</f>
        <v>13198.1181</v>
      </c>
    </row>
    <row r="37" spans="1:24" x14ac:dyDescent="0.25">
      <c r="A37" s="50" t="s">
        <v>36</v>
      </c>
      <c r="B37" s="43">
        <f t="shared" ref="B37:L37" si="14">SUM(B24:B36)</f>
        <v>2096</v>
      </c>
      <c r="C37" s="43">
        <f t="shared" si="14"/>
        <v>0</v>
      </c>
      <c r="D37" s="43">
        <f t="shared" si="14"/>
        <v>60</v>
      </c>
      <c r="E37" s="43">
        <f t="shared" si="14"/>
        <v>145</v>
      </c>
      <c r="F37" s="43">
        <f t="shared" si="14"/>
        <v>4594</v>
      </c>
      <c r="G37" s="43">
        <f t="shared" si="14"/>
        <v>6</v>
      </c>
      <c r="H37" s="43">
        <f t="shared" si="14"/>
        <v>840</v>
      </c>
      <c r="I37" s="43">
        <f t="shared" si="14"/>
        <v>0</v>
      </c>
      <c r="J37" s="43">
        <f t="shared" si="14"/>
        <v>33650</v>
      </c>
      <c r="K37" s="94">
        <f t="shared" si="14"/>
        <v>8805.31</v>
      </c>
      <c r="L37" s="43">
        <f t="shared" si="14"/>
        <v>387830</v>
      </c>
      <c r="M37" s="43">
        <f>SUM(M24:M36)</f>
        <v>219482.26999999996</v>
      </c>
      <c r="N37" s="43">
        <f t="shared" ref="N37:T37" si="15">SUM(N24:N35)</f>
        <v>39296.119999999995</v>
      </c>
      <c r="O37" s="43">
        <f>SUM(O24:O36)</f>
        <v>712437.89999999991</v>
      </c>
      <c r="P37" s="43">
        <f>SUM(P24:P36)</f>
        <v>1925.67</v>
      </c>
      <c r="Q37" s="43">
        <f>SUM(Q24:Q36)</f>
        <v>5950</v>
      </c>
      <c r="R37" s="43">
        <f>SUM(R24:R36)</f>
        <v>382.2</v>
      </c>
      <c r="S37" s="43">
        <f>SUM(S24:S36)</f>
        <v>18566.189999999995</v>
      </c>
      <c r="T37" s="43">
        <f t="shared" si="15"/>
        <v>4.0949999992602848E-2</v>
      </c>
      <c r="U37" s="43"/>
      <c r="V37" s="43"/>
      <c r="W37" s="43">
        <f>SUM(W24:W36)</f>
        <v>550502.65067700006</v>
      </c>
      <c r="X37" s="43">
        <f>SUM(X24:X36)</f>
        <v>247236.95500000002</v>
      </c>
    </row>
    <row r="38" spans="1:24" x14ac:dyDescent="0.25">
      <c r="A38" s="55" t="s">
        <v>37</v>
      </c>
      <c r="B38" s="56">
        <f>(B37*100)</f>
        <v>209600</v>
      </c>
      <c r="C38" s="56">
        <f>(C37*60)</f>
        <v>0</v>
      </c>
      <c r="D38" s="56">
        <f>(D37)</f>
        <v>60</v>
      </c>
      <c r="E38" s="56">
        <f>(E37*100)</f>
        <v>14500</v>
      </c>
      <c r="F38" s="56">
        <f>(F37*20)</f>
        <v>91880</v>
      </c>
      <c r="G38" s="56">
        <f>(G37*60)</f>
        <v>360</v>
      </c>
      <c r="H38" s="56">
        <f>(H37)</f>
        <v>840</v>
      </c>
      <c r="I38" s="56">
        <f>+I37*7</f>
        <v>0</v>
      </c>
      <c r="J38" s="57">
        <f>(J37*1.1167)</f>
        <v>37576.955000000002</v>
      </c>
      <c r="K38" s="58">
        <f>(K37*1.1167)</f>
        <v>9832.8896769999992</v>
      </c>
      <c r="L38" s="59">
        <f>(L37*1.1167)</f>
        <v>433089.761</v>
      </c>
      <c r="M38" s="60"/>
      <c r="N38" s="60"/>
      <c r="O38" s="60"/>
      <c r="P38" s="60"/>
      <c r="Q38" s="60"/>
      <c r="R38" s="60"/>
      <c r="S38" s="60"/>
      <c r="T38" s="60"/>
      <c r="U38" s="56"/>
      <c r="V38" s="61" t="s">
        <v>35</v>
      </c>
      <c r="W38" s="56">
        <f>+L46+L47+L48+L49-W37</f>
        <v>0</v>
      </c>
      <c r="X38" s="56">
        <f>+L45-X37</f>
        <v>0</v>
      </c>
    </row>
    <row r="39" spans="1:24" ht="26.25" x14ac:dyDescent="0.25">
      <c r="A39" s="62" t="s">
        <v>38</v>
      </c>
      <c r="B39" s="43">
        <f t="shared" ref="B39:T39" si="16">(B20+B37)</f>
        <v>4693</v>
      </c>
      <c r="C39" s="43">
        <f t="shared" si="16"/>
        <v>0</v>
      </c>
      <c r="D39" s="43">
        <f t="shared" si="16"/>
        <v>80</v>
      </c>
      <c r="E39" s="43">
        <f t="shared" si="16"/>
        <v>304</v>
      </c>
      <c r="F39" s="43">
        <f t="shared" si="16"/>
        <v>9393</v>
      </c>
      <c r="G39" s="43">
        <f t="shared" si="16"/>
        <v>10</v>
      </c>
      <c r="H39" s="43">
        <f t="shared" si="16"/>
        <v>1550</v>
      </c>
      <c r="I39" s="43">
        <f t="shared" si="16"/>
        <v>0</v>
      </c>
      <c r="J39" s="43">
        <f t="shared" si="16"/>
        <v>61038</v>
      </c>
      <c r="K39" s="45">
        <f t="shared" si="16"/>
        <v>17893.421999999999</v>
      </c>
      <c r="L39" s="43">
        <f t="shared" si="16"/>
        <v>813504</v>
      </c>
      <c r="M39" s="43">
        <f t="shared" si="16"/>
        <v>453033.76999999996</v>
      </c>
      <c r="N39" s="43">
        <f t="shared" si="16"/>
        <v>92968.949999999983</v>
      </c>
      <c r="O39" s="43">
        <f t="shared" si="16"/>
        <v>1491551.91</v>
      </c>
      <c r="P39" s="43">
        <f t="shared" si="16"/>
        <v>4436</v>
      </c>
      <c r="Q39" s="43">
        <f t="shared" si="16"/>
        <v>13215</v>
      </c>
      <c r="R39" s="43">
        <f t="shared" si="16"/>
        <v>724.5</v>
      </c>
      <c r="S39" s="43">
        <f t="shared" si="16"/>
        <v>37915.49</v>
      </c>
      <c r="T39" s="43">
        <f t="shared" si="16"/>
        <v>2.9350000008861343E-2</v>
      </c>
      <c r="U39" s="43"/>
      <c r="V39" s="43"/>
      <c r="W39" s="43">
        <f>(W20+W37)</f>
        <v>1148831.5011474001</v>
      </c>
      <c r="X39" s="43">
        <f>(X20+X37)</f>
        <v>537541.13459999999</v>
      </c>
    </row>
    <row r="40" spans="1:24" x14ac:dyDescent="0.25">
      <c r="A40" s="55" t="s">
        <v>37</v>
      </c>
      <c r="B40" s="56">
        <f>(B39*100)</f>
        <v>469300</v>
      </c>
      <c r="C40" s="56">
        <f>(C39*60)</f>
        <v>0</v>
      </c>
      <c r="D40" s="56">
        <f>(D39)</f>
        <v>80</v>
      </c>
      <c r="E40" s="56">
        <f>(E39*100)</f>
        <v>30400</v>
      </c>
      <c r="F40" s="63">
        <f>(F39*20)</f>
        <v>187860</v>
      </c>
      <c r="G40" s="56">
        <f>(G39*60)</f>
        <v>600</v>
      </c>
      <c r="H40" s="56">
        <f>(H39)</f>
        <v>1550</v>
      </c>
      <c r="I40" s="56">
        <f>+I39*7</f>
        <v>0</v>
      </c>
      <c r="J40" s="57">
        <f>(J39*1.1167)</f>
        <v>68161.134600000005</v>
      </c>
      <c r="K40" s="58">
        <f>(K39*1.1167)</f>
        <v>19981.584347399999</v>
      </c>
      <c r="L40" s="59">
        <f>(L39*1.1167)</f>
        <v>908439.91680000001</v>
      </c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56">
        <f>+D54+D55+D56+D57-W39</f>
        <v>0</v>
      </c>
      <c r="X40" s="56">
        <f>+D53-X39</f>
        <v>0</v>
      </c>
    </row>
    <row r="41" spans="1:24" x14ac:dyDescent="0.25">
      <c r="A41" s="51"/>
      <c r="B41" s="51"/>
      <c r="C41" s="51"/>
      <c r="D41" s="51"/>
      <c r="E41" s="51"/>
      <c r="F41" s="64"/>
      <c r="G41" s="51"/>
      <c r="H41" s="51"/>
      <c r="I41" s="51"/>
      <c r="J41" s="13"/>
      <c r="K41" s="65"/>
      <c r="L41" s="66"/>
      <c r="M41" s="67"/>
      <c r="N41" s="67"/>
      <c r="O41" s="67"/>
      <c r="P41" s="67"/>
      <c r="Q41" s="67"/>
      <c r="R41" s="67"/>
      <c r="S41" s="67"/>
      <c r="T41" s="67"/>
      <c r="U41" s="1"/>
      <c r="V41" s="1"/>
      <c r="W41" s="1"/>
      <c r="X41" s="1"/>
    </row>
    <row r="42" spans="1:24" x14ac:dyDescent="0.25">
      <c r="A42" s="51"/>
      <c r="B42" s="51"/>
      <c r="C42" s="51"/>
      <c r="D42" s="51"/>
      <c r="E42" s="51"/>
      <c r="F42" s="64"/>
      <c r="G42" s="51"/>
      <c r="H42" s="51"/>
      <c r="I42" s="51"/>
      <c r="J42" s="13"/>
      <c r="K42" s="65"/>
      <c r="L42" s="66"/>
      <c r="M42" s="67"/>
      <c r="N42" s="67"/>
      <c r="O42" s="67"/>
      <c r="P42" s="67"/>
      <c r="Q42" s="67"/>
      <c r="R42" s="67"/>
      <c r="S42" s="67"/>
      <c r="T42" s="67"/>
      <c r="U42" s="1"/>
      <c r="V42" s="1"/>
      <c r="W42" s="1"/>
      <c r="X42" s="1"/>
    </row>
    <row r="43" spans="1:24" x14ac:dyDescent="0.25">
      <c r="A43" s="51"/>
      <c r="B43" s="51"/>
      <c r="C43" s="51"/>
      <c r="D43" s="51"/>
      <c r="E43" s="51"/>
      <c r="F43" s="64"/>
      <c r="G43" s="51"/>
      <c r="H43" s="51"/>
      <c r="I43" s="51"/>
      <c r="J43" s="13"/>
      <c r="K43" s="65"/>
      <c r="L43" s="66"/>
      <c r="M43" s="67"/>
      <c r="N43" s="67"/>
      <c r="O43" s="67"/>
      <c r="P43" s="67"/>
      <c r="Q43" s="67"/>
      <c r="R43" s="67"/>
      <c r="S43" s="67"/>
      <c r="T43" s="67"/>
      <c r="U43" s="1"/>
      <c r="V43" s="1"/>
      <c r="W43" s="1"/>
      <c r="X43" s="1"/>
    </row>
    <row r="44" spans="1:24" x14ac:dyDescent="0.25">
      <c r="A44" s="27"/>
      <c r="B44" s="68" t="s">
        <v>39</v>
      </c>
      <c r="C44" s="56"/>
      <c r="D44" s="56"/>
      <c r="E44" s="56"/>
      <c r="F44" s="43"/>
      <c r="G44" s="43"/>
      <c r="H44" s="43"/>
      <c r="I44" s="43"/>
      <c r="J44" s="57" t="s">
        <v>40</v>
      </c>
      <c r="K44" s="58"/>
      <c r="L44" s="59"/>
      <c r="M44" s="6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27"/>
      <c r="B45" s="69" t="s">
        <v>41</v>
      </c>
      <c r="C45" s="43"/>
      <c r="D45" s="43">
        <f>SUM(B21:D21)+J21</f>
        <v>290304.17959999997</v>
      </c>
      <c r="E45" s="70" t="s">
        <v>42</v>
      </c>
      <c r="F45" s="70"/>
      <c r="G45" s="43"/>
      <c r="H45" s="43"/>
      <c r="I45" s="43"/>
      <c r="J45" s="44" t="s">
        <v>41</v>
      </c>
      <c r="K45" s="47"/>
      <c r="L45" s="48">
        <f>SUM(B38:D38)+J38</f>
        <v>247236.95500000002</v>
      </c>
      <c r="M45" s="2" t="s">
        <v>42</v>
      </c>
      <c r="N45" s="1"/>
      <c r="O45" s="102">
        <v>44671</v>
      </c>
      <c r="P45" s="1" t="s">
        <v>50</v>
      </c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27"/>
      <c r="B46" s="69" t="s">
        <v>43</v>
      </c>
      <c r="C46" s="43"/>
      <c r="D46" s="43">
        <f>F21</f>
        <v>95980</v>
      </c>
      <c r="E46" s="70" t="s">
        <v>42</v>
      </c>
      <c r="F46" s="70"/>
      <c r="G46" s="43"/>
      <c r="H46" s="43"/>
      <c r="I46" s="43"/>
      <c r="J46" s="71" t="s">
        <v>43</v>
      </c>
      <c r="K46" s="47"/>
      <c r="L46" s="48">
        <f>F38</f>
        <v>91880</v>
      </c>
      <c r="M46" s="2" t="s">
        <v>42</v>
      </c>
      <c r="N46" s="1"/>
      <c r="O46" s="102">
        <v>44679</v>
      </c>
      <c r="P46" s="1" t="s">
        <v>51</v>
      </c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27"/>
      <c r="B47" s="69" t="s">
        <v>44</v>
      </c>
      <c r="C47" s="43"/>
      <c r="D47" s="43">
        <f>SUM(E21,G21,H21,I21)</f>
        <v>16850</v>
      </c>
      <c r="E47" s="70" t="s">
        <v>42</v>
      </c>
      <c r="F47" s="70"/>
      <c r="G47" s="43"/>
      <c r="H47" s="43"/>
      <c r="I47" s="43"/>
      <c r="J47" s="44" t="s">
        <v>44</v>
      </c>
      <c r="K47" s="47"/>
      <c r="L47" s="48">
        <f>SUM(E38:I38)-F38</f>
        <v>15700</v>
      </c>
      <c r="M47" s="2" t="s">
        <v>42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27"/>
      <c r="B48" s="69" t="s">
        <v>45</v>
      </c>
      <c r="C48" s="43"/>
      <c r="D48" s="94">
        <f>+K21</f>
        <v>10148.694670400002</v>
      </c>
      <c r="E48" s="70" t="s">
        <v>42</v>
      </c>
      <c r="F48" s="70"/>
      <c r="G48" s="43"/>
      <c r="H48" s="43"/>
      <c r="I48" s="43"/>
      <c r="J48" s="71" t="s">
        <v>45</v>
      </c>
      <c r="K48" s="47"/>
      <c r="L48" s="48">
        <f>+K38</f>
        <v>9832.8896769999992</v>
      </c>
      <c r="M48" s="2" t="s">
        <v>42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27"/>
      <c r="B49" s="72" t="s">
        <v>46</v>
      </c>
      <c r="C49" s="56"/>
      <c r="D49" s="56">
        <f>+L21</f>
        <v>475350.15580000001</v>
      </c>
      <c r="E49" s="73" t="s">
        <v>42</v>
      </c>
      <c r="F49" s="73"/>
      <c r="G49" s="43"/>
      <c r="H49" s="43"/>
      <c r="I49" s="43"/>
      <c r="J49" s="57" t="s">
        <v>46</v>
      </c>
      <c r="K49" s="58"/>
      <c r="L49" s="59">
        <f>+L38</f>
        <v>433089.761</v>
      </c>
      <c r="M49" s="74" t="s">
        <v>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27"/>
      <c r="B50" s="69"/>
      <c r="C50" s="43"/>
      <c r="D50" s="43">
        <f>SUM(D45:D49)</f>
        <v>888633.03007039998</v>
      </c>
      <c r="E50" s="70" t="s">
        <v>42</v>
      </c>
      <c r="F50" s="70"/>
      <c r="G50" s="43"/>
      <c r="H50" s="43"/>
      <c r="I50" s="43"/>
      <c r="J50" s="75"/>
      <c r="K50" s="76"/>
      <c r="L50" s="77">
        <f>SUM(L45:L49)</f>
        <v>797739.60567700001</v>
      </c>
      <c r="M50" s="2" t="s">
        <v>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27"/>
      <c r="B51" s="69"/>
      <c r="C51" s="43"/>
      <c r="D51" s="43"/>
      <c r="E51" s="70"/>
      <c r="F51" s="70"/>
      <c r="G51" s="43"/>
      <c r="H51" s="43"/>
      <c r="I51" s="43"/>
      <c r="J51" s="75"/>
      <c r="K51" s="76"/>
      <c r="L51" s="77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thickBot="1" x14ac:dyDescent="0.3">
      <c r="A52" s="27"/>
      <c r="B52" s="78"/>
      <c r="C52" s="78"/>
      <c r="D52" s="79" t="s">
        <v>47</v>
      </c>
      <c r="E52" s="78"/>
      <c r="F52" s="78"/>
      <c r="G52" s="78"/>
      <c r="H52" s="78"/>
      <c r="I52" s="78"/>
      <c r="J52" s="80"/>
      <c r="K52" s="47"/>
      <c r="L52" s="48"/>
      <c r="M52" s="4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27"/>
      <c r="B53" s="81" t="s">
        <v>41</v>
      </c>
      <c r="C53" s="43"/>
      <c r="D53" s="43">
        <f>+D45+L45</f>
        <v>537541.13459999999</v>
      </c>
      <c r="E53" s="70" t="s">
        <v>42</v>
      </c>
      <c r="F53" s="70" t="s">
        <v>48</v>
      </c>
      <c r="G53" s="82">
        <f>D5</f>
        <v>0.46379999999999999</v>
      </c>
      <c r="H53" s="70" t="s">
        <v>33</v>
      </c>
      <c r="I53" s="70"/>
      <c r="J53" s="44">
        <f>D53*G53</f>
        <v>249311.57822748</v>
      </c>
      <c r="K53" s="47">
        <f>+D53-X39</f>
        <v>0</v>
      </c>
      <c r="L53" s="48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27"/>
      <c r="B54" s="69" t="s">
        <v>43</v>
      </c>
      <c r="C54" s="43"/>
      <c r="D54" s="43">
        <f>D46+L46</f>
        <v>187860</v>
      </c>
      <c r="E54" s="70" t="s">
        <v>42</v>
      </c>
      <c r="F54" s="70" t="s">
        <v>48</v>
      </c>
      <c r="G54" s="83">
        <f>F5/20</f>
        <v>1.2749999999999999</v>
      </c>
      <c r="H54" s="70" t="s">
        <v>33</v>
      </c>
      <c r="I54" s="70"/>
      <c r="J54" s="44">
        <f>D54*G54</f>
        <v>239521.49999999997</v>
      </c>
      <c r="K54" s="47">
        <f>+D54+D55+D56+D57-W39</f>
        <v>0</v>
      </c>
      <c r="L54" s="48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81" t="s">
        <v>44</v>
      </c>
      <c r="C55" s="43"/>
      <c r="D55" s="43">
        <f>+D47+L47</f>
        <v>32550</v>
      </c>
      <c r="E55" s="70" t="s">
        <v>42</v>
      </c>
      <c r="F55" s="70" t="s">
        <v>48</v>
      </c>
      <c r="G55" s="83">
        <f>E5/100</f>
        <v>1.585</v>
      </c>
      <c r="H55" s="70" t="s">
        <v>33</v>
      </c>
      <c r="I55" s="70"/>
      <c r="J55" s="75">
        <f>D55*G55</f>
        <v>51591.75</v>
      </c>
      <c r="K55" s="47"/>
      <c r="L55" s="48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69" t="s">
        <v>45</v>
      </c>
      <c r="C56" s="43"/>
      <c r="D56" s="43">
        <f>+D48+L48</f>
        <v>19981.584347399999</v>
      </c>
      <c r="E56" s="70" t="s">
        <v>42</v>
      </c>
      <c r="F56" s="70" t="s">
        <v>48</v>
      </c>
      <c r="G56" s="83">
        <f>K5/1.1167</f>
        <v>1.3880182681113997</v>
      </c>
      <c r="H56" s="70" t="s">
        <v>33</v>
      </c>
      <c r="I56" s="70"/>
      <c r="J56" s="75">
        <f>+D56*G56</f>
        <v>27734.804100000001</v>
      </c>
      <c r="K56" s="47"/>
      <c r="L56" s="48"/>
      <c r="M56" s="4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thickBot="1" x14ac:dyDescent="0.3">
      <c r="A57" s="27"/>
      <c r="B57" s="79" t="s">
        <v>46</v>
      </c>
      <c r="C57" s="78"/>
      <c r="D57" s="78">
        <f>+D49+L49</f>
        <v>908439.91680000001</v>
      </c>
      <c r="E57" s="84" t="s">
        <v>42</v>
      </c>
      <c r="F57" s="84" t="s">
        <v>48</v>
      </c>
      <c r="G57" s="85">
        <f>L5/1.1167</f>
        <v>1.5671173994806125</v>
      </c>
      <c r="H57" s="84" t="s">
        <v>33</v>
      </c>
      <c r="I57" s="84"/>
      <c r="J57" s="80">
        <f>D57*G57</f>
        <v>1423632</v>
      </c>
      <c r="K57" s="47"/>
      <c r="L57" s="48"/>
      <c r="M57" s="4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27"/>
      <c r="B58" s="81"/>
      <c r="C58" s="43"/>
      <c r="D58" s="43">
        <f>SUM(D53:D57)</f>
        <v>1686372.6357474001</v>
      </c>
      <c r="E58" s="70"/>
      <c r="F58" s="70"/>
      <c r="G58" s="83"/>
      <c r="H58" s="70"/>
      <c r="I58" s="70"/>
      <c r="J58" s="75">
        <f>SUM(J53:J57)</f>
        <v>1991791.6323274798</v>
      </c>
      <c r="K58" s="47"/>
      <c r="L58" s="48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27"/>
      <c r="B59" s="81"/>
      <c r="C59" s="43"/>
      <c r="D59" s="43">
        <f>+D58-W39-X39</f>
        <v>0</v>
      </c>
      <c r="E59" s="70"/>
      <c r="F59" s="70"/>
      <c r="G59" s="83"/>
      <c r="H59" s="70"/>
      <c r="I59" s="70"/>
      <c r="J59" s="75"/>
      <c r="K59" s="47"/>
      <c r="L59" s="48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J60" s="86"/>
    </row>
  </sheetData>
  <pageMargins left="0.21" right="0.19" top="0.75" bottom="0.75" header="0.3" footer="0.3"/>
  <pageSetup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49CC-07A8-44F9-A521-279BF1FA1C20}">
  <dimension ref="A1:X61"/>
  <sheetViews>
    <sheetView workbookViewId="0">
      <selection activeCell="K6" sqref="K6"/>
    </sheetView>
  </sheetViews>
  <sheetFormatPr defaultRowHeight="15" x14ac:dyDescent="0.25"/>
  <cols>
    <col min="1" max="1" width="14" customWidth="1"/>
    <col min="2" max="2" width="10.42578125" customWidth="1"/>
    <col min="4" max="4" width="14.570312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7.28515625" customWidth="1"/>
    <col min="10" max="10" width="13.5703125" customWidth="1"/>
    <col min="11" max="11" width="15.5703125" customWidth="1"/>
    <col min="12" max="12" width="13.42578125" customWidth="1"/>
    <col min="13" max="13" width="16" customWidth="1"/>
    <col min="14" max="14" width="14.85546875" customWidth="1"/>
    <col min="15" max="15" width="15.140625" customWidth="1"/>
    <col min="16" max="16" width="13.42578125" customWidth="1"/>
    <col min="17" max="17" width="13" customWidth="1"/>
    <col min="18" max="18" width="10.140625" customWidth="1"/>
    <col min="19" max="19" width="14" customWidth="1"/>
    <col min="20" max="20" width="9.570312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>
        <v>44682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158.5</v>
      </c>
      <c r="F5" s="18">
        <v>25.5</v>
      </c>
      <c r="G5" s="18">
        <v>95</v>
      </c>
      <c r="H5" s="87">
        <v>1.59</v>
      </c>
      <c r="I5" s="17">
        <v>18.55</v>
      </c>
      <c r="J5" s="88">
        <v>0.52</v>
      </c>
      <c r="K5" s="89">
        <v>1.55</v>
      </c>
      <c r="L5" s="90">
        <v>1.75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44682</v>
      </c>
      <c r="B7" s="28"/>
      <c r="C7" s="28"/>
      <c r="D7" s="28"/>
      <c r="E7" s="28"/>
      <c r="F7" s="29"/>
      <c r="G7" s="28"/>
      <c r="H7" s="28"/>
      <c r="I7" s="28"/>
      <c r="J7" s="13"/>
      <c r="K7" s="6"/>
      <c r="L7" s="28">
        <v>1178</v>
      </c>
      <c r="M7" s="30"/>
      <c r="N7" s="30"/>
      <c r="O7" s="30">
        <v>2061.5</v>
      </c>
      <c r="P7" s="31"/>
      <c r="Q7" s="30"/>
      <c r="R7" s="30"/>
      <c r="S7" s="30"/>
      <c r="T7" s="32">
        <f t="shared" ref="T7:T20" si="0">+B7*46.38+C7*27.83+D7*0.4638+E7*158.5+F7*25.5+G7*95+H7*1.59+I7*18.55+J7*0.52+K7*1.45+L7*1.75-M7-N7-O7-P7+Q7+R7+S7</f>
        <v>0</v>
      </c>
      <c r="U7" s="1"/>
      <c r="V7" s="27">
        <f>+A7</f>
        <v>44682</v>
      </c>
      <c r="W7" s="28">
        <f>SUM(E7*100+F7*20+G7*60+H7+I7*7+K7*1.1167+L7*1.1167)</f>
        <v>1315.4726000000001</v>
      </c>
      <c r="X7" s="28">
        <f t="shared" ref="X7:X20" si="1">SUM(B7*100+C7*60+D7+J7*1.1167)</f>
        <v>0</v>
      </c>
    </row>
    <row r="8" spans="1:24" x14ac:dyDescent="0.25">
      <c r="A8" s="27">
        <v>44683</v>
      </c>
      <c r="B8" s="28"/>
      <c r="C8" s="28"/>
      <c r="D8" s="28"/>
      <c r="E8" s="28"/>
      <c r="F8" s="29"/>
      <c r="G8" s="28"/>
      <c r="H8" s="28"/>
      <c r="I8" s="28"/>
      <c r="J8" s="13">
        <v>60</v>
      </c>
      <c r="K8" s="6"/>
      <c r="L8" s="28">
        <v>39292</v>
      </c>
      <c r="M8" s="30"/>
      <c r="N8" s="30"/>
      <c r="O8" s="30">
        <v>68794.3</v>
      </c>
      <c r="P8" s="31"/>
      <c r="Q8" s="30"/>
      <c r="R8" s="30">
        <v>2.1</v>
      </c>
      <c r="S8" s="30"/>
      <c r="T8" s="32">
        <f t="shared" si="0"/>
        <v>-5.8206772735047707E-12</v>
      </c>
      <c r="U8" s="1"/>
      <c r="V8" s="27">
        <f t="shared" ref="V8:V20" si="2">+A8</f>
        <v>44683</v>
      </c>
      <c r="W8" s="28">
        <f t="shared" ref="W8:W20" si="3">SUM(E8*100+F8*20+G8*60+H8+I8*7+K8*1.1167+L8*1.1167)</f>
        <v>43877.376400000001</v>
      </c>
      <c r="X8" s="28">
        <f t="shared" si="1"/>
        <v>67.001999999999995</v>
      </c>
    </row>
    <row r="9" spans="1:24" x14ac:dyDescent="0.25">
      <c r="A9" s="27">
        <v>44684</v>
      </c>
      <c r="B9" s="28">
        <v>267</v>
      </c>
      <c r="C9" s="28"/>
      <c r="D9" s="28"/>
      <c r="E9" s="28">
        <v>14</v>
      </c>
      <c r="F9" s="29">
        <v>625</v>
      </c>
      <c r="G9" s="28"/>
      <c r="H9" s="28">
        <v>110</v>
      </c>
      <c r="I9" s="28"/>
      <c r="J9" s="13">
        <v>5949</v>
      </c>
      <c r="K9" s="6">
        <v>1489.36</v>
      </c>
      <c r="L9" s="28">
        <v>38893</v>
      </c>
      <c r="M9" s="30">
        <v>28432.89</v>
      </c>
      <c r="N9" s="30">
        <v>5555.98</v>
      </c>
      <c r="O9" s="30">
        <v>72379.460000000006</v>
      </c>
      <c r="P9" s="33">
        <v>156.13999999999999</v>
      </c>
      <c r="Q9" s="30">
        <v>550</v>
      </c>
      <c r="R9" s="30">
        <v>35.700000000000003</v>
      </c>
      <c r="S9" s="30">
        <v>1908.11</v>
      </c>
      <c r="T9" s="32">
        <f t="shared" si="0"/>
        <v>2.0000000095024006E-3</v>
      </c>
      <c r="U9" s="1"/>
      <c r="V9" s="27">
        <f t="shared" si="2"/>
        <v>44684</v>
      </c>
      <c r="W9" s="28">
        <f t="shared" si="3"/>
        <v>59104.981412000001</v>
      </c>
      <c r="X9" s="28">
        <f t="shared" si="1"/>
        <v>33343.248299999999</v>
      </c>
    </row>
    <row r="10" spans="1:24" x14ac:dyDescent="0.25">
      <c r="A10" s="27">
        <v>44685</v>
      </c>
      <c r="B10" s="28">
        <v>331</v>
      </c>
      <c r="C10" s="28"/>
      <c r="D10" s="28">
        <v>20</v>
      </c>
      <c r="E10" s="28">
        <v>23</v>
      </c>
      <c r="F10" s="29">
        <v>350</v>
      </c>
      <c r="G10" s="28">
        <v>2</v>
      </c>
      <c r="H10" s="28">
        <v>5</v>
      </c>
      <c r="I10" s="28"/>
      <c r="J10" s="13">
        <v>3843</v>
      </c>
      <c r="K10" s="34">
        <v>1061.068</v>
      </c>
      <c r="L10" s="28">
        <v>43017</v>
      </c>
      <c r="M10" s="30">
        <v>21726.04</v>
      </c>
      <c r="N10" s="30">
        <v>6561.04</v>
      </c>
      <c r="O10" s="30">
        <v>81448.070000000007</v>
      </c>
      <c r="P10" s="31">
        <f>191.21-25.5</f>
        <v>165.71</v>
      </c>
      <c r="Q10" s="30">
        <v>1075</v>
      </c>
      <c r="R10" s="30">
        <v>58.8</v>
      </c>
      <c r="S10" s="30">
        <v>1820.9</v>
      </c>
      <c r="T10" s="32">
        <f t="shared" si="0"/>
        <v>4.6000000095318683E-3</v>
      </c>
      <c r="U10" s="1"/>
      <c r="V10" s="27">
        <f t="shared" si="2"/>
        <v>44685</v>
      </c>
      <c r="W10" s="28">
        <f t="shared" si="3"/>
        <v>58646.978535599999</v>
      </c>
      <c r="X10" s="28">
        <f t="shared" si="1"/>
        <v>37411.4781</v>
      </c>
    </row>
    <row r="11" spans="1:24" x14ac:dyDescent="0.25">
      <c r="A11" s="27">
        <v>44686</v>
      </c>
      <c r="B11" s="28">
        <v>219</v>
      </c>
      <c r="C11" s="28"/>
      <c r="D11" s="28"/>
      <c r="E11" s="28">
        <v>11</v>
      </c>
      <c r="F11" s="29">
        <v>352</v>
      </c>
      <c r="G11" s="28"/>
      <c r="H11" s="28">
        <v>40</v>
      </c>
      <c r="I11" s="28"/>
      <c r="J11" s="13">
        <v>3938</v>
      </c>
      <c r="K11" s="34">
        <v>1029.577</v>
      </c>
      <c r="L11" s="28">
        <v>36734</v>
      </c>
      <c r="M11" s="30">
        <v>18386.89</v>
      </c>
      <c r="N11" s="30">
        <v>5005.4799999999996</v>
      </c>
      <c r="O11" s="30">
        <v>68512.73</v>
      </c>
      <c r="P11" s="33">
        <v>96.07</v>
      </c>
      <c r="Q11" s="30">
        <v>670</v>
      </c>
      <c r="R11" s="30">
        <v>21</v>
      </c>
      <c r="S11" s="30">
        <v>2544.71</v>
      </c>
      <c r="T11" s="32">
        <f t="shared" si="0"/>
        <v>6.6500000107225787E-3</v>
      </c>
      <c r="U11" s="1"/>
      <c r="V11" s="27">
        <f t="shared" si="2"/>
        <v>44686</v>
      </c>
      <c r="W11" s="28">
        <f t="shared" si="3"/>
        <v>50350.586435899997</v>
      </c>
      <c r="X11" s="28">
        <f t="shared" si="1"/>
        <v>26297.564599999998</v>
      </c>
    </row>
    <row r="12" spans="1:24" x14ac:dyDescent="0.25">
      <c r="A12" s="27">
        <v>44687</v>
      </c>
      <c r="B12" s="28">
        <v>203</v>
      </c>
      <c r="C12" s="28"/>
      <c r="D12" s="28"/>
      <c r="E12" s="28">
        <v>19</v>
      </c>
      <c r="F12" s="29">
        <v>381</v>
      </c>
      <c r="G12" s="28"/>
      <c r="H12" s="28">
        <v>160</v>
      </c>
      <c r="I12" s="28"/>
      <c r="J12" s="13">
        <v>2399</v>
      </c>
      <c r="K12" s="34">
        <v>801.76300000000003</v>
      </c>
      <c r="L12" s="28">
        <v>35248</v>
      </c>
      <c r="M12" s="30">
        <v>21659.01</v>
      </c>
      <c r="N12" s="30">
        <v>4184.34</v>
      </c>
      <c r="O12" s="30">
        <v>64124.36</v>
      </c>
      <c r="P12" s="31">
        <v>278.27999999999997</v>
      </c>
      <c r="Q12" s="30">
        <v>315</v>
      </c>
      <c r="R12" s="30">
        <v>39.9</v>
      </c>
      <c r="S12" s="30">
        <v>3400.51</v>
      </c>
      <c r="T12" s="32">
        <f t="shared" si="0"/>
        <v>-3.6499999882835255E-3</v>
      </c>
      <c r="U12" s="1"/>
      <c r="V12" s="27">
        <f t="shared" si="2"/>
        <v>44687</v>
      </c>
      <c r="W12" s="28">
        <f t="shared" si="3"/>
        <v>49936.770342099997</v>
      </c>
      <c r="X12" s="28">
        <f t="shared" si="1"/>
        <v>22978.963299999999</v>
      </c>
    </row>
    <row r="13" spans="1:24" x14ac:dyDescent="0.25">
      <c r="A13" s="27">
        <v>44688</v>
      </c>
      <c r="B13" s="28">
        <v>59</v>
      </c>
      <c r="C13" s="28"/>
      <c r="D13" s="28"/>
      <c r="E13" s="28"/>
      <c r="F13" s="29">
        <v>390</v>
      </c>
      <c r="G13" s="28"/>
      <c r="H13" s="28">
        <v>40</v>
      </c>
      <c r="I13" s="28"/>
      <c r="J13" s="13"/>
      <c r="K13" s="34">
        <v>243.44</v>
      </c>
      <c r="L13" s="28">
        <v>300</v>
      </c>
      <c r="M13" s="30">
        <v>12923.48</v>
      </c>
      <c r="N13" s="30"/>
      <c r="O13" s="30">
        <v>829.53</v>
      </c>
      <c r="P13" s="31"/>
      <c r="Q13" s="30">
        <v>10</v>
      </c>
      <c r="R13" s="30"/>
      <c r="S13" s="30">
        <v>120</v>
      </c>
      <c r="T13" s="32">
        <f t="shared" si="0"/>
        <v>-1.9999999997253326E-3</v>
      </c>
      <c r="U13" s="1"/>
      <c r="V13" s="27">
        <f t="shared" si="2"/>
        <v>44688</v>
      </c>
      <c r="W13" s="28">
        <f t="shared" si="3"/>
        <v>8446.8594479999992</v>
      </c>
      <c r="X13" s="28">
        <f t="shared" si="1"/>
        <v>5900</v>
      </c>
    </row>
    <row r="14" spans="1:24" x14ac:dyDescent="0.25">
      <c r="A14" s="27">
        <v>44690</v>
      </c>
      <c r="B14" s="28">
        <v>330</v>
      </c>
      <c r="C14" s="28"/>
      <c r="D14" s="28">
        <v>20</v>
      </c>
      <c r="E14" s="28">
        <v>18</v>
      </c>
      <c r="F14" s="29">
        <v>370</v>
      </c>
      <c r="G14" s="28">
        <v>1</v>
      </c>
      <c r="H14" s="28">
        <v>75</v>
      </c>
      <c r="I14" s="28"/>
      <c r="J14" s="13">
        <v>2266</v>
      </c>
      <c r="K14" s="34">
        <v>1545.2940000000001</v>
      </c>
      <c r="L14" s="28">
        <f>38924+50</f>
        <v>38974</v>
      </c>
      <c r="M14" s="30">
        <v>20951.57</v>
      </c>
      <c r="N14" s="30">
        <v>7247.56</v>
      </c>
      <c r="O14" s="30">
        <f>72291.51+87.5</f>
        <v>72379.009999999995</v>
      </c>
      <c r="P14" s="31">
        <v>46.38</v>
      </c>
      <c r="Q14" s="30">
        <v>735</v>
      </c>
      <c r="R14" s="30">
        <v>44.1</v>
      </c>
      <c r="S14" s="30">
        <v>405</v>
      </c>
      <c r="T14" s="32">
        <f t="shared" si="0"/>
        <v>2.3000000061301762E-3</v>
      </c>
      <c r="U14" s="1"/>
      <c r="V14" s="27">
        <f t="shared" si="2"/>
        <v>44690</v>
      </c>
      <c r="W14" s="28">
        <f t="shared" si="3"/>
        <v>54582.895609800005</v>
      </c>
      <c r="X14" s="28">
        <f t="shared" si="1"/>
        <v>35550.442199999998</v>
      </c>
    </row>
    <row r="15" spans="1:24" x14ac:dyDescent="0.25">
      <c r="A15" s="27">
        <v>44691</v>
      </c>
      <c r="B15" s="28">
        <v>287</v>
      </c>
      <c r="C15" s="28"/>
      <c r="D15" s="28"/>
      <c r="E15" s="28">
        <v>9</v>
      </c>
      <c r="F15" s="29">
        <v>315</v>
      </c>
      <c r="G15" s="28"/>
      <c r="H15" s="28">
        <v>40</v>
      </c>
      <c r="I15" s="28"/>
      <c r="J15" s="13">
        <v>380</v>
      </c>
      <c r="K15" s="34">
        <v>579.47500000000002</v>
      </c>
      <c r="L15" s="28">
        <v>37657</v>
      </c>
      <c r="M15" s="30">
        <v>20104.59</v>
      </c>
      <c r="N15" s="30">
        <v>7130.4</v>
      </c>
      <c r="O15" s="30">
        <v>66848.84</v>
      </c>
      <c r="P15" s="31">
        <v>158.5</v>
      </c>
      <c r="Q15" s="30">
        <v>345</v>
      </c>
      <c r="R15" s="30">
        <v>6.3</v>
      </c>
      <c r="S15" s="30">
        <v>4119.78</v>
      </c>
      <c r="T15" s="32">
        <f t="shared" si="0"/>
        <v>-1.249999995707185E-3</v>
      </c>
      <c r="U15" s="1"/>
      <c r="V15" s="27">
        <f t="shared" si="2"/>
        <v>44691</v>
      </c>
      <c r="W15" s="28">
        <f t="shared" si="3"/>
        <v>49938.671632500002</v>
      </c>
      <c r="X15" s="28">
        <f t="shared" si="1"/>
        <v>29124.346000000001</v>
      </c>
    </row>
    <row r="16" spans="1:24" x14ac:dyDescent="0.25">
      <c r="A16" s="27">
        <v>44692</v>
      </c>
      <c r="B16" s="28">
        <v>228</v>
      </c>
      <c r="C16" s="28"/>
      <c r="D16" s="28">
        <v>40</v>
      </c>
      <c r="E16" s="28">
        <v>12</v>
      </c>
      <c r="F16" s="29">
        <v>304</v>
      </c>
      <c r="G16" s="28">
        <v>3</v>
      </c>
      <c r="H16" s="28">
        <v>10</v>
      </c>
      <c r="I16" s="28"/>
      <c r="J16" s="13">
        <v>2053</v>
      </c>
      <c r="K16" s="34">
        <v>837.173</v>
      </c>
      <c r="L16" s="28">
        <v>41981</v>
      </c>
      <c r="M16" s="30">
        <v>17567.96</v>
      </c>
      <c r="N16" s="30">
        <v>5093.92</v>
      </c>
      <c r="O16" s="30">
        <v>76695.960000000006</v>
      </c>
      <c r="P16" s="31">
        <v>252.68</v>
      </c>
      <c r="Q16" s="30">
        <v>945</v>
      </c>
      <c r="R16" s="30">
        <v>39.9</v>
      </c>
      <c r="S16" s="30">
        <v>2329.31</v>
      </c>
      <c r="T16" s="32">
        <f t="shared" si="0"/>
        <v>-7.1499999889965693E-3</v>
      </c>
      <c r="U16" s="1"/>
      <c r="V16" s="27">
        <f t="shared" si="2"/>
        <v>44692</v>
      </c>
      <c r="W16" s="28">
        <f t="shared" si="3"/>
        <v>55285.053789099999</v>
      </c>
      <c r="X16" s="28">
        <f t="shared" si="1"/>
        <v>25132.5851</v>
      </c>
    </row>
    <row r="17" spans="1:24" x14ac:dyDescent="0.25">
      <c r="A17" s="27">
        <v>44693</v>
      </c>
      <c r="B17" s="28">
        <v>247</v>
      </c>
      <c r="C17" s="28"/>
      <c r="D17" s="28"/>
      <c r="E17" s="28">
        <v>10</v>
      </c>
      <c r="F17" s="29">
        <v>314</v>
      </c>
      <c r="G17" s="28"/>
      <c r="H17" s="28">
        <v>70</v>
      </c>
      <c r="I17" s="28"/>
      <c r="J17" s="13">
        <v>1814</v>
      </c>
      <c r="K17" s="34">
        <v>1260.412</v>
      </c>
      <c r="L17" s="28">
        <v>36684</v>
      </c>
      <c r="M17" s="30">
        <v>19072.53</v>
      </c>
      <c r="N17" s="30">
        <v>4622.42</v>
      </c>
      <c r="O17" s="30">
        <v>66916.210000000006</v>
      </c>
      <c r="P17" s="31">
        <v>248.9</v>
      </c>
      <c r="Q17" s="30">
        <v>1320</v>
      </c>
      <c r="R17" s="30">
        <v>23.1</v>
      </c>
      <c r="S17" s="30">
        <v>1389.92</v>
      </c>
      <c r="T17" s="32">
        <f t="shared" si="0"/>
        <v>-2.6000000025305781E-3</v>
      </c>
      <c r="U17" s="1"/>
      <c r="V17" s="27">
        <f t="shared" si="2"/>
        <v>44693</v>
      </c>
      <c r="W17" s="28">
        <f t="shared" si="3"/>
        <v>49722.5248804</v>
      </c>
      <c r="X17" s="28">
        <f t="shared" si="1"/>
        <v>26725.693800000001</v>
      </c>
    </row>
    <row r="18" spans="1:24" x14ac:dyDescent="0.25">
      <c r="A18" s="27">
        <v>44694</v>
      </c>
      <c r="B18" s="28">
        <v>365</v>
      </c>
      <c r="C18" s="28"/>
      <c r="D18" s="28"/>
      <c r="E18" s="28">
        <v>14</v>
      </c>
      <c r="F18" s="29">
        <v>341</v>
      </c>
      <c r="G18" s="28"/>
      <c r="H18" s="28">
        <v>30</v>
      </c>
      <c r="I18" s="28"/>
      <c r="J18" s="13">
        <v>2825</v>
      </c>
      <c r="K18" s="34">
        <v>629.29499999999996</v>
      </c>
      <c r="L18" s="28">
        <v>34610</v>
      </c>
      <c r="M18" s="30">
        <v>20265.27</v>
      </c>
      <c r="N18" s="30">
        <v>9005.6</v>
      </c>
      <c r="O18" s="30">
        <v>63722.48</v>
      </c>
      <c r="P18" s="31">
        <v>324.66000000000003</v>
      </c>
      <c r="Q18" s="30">
        <v>1250</v>
      </c>
      <c r="R18" s="30">
        <v>37.799999999999997</v>
      </c>
      <c r="S18" s="30">
        <v>1190.33</v>
      </c>
      <c r="T18" s="32">
        <f t="shared" ref="T18" si="4">+B18*46.38+C18*27.83+D18*0.4638+E18*158.5+F18*25.5+G18*95+H18*1.59+I18*18.55+J18*0.52+K18*1.45+L18*1.75-M18-N18-O18-P18+Q18+R18+S18</f>
        <v>-2.2500000061427272E-3</v>
      </c>
      <c r="U18" s="1"/>
      <c r="V18" s="27">
        <f t="shared" ref="V18" si="5">+A18</f>
        <v>44694</v>
      </c>
      <c r="W18" s="28">
        <f t="shared" ref="W18" si="6">SUM(E18*100+F18*20+G18*60+H18+I18*7+K18*1.1167+L18*1.1167)</f>
        <v>47601.720726500003</v>
      </c>
      <c r="X18" s="28">
        <f t="shared" ref="X18" si="7">SUM(B18*100+C18*60+D18+J18*1.1167)</f>
        <v>39654.677499999998</v>
      </c>
    </row>
    <row r="19" spans="1:24" x14ac:dyDescent="0.25">
      <c r="A19" s="27">
        <v>44695</v>
      </c>
      <c r="B19" s="28">
        <v>65</v>
      </c>
      <c r="C19" s="28"/>
      <c r="D19" s="28"/>
      <c r="E19" s="28">
        <v>1</v>
      </c>
      <c r="F19" s="29">
        <v>350</v>
      </c>
      <c r="G19" s="28"/>
      <c r="H19" s="28">
        <v>95</v>
      </c>
      <c r="I19" s="28"/>
      <c r="J19" s="13"/>
      <c r="K19" s="34">
        <v>755.60699999999997</v>
      </c>
      <c r="L19" s="28"/>
      <c r="M19" s="30">
        <v>13463.69</v>
      </c>
      <c r="N19" s="30"/>
      <c r="O19" s="30">
        <v>400.03</v>
      </c>
      <c r="P19" s="31"/>
      <c r="Q19" s="30">
        <v>250</v>
      </c>
      <c r="R19" s="30"/>
      <c r="S19" s="30">
        <v>268.85000000000002</v>
      </c>
      <c r="T19" s="32">
        <f t="shared" si="0"/>
        <v>1.0150000000407999E-2</v>
      </c>
      <c r="U19" s="1"/>
      <c r="V19" s="27">
        <f t="shared" si="2"/>
        <v>44695</v>
      </c>
      <c r="W19" s="28">
        <f t="shared" si="3"/>
        <v>8038.7863368999997</v>
      </c>
      <c r="X19" s="28">
        <f t="shared" si="1"/>
        <v>6500</v>
      </c>
    </row>
    <row r="20" spans="1:24" x14ac:dyDescent="0.25">
      <c r="A20" s="35"/>
      <c r="B20" s="36"/>
      <c r="C20" s="36"/>
      <c r="D20" s="36"/>
      <c r="E20" s="36"/>
      <c r="F20" s="37"/>
      <c r="G20" s="36"/>
      <c r="H20" s="36"/>
      <c r="I20" s="36"/>
      <c r="J20" s="38"/>
      <c r="K20" s="39"/>
      <c r="L20" s="36"/>
      <c r="M20" s="40"/>
      <c r="N20" s="40"/>
      <c r="O20" s="40"/>
      <c r="P20" s="41"/>
      <c r="Q20" s="40"/>
      <c r="R20" s="40"/>
      <c r="S20" s="40"/>
      <c r="T20" s="42">
        <f t="shared" si="0"/>
        <v>0</v>
      </c>
      <c r="U20" s="16"/>
      <c r="V20" s="35">
        <f t="shared" si="2"/>
        <v>0</v>
      </c>
      <c r="W20" s="36">
        <f t="shared" si="3"/>
        <v>0</v>
      </c>
      <c r="X20" s="36">
        <f t="shared" si="1"/>
        <v>0</v>
      </c>
    </row>
    <row r="21" spans="1:24" x14ac:dyDescent="0.25">
      <c r="A21" s="27"/>
      <c r="B21" s="43">
        <f>SUM(B7:B20)</f>
        <v>2601</v>
      </c>
      <c r="C21" s="43">
        <f t="shared" ref="C21:L21" si="8">SUM(C7:C20)</f>
        <v>0</v>
      </c>
      <c r="D21" s="43">
        <f t="shared" si="8"/>
        <v>80</v>
      </c>
      <c r="E21" s="43">
        <f t="shared" si="8"/>
        <v>131</v>
      </c>
      <c r="F21" s="43">
        <f t="shared" si="8"/>
        <v>4092</v>
      </c>
      <c r="G21" s="43">
        <f t="shared" si="8"/>
        <v>6</v>
      </c>
      <c r="H21" s="43">
        <f t="shared" si="8"/>
        <v>675</v>
      </c>
      <c r="I21" s="43">
        <f t="shared" si="8"/>
        <v>0</v>
      </c>
      <c r="J21" s="43">
        <f t="shared" si="8"/>
        <v>25527</v>
      </c>
      <c r="K21" s="94">
        <f t="shared" si="8"/>
        <v>10232.464</v>
      </c>
      <c r="L21" s="43">
        <f t="shared" si="8"/>
        <v>384568</v>
      </c>
      <c r="M21" s="45">
        <f t="shared" ref="M21:T21" si="9">SUM(M7:M20)</f>
        <v>214553.91999999998</v>
      </c>
      <c r="N21" s="45">
        <f t="shared" si="9"/>
        <v>54406.74</v>
      </c>
      <c r="O21" s="45">
        <f t="shared" si="9"/>
        <v>705112.48</v>
      </c>
      <c r="P21" s="45">
        <f t="shared" si="9"/>
        <v>1727.3200000000002</v>
      </c>
      <c r="Q21" s="45">
        <f t="shared" si="9"/>
        <v>7465</v>
      </c>
      <c r="R21" s="45">
        <f t="shared" si="9"/>
        <v>308.70000000000005</v>
      </c>
      <c r="S21" s="45">
        <f t="shared" si="9"/>
        <v>19497.419999999998</v>
      </c>
      <c r="T21" s="45">
        <f t="shared" si="9"/>
        <v>6.8000000490884283E-3</v>
      </c>
      <c r="U21" s="43"/>
      <c r="V21" s="43"/>
      <c r="W21" s="43">
        <f>SUM(W7:W20)</f>
        <v>536848.67814879993</v>
      </c>
      <c r="X21" s="43">
        <f>SUM(X7:X20)</f>
        <v>288686.00089999998</v>
      </c>
    </row>
    <row r="22" spans="1:24" x14ac:dyDescent="0.25">
      <c r="A22" s="27"/>
      <c r="B22" s="43">
        <f>(B21*100)</f>
        <v>260100</v>
      </c>
      <c r="C22" s="43">
        <f>(C21*60)</f>
        <v>0</v>
      </c>
      <c r="D22" s="43">
        <f>(D21)</f>
        <v>80</v>
      </c>
      <c r="E22" s="43">
        <f>(E21*100)</f>
        <v>13100</v>
      </c>
      <c r="F22" s="46">
        <f>(F21*20)</f>
        <v>81840</v>
      </c>
      <c r="G22" s="43">
        <f>(G21*60)</f>
        <v>360</v>
      </c>
      <c r="H22" s="43">
        <f>(H21)</f>
        <v>675</v>
      </c>
      <c r="I22" s="43">
        <f>+I21*7</f>
        <v>0</v>
      </c>
      <c r="J22" s="44">
        <f>(J21*1.1167)</f>
        <v>28506.000899999999</v>
      </c>
      <c r="K22" s="47">
        <f>(K21*1.1167)</f>
        <v>11426.592548799999</v>
      </c>
      <c r="L22" s="48">
        <f>(L21*1.1167)</f>
        <v>429447.08559999999</v>
      </c>
      <c r="M22" s="49"/>
      <c r="N22" s="49"/>
      <c r="O22" s="49"/>
      <c r="P22" s="49"/>
      <c r="Q22" s="49"/>
      <c r="R22" s="49"/>
      <c r="S22" s="49"/>
      <c r="T22" s="49"/>
      <c r="U22" s="49"/>
      <c r="V22" s="50" t="s">
        <v>35</v>
      </c>
      <c r="W22" s="43">
        <f>+D47+D48+D49+D50-W21</f>
        <v>0</v>
      </c>
      <c r="X22" s="43">
        <f>+D46-X21</f>
        <v>0</v>
      </c>
    </row>
    <row r="23" spans="1:24" x14ac:dyDescent="0.25">
      <c r="A23" s="27"/>
      <c r="B23" s="43"/>
      <c r="C23" s="43"/>
      <c r="D23" s="43"/>
      <c r="E23" s="43"/>
      <c r="F23" s="46"/>
      <c r="G23" s="43"/>
      <c r="H23" s="43"/>
      <c r="I23" s="43"/>
      <c r="J23" s="44"/>
      <c r="K23" s="47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50"/>
      <c r="W23" s="43"/>
      <c r="X23" s="43"/>
    </row>
    <row r="24" spans="1:24" x14ac:dyDescent="0.25">
      <c r="A24" s="22" t="s">
        <v>26</v>
      </c>
      <c r="B24" s="22" t="s">
        <v>27</v>
      </c>
      <c r="C24" s="22" t="s">
        <v>28</v>
      </c>
      <c r="D24" s="22" t="s">
        <v>29</v>
      </c>
      <c r="E24" s="22" t="s">
        <v>27</v>
      </c>
      <c r="F24" s="22" t="s">
        <v>30</v>
      </c>
      <c r="G24" s="22" t="s">
        <v>28</v>
      </c>
      <c r="H24" s="22" t="s">
        <v>29</v>
      </c>
      <c r="I24" s="22" t="s">
        <v>31</v>
      </c>
      <c r="J24" s="23" t="s">
        <v>32</v>
      </c>
      <c r="K24" s="24" t="s">
        <v>32</v>
      </c>
      <c r="L24" s="25" t="s">
        <v>32</v>
      </c>
      <c r="M24" s="22" t="s">
        <v>33</v>
      </c>
      <c r="N24" s="22" t="s">
        <v>33</v>
      </c>
      <c r="O24" s="22" t="s">
        <v>33</v>
      </c>
      <c r="P24" s="22" t="s">
        <v>33</v>
      </c>
      <c r="Q24" s="22" t="s">
        <v>33</v>
      </c>
      <c r="R24" s="22" t="s">
        <v>33</v>
      </c>
      <c r="S24" s="22" t="s">
        <v>33</v>
      </c>
      <c r="T24" s="22" t="s">
        <v>33</v>
      </c>
      <c r="U24" s="26"/>
      <c r="V24" s="22" t="s">
        <v>26</v>
      </c>
      <c r="W24" s="22" t="s">
        <v>11</v>
      </c>
      <c r="X24" s="22" t="s">
        <v>34</v>
      </c>
    </row>
    <row r="25" spans="1:24" x14ac:dyDescent="0.25">
      <c r="A25" s="27">
        <v>44697</v>
      </c>
      <c r="B25" s="28">
        <v>253</v>
      </c>
      <c r="C25" s="28"/>
      <c r="D25" s="28"/>
      <c r="E25" s="28">
        <v>7</v>
      </c>
      <c r="F25" s="29">
        <v>321</v>
      </c>
      <c r="G25" s="28"/>
      <c r="H25" s="28">
        <v>10</v>
      </c>
      <c r="I25" s="28"/>
      <c r="J25" s="13">
        <f>3127-162</f>
        <v>2965</v>
      </c>
      <c r="K25" s="34">
        <v>2110.4169999999999</v>
      </c>
      <c r="L25" s="28">
        <f>41087+162</f>
        <v>41249</v>
      </c>
      <c r="M25" s="30">
        <v>19705.8</v>
      </c>
      <c r="N25" s="30">
        <v>3698.86</v>
      </c>
      <c r="O25" s="30">
        <f>77186.87+162*1.75-162*0.52-2.1</f>
        <v>77384.029999999984</v>
      </c>
      <c r="P25" s="33">
        <f>295.81-25.5</f>
        <v>270.31</v>
      </c>
      <c r="Q25" s="30">
        <v>1800</v>
      </c>
      <c r="R25" s="30">
        <v>33.6</v>
      </c>
      <c r="S25" s="30">
        <v>1392.7</v>
      </c>
      <c r="T25" s="32">
        <f t="shared" ref="T25:T37" si="10">+B25*46.38+C25*27.83+D25*0.4638+E25*158.5+F25*25.5+G25*95+H25*1.59+I25*18.55+J25*0.52+K25*1.45+L25*1.75-M25-N25-O25-P25+Q25+R25+S25</f>
        <v>-5.3499999828545697E-3</v>
      </c>
      <c r="U25" s="51"/>
      <c r="V25" s="27">
        <f>+A25</f>
        <v>44697</v>
      </c>
      <c r="W25" s="28">
        <f t="shared" ref="W25:W35" si="11">SUM(E25*100+F25*20+G25*60+H25+I25*7+K25*1.1167+L25*1.1167)</f>
        <v>55549.460963899997</v>
      </c>
      <c r="X25" s="28">
        <f t="shared" ref="X25:X35" si="12">SUM(B25*100+C25*60+D25+J25*1.1167)</f>
        <v>28611.015500000001</v>
      </c>
    </row>
    <row r="26" spans="1:24" x14ac:dyDescent="0.25">
      <c r="A26" s="27">
        <v>44698</v>
      </c>
      <c r="B26" s="28">
        <v>217</v>
      </c>
      <c r="C26" s="28"/>
      <c r="D26" s="28"/>
      <c r="E26" s="28">
        <v>12</v>
      </c>
      <c r="F26" s="29">
        <v>297</v>
      </c>
      <c r="G26" s="28"/>
      <c r="H26" s="28">
        <v>40</v>
      </c>
      <c r="I26" s="28"/>
      <c r="J26" s="13">
        <v>4515</v>
      </c>
      <c r="K26" s="34">
        <v>715.11099999999999</v>
      </c>
      <c r="L26" s="52">
        <v>40428</v>
      </c>
      <c r="M26" s="30">
        <v>18817.62</v>
      </c>
      <c r="N26" s="30">
        <v>4450.3</v>
      </c>
      <c r="O26" s="30">
        <v>75001.990000000005</v>
      </c>
      <c r="P26" s="31">
        <v>46.38</v>
      </c>
      <c r="Q26" s="30">
        <v>480</v>
      </c>
      <c r="R26" s="30">
        <v>42</v>
      </c>
      <c r="S26" s="30">
        <v>4057.02</v>
      </c>
      <c r="T26" s="32">
        <f t="shared" si="10"/>
        <v>9.5000000192158041E-4</v>
      </c>
      <c r="U26" s="30"/>
      <c r="V26" s="27">
        <f t="shared" ref="V26:V37" si="13">+A26</f>
        <v>44698</v>
      </c>
      <c r="W26" s="28">
        <f t="shared" si="11"/>
        <v>53124.512053699997</v>
      </c>
      <c r="X26" s="28">
        <f t="shared" si="12"/>
        <v>26741.9005</v>
      </c>
    </row>
    <row r="27" spans="1:24" x14ac:dyDescent="0.25">
      <c r="A27" s="27">
        <v>44699</v>
      </c>
      <c r="B27" s="28">
        <v>206</v>
      </c>
      <c r="C27" s="28"/>
      <c r="D27" s="28"/>
      <c r="E27" s="28">
        <v>14</v>
      </c>
      <c r="F27" s="29">
        <v>263</v>
      </c>
      <c r="G27" s="28"/>
      <c r="H27" s="28">
        <v>80</v>
      </c>
      <c r="I27" s="28">
        <v>1</v>
      </c>
      <c r="J27" s="13">
        <v>2255</v>
      </c>
      <c r="K27" s="34">
        <v>287.04199999999997</v>
      </c>
      <c r="L27" s="52">
        <v>40995</v>
      </c>
      <c r="M27" s="30">
        <v>13763.14</v>
      </c>
      <c r="N27" s="30">
        <v>5078.5600000000004</v>
      </c>
      <c r="O27" s="30">
        <v>74701.67</v>
      </c>
      <c r="P27" s="31">
        <v>104.24</v>
      </c>
      <c r="Q27" s="30">
        <v>685</v>
      </c>
      <c r="R27" s="30">
        <v>42</v>
      </c>
      <c r="S27" s="30">
        <v>965.02</v>
      </c>
      <c r="T27" s="32">
        <f t="shared" si="10"/>
        <v>9.0000000022882887E-4</v>
      </c>
      <c r="U27" s="30"/>
      <c r="V27" s="27">
        <f t="shared" si="13"/>
        <v>44699</v>
      </c>
      <c r="W27" s="28">
        <f t="shared" si="11"/>
        <v>52846.656301400006</v>
      </c>
      <c r="X27" s="28">
        <f t="shared" si="12"/>
        <v>23118.158500000001</v>
      </c>
    </row>
    <row r="28" spans="1:24" x14ac:dyDescent="0.25">
      <c r="A28" s="27">
        <v>44700</v>
      </c>
      <c r="B28" s="28">
        <v>218</v>
      </c>
      <c r="C28" s="28">
        <v>1</v>
      </c>
      <c r="D28" s="28"/>
      <c r="E28" s="28">
        <v>22</v>
      </c>
      <c r="F28" s="29">
        <v>257</v>
      </c>
      <c r="G28" s="28">
        <v>2</v>
      </c>
      <c r="H28" s="28">
        <v>60</v>
      </c>
      <c r="I28" s="28"/>
      <c r="J28" s="13">
        <v>2007</v>
      </c>
      <c r="K28" s="6">
        <v>799.19600000000003</v>
      </c>
      <c r="L28" s="52">
        <v>36007</v>
      </c>
      <c r="M28" s="30">
        <v>22554.48</v>
      </c>
      <c r="N28" s="30">
        <v>5043.82</v>
      </c>
      <c r="O28" s="30">
        <v>65830.19</v>
      </c>
      <c r="P28" s="33">
        <v>135.31</v>
      </c>
      <c r="Q28" s="30">
        <v>440</v>
      </c>
      <c r="R28" s="30"/>
      <c r="S28" s="30">
        <v>7444.51</v>
      </c>
      <c r="T28" s="32">
        <f t="shared" si="10"/>
        <v>4.200000005766924E-3</v>
      </c>
      <c r="U28" s="30"/>
      <c r="V28" s="27">
        <f t="shared" si="13"/>
        <v>44700</v>
      </c>
      <c r="W28" s="28">
        <f t="shared" si="11"/>
        <v>48621.479073200004</v>
      </c>
      <c r="X28" s="28">
        <f t="shared" si="12"/>
        <v>24101.216899999999</v>
      </c>
    </row>
    <row r="29" spans="1:24" x14ac:dyDescent="0.25">
      <c r="A29" s="27">
        <v>44701</v>
      </c>
      <c r="B29" s="28">
        <v>250</v>
      </c>
      <c r="C29" s="28"/>
      <c r="D29" s="28"/>
      <c r="E29" s="28">
        <v>16</v>
      </c>
      <c r="F29" s="29">
        <v>335</v>
      </c>
      <c r="G29" s="28"/>
      <c r="H29" s="28">
        <v>80</v>
      </c>
      <c r="I29" s="28"/>
      <c r="J29" s="13">
        <v>2013</v>
      </c>
      <c r="K29" s="34">
        <v>704.26400000000001</v>
      </c>
      <c r="L29" s="52">
        <v>33632</v>
      </c>
      <c r="M29" s="30">
        <v>19652.240000000002</v>
      </c>
      <c r="N29" s="30">
        <v>5129.88</v>
      </c>
      <c r="O29" s="30">
        <v>61992.59</v>
      </c>
      <c r="P29" s="33">
        <v>278.27999999999997</v>
      </c>
      <c r="Q29" s="30">
        <v>1190</v>
      </c>
      <c r="R29" s="30">
        <v>37.799999999999997</v>
      </c>
      <c r="S29" s="30">
        <v>2100.5500000000002</v>
      </c>
      <c r="T29" s="32">
        <f t="shared" si="10"/>
        <v>2.8000000029351213E-3</v>
      </c>
      <c r="U29" s="30"/>
      <c r="V29" s="27">
        <f t="shared" si="13"/>
        <v>44701</v>
      </c>
      <c r="W29" s="28">
        <f t="shared" si="11"/>
        <v>46723.306008800006</v>
      </c>
      <c r="X29" s="28">
        <f t="shared" si="12"/>
        <v>27247.917099999999</v>
      </c>
    </row>
    <row r="30" spans="1:24" x14ac:dyDescent="0.25">
      <c r="A30" s="27">
        <v>44702</v>
      </c>
      <c r="B30" s="28">
        <v>75</v>
      </c>
      <c r="C30" s="28"/>
      <c r="D30" s="28"/>
      <c r="E30" s="28">
        <v>1</v>
      </c>
      <c r="F30" s="29">
        <v>358</v>
      </c>
      <c r="G30" s="28"/>
      <c r="H30" s="28">
        <v>80</v>
      </c>
      <c r="I30" s="28"/>
      <c r="J30" s="13"/>
      <c r="K30" s="34">
        <v>585.37800000000004</v>
      </c>
      <c r="L30" s="52"/>
      <c r="M30" s="30">
        <v>13408.12</v>
      </c>
      <c r="N30" s="30"/>
      <c r="O30" s="30">
        <v>452.49</v>
      </c>
      <c r="P30" s="33">
        <v>46.38</v>
      </c>
      <c r="Q30" s="30">
        <v>45</v>
      </c>
      <c r="R30" s="30"/>
      <c r="S30" s="30">
        <v>120</v>
      </c>
      <c r="T30" s="32">
        <f t="shared" si="10"/>
        <v>8.0999999998994099E-3</v>
      </c>
      <c r="U30" s="30"/>
      <c r="V30" s="27">
        <f t="shared" si="13"/>
        <v>44702</v>
      </c>
      <c r="W30" s="28">
        <f t="shared" si="11"/>
        <v>7993.6916125999996</v>
      </c>
      <c r="X30" s="28">
        <f t="shared" si="12"/>
        <v>7500</v>
      </c>
    </row>
    <row r="31" spans="1:24" x14ac:dyDescent="0.25">
      <c r="A31" s="27">
        <v>44704</v>
      </c>
      <c r="B31" s="28">
        <v>263</v>
      </c>
      <c r="C31" s="28"/>
      <c r="D31" s="28"/>
      <c r="E31" s="28">
        <v>16</v>
      </c>
      <c r="F31" s="29">
        <v>409</v>
      </c>
      <c r="G31" s="28"/>
      <c r="H31" s="28">
        <v>40</v>
      </c>
      <c r="I31" s="28"/>
      <c r="J31" s="13">
        <v>1501</v>
      </c>
      <c r="K31" s="34">
        <v>1088.7819999999999</v>
      </c>
      <c r="L31" s="52">
        <v>40247</v>
      </c>
      <c r="M31" s="30">
        <v>20746.84</v>
      </c>
      <c r="N31" s="30">
        <v>5015.68</v>
      </c>
      <c r="O31" s="30">
        <v>74083.16</v>
      </c>
      <c r="P31" s="33">
        <v>202.52</v>
      </c>
      <c r="Q31" s="30">
        <v>435</v>
      </c>
      <c r="R31" s="30">
        <v>31.5</v>
      </c>
      <c r="S31" s="30">
        <v>1563.15</v>
      </c>
      <c r="T31" s="32">
        <f t="shared" si="10"/>
        <v>-6.1000000032436219E-3</v>
      </c>
      <c r="U31" s="30"/>
      <c r="V31" s="27">
        <f t="shared" si="13"/>
        <v>44704</v>
      </c>
      <c r="W31" s="28">
        <f t="shared" si="11"/>
        <v>55979.667759399999</v>
      </c>
      <c r="X31" s="28">
        <f t="shared" si="12"/>
        <v>27976.166700000002</v>
      </c>
    </row>
    <row r="32" spans="1:24" x14ac:dyDescent="0.25">
      <c r="A32" s="27">
        <v>44705</v>
      </c>
      <c r="B32" s="28">
        <v>256</v>
      </c>
      <c r="C32" s="28"/>
      <c r="D32" s="28">
        <v>20</v>
      </c>
      <c r="E32" s="28">
        <v>12</v>
      </c>
      <c r="F32" s="29">
        <v>363</v>
      </c>
      <c r="G32" s="28"/>
      <c r="H32" s="28">
        <v>120</v>
      </c>
      <c r="I32" s="28"/>
      <c r="J32" s="13">
        <v>3564</v>
      </c>
      <c r="K32" s="34">
        <v>737.86400000000003</v>
      </c>
      <c r="L32" s="52">
        <v>40334</v>
      </c>
      <c r="M32" s="30">
        <v>19912.21</v>
      </c>
      <c r="N32" s="30">
        <v>4857.6400000000003</v>
      </c>
      <c r="O32" s="30">
        <v>74312.98</v>
      </c>
      <c r="P32" s="33">
        <v>96.14</v>
      </c>
      <c r="Q32" s="30">
        <v>955</v>
      </c>
      <c r="R32" s="30">
        <v>31.5</v>
      </c>
      <c r="S32" s="30">
        <v>1452.93</v>
      </c>
      <c r="T32" s="32">
        <f t="shared" si="10"/>
        <v>-1.2000000067473593E-3</v>
      </c>
      <c r="U32" s="30"/>
      <c r="V32" s="27">
        <f t="shared" si="13"/>
        <v>44705</v>
      </c>
      <c r="W32" s="28">
        <f t="shared" si="11"/>
        <v>54444.9505288</v>
      </c>
      <c r="X32" s="28">
        <f t="shared" si="12"/>
        <v>29599.918799999999</v>
      </c>
    </row>
    <row r="33" spans="1:24" x14ac:dyDescent="0.25">
      <c r="A33" s="27">
        <v>44706</v>
      </c>
      <c r="B33" s="28">
        <v>243</v>
      </c>
      <c r="C33" s="28"/>
      <c r="D33" s="28"/>
      <c r="E33" s="28">
        <v>12</v>
      </c>
      <c r="F33" s="7">
        <v>437</v>
      </c>
      <c r="G33" s="28">
        <v>3</v>
      </c>
      <c r="H33" s="28">
        <v>140</v>
      </c>
      <c r="I33" s="28"/>
      <c r="J33" s="13">
        <v>320</v>
      </c>
      <c r="K33" s="34">
        <v>947.20299999999997</v>
      </c>
      <c r="L33" s="52">
        <v>50414</v>
      </c>
      <c r="M33" s="30">
        <v>20721.96</v>
      </c>
      <c r="N33" s="30">
        <v>5730.79</v>
      </c>
      <c r="O33" s="30">
        <v>90680.52</v>
      </c>
      <c r="P33" s="33">
        <v>383.3</v>
      </c>
      <c r="Q33" s="30">
        <v>1175</v>
      </c>
      <c r="R33" s="30">
        <v>4.2</v>
      </c>
      <c r="S33" s="30">
        <v>1749.58</v>
      </c>
      <c r="T33" s="32">
        <f t="shared" si="10"/>
        <v>-5.6499999880088581E-3</v>
      </c>
      <c r="U33" s="30"/>
      <c r="V33" s="27">
        <f t="shared" si="13"/>
        <v>44706</v>
      </c>
      <c r="W33" s="28">
        <f t="shared" si="11"/>
        <v>67615.055390100009</v>
      </c>
      <c r="X33" s="28">
        <f t="shared" si="12"/>
        <v>24657.344000000001</v>
      </c>
    </row>
    <row r="34" spans="1:24" x14ac:dyDescent="0.25">
      <c r="A34" s="27">
        <v>44708</v>
      </c>
      <c r="B34" s="28">
        <v>265</v>
      </c>
      <c r="C34" s="28"/>
      <c r="D34" s="28"/>
      <c r="E34" s="28">
        <v>22</v>
      </c>
      <c r="F34" s="29">
        <v>573</v>
      </c>
      <c r="G34" s="28"/>
      <c r="H34" s="28"/>
      <c r="I34" s="28"/>
      <c r="J34" s="13">
        <v>812</v>
      </c>
      <c r="K34" s="34">
        <v>855.51800000000003</v>
      </c>
      <c r="L34" s="52">
        <v>48077</v>
      </c>
      <c r="M34" s="30">
        <v>27162.29</v>
      </c>
      <c r="N34" s="30">
        <v>3993.09</v>
      </c>
      <c r="O34" s="30">
        <f>85977.18+25.5</f>
        <v>86002.68</v>
      </c>
      <c r="P34" s="33">
        <v>61.6</v>
      </c>
      <c r="Q34" s="30">
        <v>70</v>
      </c>
      <c r="R34" s="30">
        <v>12.6</v>
      </c>
      <c r="S34" s="30">
        <v>950.37</v>
      </c>
      <c r="T34" s="32">
        <f t="shared" si="10"/>
        <v>1.0999999988143827E-3</v>
      </c>
      <c r="U34" s="30"/>
      <c r="V34" s="27">
        <f t="shared" si="13"/>
        <v>44708</v>
      </c>
      <c r="W34" s="28">
        <f t="shared" si="11"/>
        <v>68302.942850599997</v>
      </c>
      <c r="X34" s="28">
        <f t="shared" si="12"/>
        <v>27406.760399999999</v>
      </c>
    </row>
    <row r="35" spans="1:24" x14ac:dyDescent="0.25">
      <c r="A35" s="27">
        <v>44709</v>
      </c>
      <c r="B35" s="28">
        <v>65</v>
      </c>
      <c r="C35" s="28"/>
      <c r="D35" s="28"/>
      <c r="E35" s="28">
        <v>1</v>
      </c>
      <c r="F35" s="29">
        <v>343</v>
      </c>
      <c r="G35" s="28"/>
      <c r="H35" s="28">
        <v>40</v>
      </c>
      <c r="I35" s="28"/>
      <c r="J35" s="98">
        <v>1292</v>
      </c>
      <c r="K35" s="99">
        <v>95.721999999999994</v>
      </c>
      <c r="L35" s="100">
        <v>1334</v>
      </c>
      <c r="M35" s="30">
        <v>13153.17</v>
      </c>
      <c r="N35" s="30"/>
      <c r="O35" s="30">
        <v>2999.04</v>
      </c>
      <c r="P35" s="101">
        <v>30.4</v>
      </c>
      <c r="Q35" s="30">
        <v>10</v>
      </c>
      <c r="R35" s="30">
        <v>23.1</v>
      </c>
      <c r="S35" s="30">
        <v>1021.07</v>
      </c>
      <c r="T35" s="32">
        <f t="shared" si="10"/>
        <v>-3.09999999944921E-3</v>
      </c>
      <c r="U35" s="30"/>
      <c r="V35" s="27">
        <f t="shared" si="13"/>
        <v>44709</v>
      </c>
      <c r="W35" s="28">
        <f t="shared" si="11"/>
        <v>8596.5705574000003</v>
      </c>
      <c r="X35" s="28">
        <f t="shared" si="12"/>
        <v>7942.7763999999997</v>
      </c>
    </row>
    <row r="36" spans="1:24" x14ac:dyDescent="0.25">
      <c r="A36" s="27">
        <v>44711</v>
      </c>
      <c r="B36" s="28">
        <v>177</v>
      </c>
      <c r="C36" s="28"/>
      <c r="D36" s="28"/>
      <c r="E36" s="28">
        <v>16</v>
      </c>
      <c r="F36" s="29">
        <v>403</v>
      </c>
      <c r="G36" s="28"/>
      <c r="H36" s="28">
        <v>80</v>
      </c>
      <c r="I36" s="28"/>
      <c r="J36" s="98">
        <f>3988-98</f>
        <v>3890</v>
      </c>
      <c r="K36" s="99">
        <v>1042.529</v>
      </c>
      <c r="L36" s="100">
        <f>38664+98</f>
        <v>38762</v>
      </c>
      <c r="M36" s="30">
        <v>21772.38</v>
      </c>
      <c r="N36" s="30">
        <v>2815.92</v>
      </c>
      <c r="O36" s="30">
        <f>70805.56+98*1.75-98*0.52-2.1</f>
        <v>70923.999999999985</v>
      </c>
      <c r="P36" s="101">
        <v>208.32</v>
      </c>
      <c r="Q36" s="30">
        <v>955</v>
      </c>
      <c r="R36" s="30">
        <f>37.8-2.1</f>
        <v>35.699999999999996</v>
      </c>
      <c r="S36" s="30">
        <v>2212.9899999999998</v>
      </c>
      <c r="T36" s="32">
        <f t="shared" si="10"/>
        <v>-2.9499999905056029E-3</v>
      </c>
      <c r="U36" s="30"/>
      <c r="V36" s="27">
        <f t="shared" si="13"/>
        <v>44711</v>
      </c>
      <c r="W36" s="28">
        <f>SUM(E36*100+F36*20+G36*60+H36+I36*7+K36*1.1167+L36*1.1167)</f>
        <v>54189.717534299998</v>
      </c>
      <c r="X36" s="28">
        <f>SUM(B36*100+C36*60+D36+J36*1.1167)</f>
        <v>22043.963</v>
      </c>
    </row>
    <row r="37" spans="1:24" x14ac:dyDescent="0.25">
      <c r="A37" s="35">
        <v>44712</v>
      </c>
      <c r="B37" s="36">
        <v>261</v>
      </c>
      <c r="C37" s="36"/>
      <c r="D37" s="36">
        <v>40</v>
      </c>
      <c r="E37" s="36">
        <v>6</v>
      </c>
      <c r="F37" s="37">
        <v>364</v>
      </c>
      <c r="G37" s="36"/>
      <c r="H37" s="36">
        <v>10</v>
      </c>
      <c r="I37" s="36"/>
      <c r="J37" s="38">
        <v>2575</v>
      </c>
      <c r="K37" s="39">
        <v>854.99400000000003</v>
      </c>
      <c r="L37" s="53">
        <v>44377</v>
      </c>
      <c r="M37" s="40">
        <v>18581.27</v>
      </c>
      <c r="N37" s="40">
        <v>5697.45</v>
      </c>
      <c r="O37" s="40">
        <v>82237.95</v>
      </c>
      <c r="P37" s="54">
        <v>599.67999999999995</v>
      </c>
      <c r="Q37" s="40">
        <v>1920</v>
      </c>
      <c r="R37" s="40">
        <v>21</v>
      </c>
      <c r="S37" s="40">
        <v>2564.23</v>
      </c>
      <c r="T37" s="42">
        <f t="shared" si="10"/>
        <v>3.3000000080392056E-3</v>
      </c>
      <c r="U37" s="40"/>
      <c r="V37" s="35">
        <f t="shared" si="13"/>
        <v>44712</v>
      </c>
      <c r="W37" s="36">
        <f>SUM(E37*100+F37*20+G37*60+H37+I37*7+K37*1.1167+L37*1.1167)</f>
        <v>58400.567699800005</v>
      </c>
      <c r="X37" s="36">
        <f>SUM(B37*100+C37*60+D37+J37*1.1167)</f>
        <v>29015.502499999999</v>
      </c>
    </row>
    <row r="38" spans="1:24" x14ac:dyDescent="0.25">
      <c r="A38" s="50" t="s">
        <v>36</v>
      </c>
      <c r="B38" s="43">
        <f>SUM(B25:B37)</f>
        <v>2749</v>
      </c>
      <c r="C38" s="43">
        <f t="shared" ref="C38:L38" si="14">SUM(C25:C37)</f>
        <v>1</v>
      </c>
      <c r="D38" s="43">
        <f t="shared" si="14"/>
        <v>60</v>
      </c>
      <c r="E38" s="43">
        <f t="shared" si="14"/>
        <v>157</v>
      </c>
      <c r="F38" s="43">
        <f t="shared" si="14"/>
        <v>4723</v>
      </c>
      <c r="G38" s="43">
        <f t="shared" si="14"/>
        <v>5</v>
      </c>
      <c r="H38" s="43">
        <f t="shared" si="14"/>
        <v>780</v>
      </c>
      <c r="I38" s="43">
        <f t="shared" si="14"/>
        <v>1</v>
      </c>
      <c r="J38" s="43">
        <f t="shared" si="14"/>
        <v>27709</v>
      </c>
      <c r="K38" s="94">
        <f t="shared" si="14"/>
        <v>10824.02</v>
      </c>
      <c r="L38" s="43">
        <f t="shared" si="14"/>
        <v>455856</v>
      </c>
      <c r="M38" s="43">
        <f t="shared" ref="M38:S38" si="15">SUM(M25:M37)</f>
        <v>249951.52</v>
      </c>
      <c r="N38" s="43">
        <f t="shared" si="15"/>
        <v>51511.990000000005</v>
      </c>
      <c r="O38" s="43">
        <f t="shared" si="15"/>
        <v>836603.29</v>
      </c>
      <c r="P38" s="43">
        <f t="shared" si="15"/>
        <v>2462.86</v>
      </c>
      <c r="Q38" s="43">
        <f t="shared" si="15"/>
        <v>10160</v>
      </c>
      <c r="R38" s="43">
        <f t="shared" si="15"/>
        <v>314.99999999999994</v>
      </c>
      <c r="S38" s="43">
        <f t="shared" si="15"/>
        <v>27594.12</v>
      </c>
      <c r="T38" s="43">
        <f t="shared" ref="T38" si="16">SUM(T25:T36)</f>
        <v>-6.2999999612429747E-3</v>
      </c>
      <c r="U38" s="43"/>
      <c r="V38" s="43"/>
      <c r="W38" s="43">
        <f>SUM(W25:W37)</f>
        <v>632388.57833399996</v>
      </c>
      <c r="X38" s="43">
        <f>SUM(X25:X37)</f>
        <v>305962.64030000003</v>
      </c>
    </row>
    <row r="39" spans="1:24" x14ac:dyDescent="0.25">
      <c r="A39" s="55" t="s">
        <v>37</v>
      </c>
      <c r="B39" s="56">
        <f>(B38*100)</f>
        <v>274900</v>
      </c>
      <c r="C39" s="56">
        <f>(C38*60)</f>
        <v>60</v>
      </c>
      <c r="D39" s="56">
        <f>(D38)</f>
        <v>60</v>
      </c>
      <c r="E39" s="56">
        <f>(E38*100)</f>
        <v>15700</v>
      </c>
      <c r="F39" s="56">
        <f>(F38*20)</f>
        <v>94460</v>
      </c>
      <c r="G39" s="56">
        <f>(G38*60)</f>
        <v>300</v>
      </c>
      <c r="H39" s="56">
        <f>(H38)</f>
        <v>780</v>
      </c>
      <c r="I39" s="56">
        <f>+I38*7</f>
        <v>7</v>
      </c>
      <c r="J39" s="57">
        <f>(J38*1.1167)</f>
        <v>30942.640299999999</v>
      </c>
      <c r="K39" s="58">
        <f>(K38*1.1167)</f>
        <v>12087.183134000001</v>
      </c>
      <c r="L39" s="59">
        <f>(L38*1.1167)</f>
        <v>509054.39520000003</v>
      </c>
      <c r="M39" s="60"/>
      <c r="N39" s="60"/>
      <c r="O39" s="60"/>
      <c r="P39" s="60"/>
      <c r="Q39" s="60"/>
      <c r="R39" s="60"/>
      <c r="S39" s="60"/>
      <c r="T39" s="60"/>
      <c r="U39" s="56"/>
      <c r="V39" s="61" t="s">
        <v>35</v>
      </c>
      <c r="W39" s="56">
        <f>+L47+L48+L49+L50-W38</f>
        <v>0</v>
      </c>
      <c r="X39" s="56">
        <f>+L46-X38</f>
        <v>0</v>
      </c>
    </row>
    <row r="40" spans="1:24" ht="26.25" x14ac:dyDescent="0.25">
      <c r="A40" s="62" t="s">
        <v>38</v>
      </c>
      <c r="B40" s="43">
        <f t="shared" ref="B40:T40" si="17">(B21+B38)</f>
        <v>5350</v>
      </c>
      <c r="C40" s="43">
        <f t="shared" si="17"/>
        <v>1</v>
      </c>
      <c r="D40" s="43">
        <f t="shared" si="17"/>
        <v>140</v>
      </c>
      <c r="E40" s="43">
        <f t="shared" si="17"/>
        <v>288</v>
      </c>
      <c r="F40" s="43">
        <f t="shared" si="17"/>
        <v>8815</v>
      </c>
      <c r="G40" s="43">
        <f t="shared" si="17"/>
        <v>11</v>
      </c>
      <c r="H40" s="43">
        <f t="shared" si="17"/>
        <v>1455</v>
      </c>
      <c r="I40" s="43">
        <f t="shared" si="17"/>
        <v>1</v>
      </c>
      <c r="J40" s="43">
        <f t="shared" si="17"/>
        <v>53236</v>
      </c>
      <c r="K40" s="45">
        <f t="shared" si="17"/>
        <v>21056.484</v>
      </c>
      <c r="L40" s="43">
        <f t="shared" si="17"/>
        <v>840424</v>
      </c>
      <c r="M40" s="43">
        <f t="shared" si="17"/>
        <v>464505.43999999994</v>
      </c>
      <c r="N40" s="43">
        <f t="shared" si="17"/>
        <v>105918.73000000001</v>
      </c>
      <c r="O40" s="43">
        <f t="shared" si="17"/>
        <v>1541715.77</v>
      </c>
      <c r="P40" s="43">
        <f t="shared" si="17"/>
        <v>4190.18</v>
      </c>
      <c r="Q40" s="43">
        <f t="shared" si="17"/>
        <v>17625</v>
      </c>
      <c r="R40" s="43">
        <f t="shared" si="17"/>
        <v>623.70000000000005</v>
      </c>
      <c r="S40" s="43">
        <f t="shared" si="17"/>
        <v>47091.539999999994</v>
      </c>
      <c r="T40" s="43">
        <f t="shared" si="17"/>
        <v>5.0000008784545358E-4</v>
      </c>
      <c r="U40" s="43"/>
      <c r="V40" s="43"/>
      <c r="W40" s="43">
        <f>(W21+W38)</f>
        <v>1169237.2564828</v>
      </c>
      <c r="X40" s="43">
        <f>(X21+X38)</f>
        <v>594648.64119999995</v>
      </c>
    </row>
    <row r="41" spans="1:24" x14ac:dyDescent="0.25">
      <c r="A41" s="55" t="s">
        <v>37</v>
      </c>
      <c r="B41" s="56">
        <f>(B40*100)</f>
        <v>535000</v>
      </c>
      <c r="C41" s="56">
        <f>(C40*60)</f>
        <v>60</v>
      </c>
      <c r="D41" s="56">
        <f>(D40)</f>
        <v>140</v>
      </c>
      <c r="E41" s="56">
        <f>(E40*100)</f>
        <v>28800</v>
      </c>
      <c r="F41" s="63">
        <f>(F40*20)</f>
        <v>176300</v>
      </c>
      <c r="G41" s="56">
        <f>(G40*60)</f>
        <v>660</v>
      </c>
      <c r="H41" s="56">
        <f>(H40)</f>
        <v>1455</v>
      </c>
      <c r="I41" s="56">
        <f>+I40*7</f>
        <v>7</v>
      </c>
      <c r="J41" s="57">
        <f>(J40*1.1167)</f>
        <v>59448.641199999998</v>
      </c>
      <c r="K41" s="58">
        <f>(K40*1.1167)</f>
        <v>23513.775682800002</v>
      </c>
      <c r="L41" s="59">
        <f>(L40*1.1167)</f>
        <v>938501.48080000002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56">
        <f>+D55+D56+D57+D58-W40</f>
        <v>0</v>
      </c>
      <c r="X41" s="56">
        <f>+D54-X40</f>
        <v>0</v>
      </c>
    </row>
    <row r="42" spans="1:24" x14ac:dyDescent="0.25">
      <c r="A42" s="51"/>
      <c r="B42" s="51"/>
      <c r="C42" s="51"/>
      <c r="D42" s="51"/>
      <c r="E42" s="51"/>
      <c r="F42" s="64"/>
      <c r="G42" s="51"/>
      <c r="H42" s="51"/>
      <c r="I42" s="51"/>
      <c r="J42" s="13"/>
      <c r="K42" s="65"/>
      <c r="L42" s="66"/>
      <c r="M42" s="67"/>
      <c r="N42" s="67"/>
      <c r="O42" s="67"/>
      <c r="P42" s="67"/>
      <c r="Q42" s="67"/>
      <c r="R42" s="67"/>
      <c r="S42" s="67"/>
      <c r="T42" s="67"/>
      <c r="U42" s="1"/>
      <c r="V42" s="1"/>
      <c r="W42" s="1"/>
      <c r="X42" s="1"/>
    </row>
    <row r="43" spans="1:24" x14ac:dyDescent="0.25">
      <c r="A43" s="51"/>
      <c r="B43" s="51"/>
      <c r="C43" s="51"/>
      <c r="D43" s="51"/>
      <c r="E43" s="51"/>
      <c r="F43" s="64"/>
      <c r="G43" s="51"/>
      <c r="H43" s="51"/>
      <c r="I43" s="51"/>
      <c r="J43" s="13"/>
      <c r="K43" s="65"/>
      <c r="L43" s="66"/>
      <c r="M43" s="67"/>
      <c r="N43" s="67"/>
      <c r="O43" s="67"/>
      <c r="P43" s="67"/>
      <c r="Q43" s="67"/>
      <c r="R43" s="67"/>
      <c r="S43" s="67"/>
      <c r="T43" s="67"/>
      <c r="U43" s="1"/>
      <c r="V43" s="1"/>
      <c r="W43" s="1"/>
      <c r="X43" s="1"/>
    </row>
    <row r="44" spans="1:24" x14ac:dyDescent="0.25">
      <c r="A44" s="51"/>
      <c r="B44" s="51"/>
      <c r="C44" s="51"/>
      <c r="D44" s="51"/>
      <c r="E44" s="51"/>
      <c r="F44" s="64"/>
      <c r="G44" s="51"/>
      <c r="H44" s="51"/>
      <c r="I44" s="51"/>
      <c r="J44" s="13"/>
      <c r="K44" s="65"/>
      <c r="L44" s="66"/>
      <c r="M44" s="67"/>
      <c r="N44" s="67"/>
      <c r="O44" s="67"/>
      <c r="P44" s="67"/>
      <c r="Q44" s="67"/>
      <c r="R44" s="67"/>
      <c r="S44" s="67"/>
      <c r="T44" s="67"/>
      <c r="U44" s="1"/>
      <c r="V44" s="1"/>
      <c r="W44" s="1"/>
      <c r="X44" s="1"/>
    </row>
    <row r="45" spans="1:24" x14ac:dyDescent="0.25">
      <c r="A45" s="27"/>
      <c r="B45" s="68" t="s">
        <v>39</v>
      </c>
      <c r="C45" s="56"/>
      <c r="D45" s="56"/>
      <c r="E45" s="56"/>
      <c r="F45" s="43"/>
      <c r="G45" s="43"/>
      <c r="H45" s="43"/>
      <c r="I45" s="43"/>
      <c r="J45" s="57" t="s">
        <v>40</v>
      </c>
      <c r="K45" s="58"/>
      <c r="L45" s="59"/>
      <c r="M45" s="6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27"/>
      <c r="B46" s="69" t="s">
        <v>41</v>
      </c>
      <c r="C46" s="43"/>
      <c r="D46" s="43">
        <f>SUM(B22:D22)+J22</f>
        <v>288686.00089999998</v>
      </c>
      <c r="E46" s="70" t="s">
        <v>42</v>
      </c>
      <c r="F46" s="70"/>
      <c r="G46" s="43"/>
      <c r="H46" s="43"/>
      <c r="I46" s="43"/>
      <c r="J46" s="44" t="s">
        <v>41</v>
      </c>
      <c r="K46" s="47"/>
      <c r="L46" s="48">
        <f>SUM(B39:D39)+J39</f>
        <v>305962.64029999997</v>
      </c>
      <c r="M46" s="2" t="s">
        <v>42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27"/>
      <c r="B47" s="69" t="s">
        <v>43</v>
      </c>
      <c r="C47" s="43"/>
      <c r="D47" s="43">
        <f>F22</f>
        <v>81840</v>
      </c>
      <c r="E47" s="70" t="s">
        <v>42</v>
      </c>
      <c r="F47" s="70"/>
      <c r="G47" s="43"/>
      <c r="H47" s="43"/>
      <c r="I47" s="43"/>
      <c r="J47" s="71" t="s">
        <v>43</v>
      </c>
      <c r="K47" s="47"/>
      <c r="L47" s="48">
        <f>F39</f>
        <v>94460</v>
      </c>
      <c r="M47" s="2" t="s">
        <v>42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27"/>
      <c r="B48" s="69" t="s">
        <v>44</v>
      </c>
      <c r="C48" s="43"/>
      <c r="D48" s="43">
        <f>SUM(E22,G22,H22,I22)</f>
        <v>14135</v>
      </c>
      <c r="E48" s="70" t="s">
        <v>42</v>
      </c>
      <c r="F48" s="70"/>
      <c r="G48" s="43"/>
      <c r="H48" s="43"/>
      <c r="I48" s="43"/>
      <c r="J48" s="44" t="s">
        <v>44</v>
      </c>
      <c r="K48" s="47"/>
      <c r="L48" s="48">
        <f>SUM(E39:I39)-F39</f>
        <v>16787</v>
      </c>
      <c r="M48" s="2" t="s">
        <v>42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27"/>
      <c r="B49" s="69" t="s">
        <v>45</v>
      </c>
      <c r="C49" s="43"/>
      <c r="D49" s="94">
        <f>+K22</f>
        <v>11426.592548799999</v>
      </c>
      <c r="E49" s="70" t="s">
        <v>42</v>
      </c>
      <c r="F49" s="70"/>
      <c r="G49" s="43"/>
      <c r="H49" s="43"/>
      <c r="I49" s="43"/>
      <c r="J49" s="71" t="s">
        <v>45</v>
      </c>
      <c r="K49" s="47"/>
      <c r="L49" s="48">
        <f>+K39</f>
        <v>12087.183134000001</v>
      </c>
      <c r="M49" s="2" t="s">
        <v>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27"/>
      <c r="B50" s="72" t="s">
        <v>46</v>
      </c>
      <c r="C50" s="56"/>
      <c r="D50" s="56">
        <f>+L22</f>
        <v>429447.08559999999</v>
      </c>
      <c r="E50" s="73" t="s">
        <v>42</v>
      </c>
      <c r="F50" s="73"/>
      <c r="G50" s="43"/>
      <c r="H50" s="43"/>
      <c r="I50" s="43"/>
      <c r="J50" s="57" t="s">
        <v>46</v>
      </c>
      <c r="K50" s="58"/>
      <c r="L50" s="59">
        <f>+L39</f>
        <v>509054.39520000003</v>
      </c>
      <c r="M50" s="74" t="s">
        <v>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27"/>
      <c r="B51" s="69"/>
      <c r="C51" s="43"/>
      <c r="D51" s="43">
        <f>SUM(D46:D50)</f>
        <v>825534.67904879991</v>
      </c>
      <c r="E51" s="70" t="s">
        <v>42</v>
      </c>
      <c r="F51" s="70"/>
      <c r="G51" s="43"/>
      <c r="H51" s="43"/>
      <c r="I51" s="43"/>
      <c r="J51" s="75"/>
      <c r="K51" s="76"/>
      <c r="L51" s="77">
        <f>SUM(L46:L50)</f>
        <v>938351.21863400005</v>
      </c>
      <c r="M51" s="2" t="s">
        <v>42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27"/>
      <c r="B52" s="69"/>
      <c r="C52" s="43"/>
      <c r="D52" s="43"/>
      <c r="E52" s="70"/>
      <c r="F52" s="70"/>
      <c r="G52" s="43"/>
      <c r="H52" s="43"/>
      <c r="I52" s="43"/>
      <c r="J52" s="75"/>
      <c r="K52" s="76"/>
      <c r="L52" s="77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thickBot="1" x14ac:dyDescent="0.3">
      <c r="A53" s="27"/>
      <c r="B53" s="78"/>
      <c r="C53" s="78"/>
      <c r="D53" s="79" t="s">
        <v>47</v>
      </c>
      <c r="E53" s="78"/>
      <c r="F53" s="78"/>
      <c r="G53" s="78"/>
      <c r="H53" s="78"/>
      <c r="I53" s="78"/>
      <c r="J53" s="80"/>
      <c r="K53" s="47"/>
      <c r="L53" s="48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27"/>
      <c r="B54" s="81" t="s">
        <v>41</v>
      </c>
      <c r="C54" s="43"/>
      <c r="D54" s="43">
        <f>+D46+L46</f>
        <v>594648.64119999995</v>
      </c>
      <c r="E54" s="70" t="s">
        <v>42</v>
      </c>
      <c r="F54" s="70" t="s">
        <v>48</v>
      </c>
      <c r="G54" s="82">
        <f>D5</f>
        <v>0.46379999999999999</v>
      </c>
      <c r="H54" s="70" t="s">
        <v>33</v>
      </c>
      <c r="I54" s="70"/>
      <c r="J54" s="44">
        <f>D54*G54</f>
        <v>275798.03978855995</v>
      </c>
      <c r="K54" s="47">
        <f>+D54-X40</f>
        <v>0</v>
      </c>
      <c r="L54" s="48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69" t="s">
        <v>43</v>
      </c>
      <c r="C55" s="43"/>
      <c r="D55" s="43">
        <f>D47+L47</f>
        <v>176300</v>
      </c>
      <c r="E55" s="70" t="s">
        <v>42</v>
      </c>
      <c r="F55" s="70" t="s">
        <v>48</v>
      </c>
      <c r="G55" s="83">
        <f>F5/20</f>
        <v>1.2749999999999999</v>
      </c>
      <c r="H55" s="70" t="s">
        <v>33</v>
      </c>
      <c r="I55" s="70"/>
      <c r="J55" s="44">
        <f>D55*G55</f>
        <v>224782.49999999997</v>
      </c>
      <c r="K55" s="47">
        <f>+D55+D56+D57+D58-W40</f>
        <v>0</v>
      </c>
      <c r="L55" s="48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81" t="s">
        <v>44</v>
      </c>
      <c r="C56" s="43"/>
      <c r="D56" s="43">
        <f>+D48+L48</f>
        <v>30922</v>
      </c>
      <c r="E56" s="70" t="s">
        <v>42</v>
      </c>
      <c r="F56" s="70" t="s">
        <v>48</v>
      </c>
      <c r="G56" s="83">
        <f>E5/100</f>
        <v>1.585</v>
      </c>
      <c r="H56" s="70" t="s">
        <v>33</v>
      </c>
      <c r="I56" s="70"/>
      <c r="J56" s="75">
        <f>D56*G56</f>
        <v>49011.369999999995</v>
      </c>
      <c r="K56" s="47"/>
      <c r="L56" s="48"/>
      <c r="M56" s="4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27"/>
      <c r="B57" s="69" t="s">
        <v>45</v>
      </c>
      <c r="C57" s="43"/>
      <c r="D57" s="43">
        <f>+D49+L49</f>
        <v>23513.775682799998</v>
      </c>
      <c r="E57" s="70" t="s">
        <v>42</v>
      </c>
      <c r="F57" s="70" t="s">
        <v>48</v>
      </c>
      <c r="G57" s="83">
        <f>K5/1.1167</f>
        <v>1.3880182681113997</v>
      </c>
      <c r="H57" s="70" t="s">
        <v>33</v>
      </c>
      <c r="I57" s="70"/>
      <c r="J57" s="75">
        <f>+D57*G57</f>
        <v>32637.550199999998</v>
      </c>
      <c r="K57" s="47"/>
      <c r="L57" s="48"/>
      <c r="M57" s="4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thickBot="1" x14ac:dyDescent="0.3">
      <c r="A58" s="27"/>
      <c r="B58" s="79" t="s">
        <v>46</v>
      </c>
      <c r="C58" s="78"/>
      <c r="D58" s="78">
        <f>+D50+L50</f>
        <v>938501.48080000002</v>
      </c>
      <c r="E58" s="84" t="s">
        <v>42</v>
      </c>
      <c r="F58" s="84" t="s">
        <v>48</v>
      </c>
      <c r="G58" s="85">
        <f>L5/1.1167</f>
        <v>1.5671173994806125</v>
      </c>
      <c r="H58" s="84" t="s">
        <v>33</v>
      </c>
      <c r="I58" s="84"/>
      <c r="J58" s="80">
        <f>D58*G58</f>
        <v>1470742</v>
      </c>
      <c r="K58" s="47"/>
      <c r="L58" s="48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27"/>
      <c r="B59" s="81"/>
      <c r="C59" s="43"/>
      <c r="D59" s="43">
        <f>SUM(D54:D58)</f>
        <v>1763885.8976828</v>
      </c>
      <c r="E59" s="70"/>
      <c r="F59" s="70"/>
      <c r="G59" s="83"/>
      <c r="H59" s="70"/>
      <c r="I59" s="70"/>
      <c r="J59" s="75">
        <f>SUM(J54:J58)</f>
        <v>2052971.4599885598</v>
      </c>
      <c r="K59" s="47"/>
      <c r="L59" s="48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27"/>
      <c r="B60" s="81"/>
      <c r="C60" s="43"/>
      <c r="D60" s="43">
        <f>+D59-W40-X40</f>
        <v>0</v>
      </c>
      <c r="E60" s="70"/>
      <c r="F60" s="70"/>
      <c r="G60" s="83"/>
      <c r="H60" s="70"/>
      <c r="I60" s="70"/>
      <c r="J60" s="75"/>
      <c r="K60" s="47"/>
      <c r="L60" s="48"/>
      <c r="M60" s="4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J61" s="86"/>
    </row>
  </sheetData>
  <pageMargins left="0.16" right="0.16" top="0.45" bottom="0.28000000000000003" header="0.3" footer="0.16"/>
  <pageSetup scale="5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E063-67DA-4F52-A350-5A468FBAFF51}">
  <dimension ref="A1:X61"/>
  <sheetViews>
    <sheetView workbookViewId="0">
      <selection activeCell="K6" sqref="K6"/>
    </sheetView>
  </sheetViews>
  <sheetFormatPr defaultRowHeight="15" x14ac:dyDescent="0.25"/>
  <cols>
    <col min="1" max="1" width="14" customWidth="1"/>
    <col min="2" max="2" width="10.42578125" customWidth="1"/>
    <col min="4" max="4" width="14.4257812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6.85546875" customWidth="1"/>
    <col min="10" max="10" width="13.5703125" customWidth="1"/>
    <col min="11" max="11" width="15.5703125" customWidth="1"/>
    <col min="12" max="12" width="13.42578125" customWidth="1"/>
    <col min="13" max="13" width="16" customWidth="1"/>
    <col min="14" max="14" width="14.85546875" customWidth="1"/>
    <col min="15" max="15" width="15.140625" customWidth="1"/>
    <col min="16" max="16" width="14" customWidth="1"/>
    <col min="17" max="17" width="13.85546875" customWidth="1"/>
    <col min="18" max="18" width="10.140625" customWidth="1"/>
    <col min="19" max="19" width="14" customWidth="1"/>
    <col min="20" max="20" width="8.710937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>
        <v>44713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158.5</v>
      </c>
      <c r="F5" s="18">
        <v>25.5</v>
      </c>
      <c r="G5" s="18">
        <v>95</v>
      </c>
      <c r="H5" s="87">
        <v>1.59</v>
      </c>
      <c r="I5" s="17">
        <v>18.55</v>
      </c>
      <c r="J5" s="88">
        <v>0.52</v>
      </c>
      <c r="K5" s="89">
        <v>1.55</v>
      </c>
      <c r="L5" s="90">
        <v>1.75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44713</v>
      </c>
      <c r="B7" s="28">
        <v>228</v>
      </c>
      <c r="C7" s="28"/>
      <c r="D7" s="28"/>
      <c r="E7" s="28">
        <v>15</v>
      </c>
      <c r="F7" s="29">
        <v>306</v>
      </c>
      <c r="G7" s="28">
        <v>2</v>
      </c>
      <c r="H7" s="28">
        <v>140</v>
      </c>
      <c r="I7" s="28"/>
      <c r="J7" s="13">
        <f>3143-153</f>
        <v>2990</v>
      </c>
      <c r="K7" s="6">
        <v>1200.8320000000001</v>
      </c>
      <c r="L7" s="28">
        <f>35733+153</f>
        <v>35886</v>
      </c>
      <c r="M7" s="30">
        <v>17773.07</v>
      </c>
      <c r="N7" s="30">
        <v>4873.4399999999996</v>
      </c>
      <c r="O7" s="30">
        <f>65633.49+153*1.75-153*0.52-2.1</f>
        <v>65819.58</v>
      </c>
      <c r="P7" s="31">
        <v>139.13999999999999</v>
      </c>
      <c r="Q7" s="30">
        <v>580</v>
      </c>
      <c r="R7" s="30">
        <f>39.9-2.1</f>
        <v>37.799999999999997</v>
      </c>
      <c r="S7" s="30">
        <v>723.18</v>
      </c>
      <c r="T7" s="32">
        <f t="shared" ref="T7:T20" si="0">+B7*46.38+C7*27.83+D7*0.4638+E7*158.5+F7*25.5+G7*95+H7*1.59+I7*18.55+J7*0.52+K7*1.45+L7*1.75-M7-N7-O7-P7+Q7+R7+S7</f>
        <v>-3.6000000073954652E-3</v>
      </c>
      <c r="U7" s="1"/>
      <c r="V7" s="27">
        <f>+A7</f>
        <v>44713</v>
      </c>
      <c r="W7" s="28">
        <f>SUM(E7*100+F7*20+G7*60+H7+I7*7+K7*1.1167+L7*1.1167)</f>
        <v>49294.865294400006</v>
      </c>
      <c r="X7" s="28">
        <f t="shared" ref="X7:X20" si="1">SUM(B7*100+C7*60+D7+J7*1.1167)</f>
        <v>26138.933000000001</v>
      </c>
    </row>
    <row r="8" spans="1:24" x14ac:dyDescent="0.25">
      <c r="A8" s="27">
        <v>44714</v>
      </c>
      <c r="B8" s="28">
        <v>248</v>
      </c>
      <c r="C8" s="28"/>
      <c r="D8" s="28"/>
      <c r="E8" s="28">
        <v>17</v>
      </c>
      <c r="F8" s="29">
        <v>314</v>
      </c>
      <c r="G8" s="28"/>
      <c r="H8" s="28"/>
      <c r="I8" s="28"/>
      <c r="J8" s="13">
        <v>3003</v>
      </c>
      <c r="K8" s="6">
        <v>675.50599999999997</v>
      </c>
      <c r="L8" s="28">
        <v>39784</v>
      </c>
      <c r="M8" s="30">
        <v>19848.48</v>
      </c>
      <c r="N8" s="30">
        <v>4397.68</v>
      </c>
      <c r="O8" s="30">
        <v>73193.98</v>
      </c>
      <c r="P8" s="31">
        <v>104.86</v>
      </c>
      <c r="Q8" s="30">
        <v>315</v>
      </c>
      <c r="R8" s="30">
        <v>27.3</v>
      </c>
      <c r="S8" s="30">
        <v>2835.92</v>
      </c>
      <c r="T8" s="32">
        <f t="shared" si="0"/>
        <v>3.7000000006628397E-3</v>
      </c>
      <c r="U8" s="1"/>
      <c r="V8" s="27">
        <f t="shared" ref="V8:V20" si="2">+A8</f>
        <v>44714</v>
      </c>
      <c r="W8" s="28">
        <f t="shared" ref="W8:W20" si="3">SUM(E8*100+F8*20+G8*60+H8+I8*7+K8*1.1167+L8*1.1167)</f>
        <v>53161.130350200001</v>
      </c>
      <c r="X8" s="28">
        <f t="shared" si="1"/>
        <v>28153.450100000002</v>
      </c>
    </row>
    <row r="9" spans="1:24" x14ac:dyDescent="0.25">
      <c r="A9" s="27">
        <v>44715</v>
      </c>
      <c r="B9" s="28">
        <v>220</v>
      </c>
      <c r="C9" s="28"/>
      <c r="D9" s="28"/>
      <c r="E9" s="28">
        <v>17</v>
      </c>
      <c r="F9" s="29">
        <v>398</v>
      </c>
      <c r="G9" s="28"/>
      <c r="H9" s="28">
        <v>65</v>
      </c>
      <c r="I9" s="28"/>
      <c r="J9" s="13">
        <f>2227+20</f>
        <v>2247</v>
      </c>
      <c r="K9" s="6">
        <v>733.24800000000005</v>
      </c>
      <c r="L9" s="28">
        <f>40198-20</f>
        <v>40178</v>
      </c>
      <c r="M9" s="30">
        <v>19053.2</v>
      </c>
      <c r="N9" s="30">
        <v>5617.84</v>
      </c>
      <c r="O9" s="30">
        <f>73113.26+20*0.52-20*1.75</f>
        <v>73088.659999999989</v>
      </c>
      <c r="P9" s="33">
        <v>105.66</v>
      </c>
      <c r="Q9" s="30">
        <v>940</v>
      </c>
      <c r="R9" s="30">
        <v>27.3</v>
      </c>
      <c r="S9" s="30">
        <v>1204.46</v>
      </c>
      <c r="T9" s="32">
        <f t="shared" si="0"/>
        <v>-3.9999999557949195E-4</v>
      </c>
      <c r="U9" s="1"/>
      <c r="V9" s="27">
        <f t="shared" si="2"/>
        <v>44715</v>
      </c>
      <c r="W9" s="28">
        <f t="shared" si="3"/>
        <v>55410.590641600007</v>
      </c>
      <c r="X9" s="28">
        <f t="shared" si="1"/>
        <v>24509.224900000001</v>
      </c>
    </row>
    <row r="10" spans="1:24" x14ac:dyDescent="0.25">
      <c r="A10" s="27">
        <v>44716</v>
      </c>
      <c r="B10" s="28">
        <v>76</v>
      </c>
      <c r="C10" s="28"/>
      <c r="D10" s="28"/>
      <c r="E10" s="28">
        <v>2</v>
      </c>
      <c r="F10" s="29">
        <v>409</v>
      </c>
      <c r="G10" s="28"/>
      <c r="H10" s="28">
        <v>40</v>
      </c>
      <c r="I10" s="28">
        <v>2</v>
      </c>
      <c r="J10" s="13"/>
      <c r="K10" s="34">
        <v>642.25099999999998</v>
      </c>
      <c r="L10" s="28"/>
      <c r="M10" s="30">
        <v>15235.32</v>
      </c>
      <c r="N10" s="30"/>
      <c r="O10" s="30">
        <v>386.17</v>
      </c>
      <c r="P10" s="31"/>
      <c r="Q10" s="30">
        <v>45</v>
      </c>
      <c r="R10" s="30"/>
      <c r="S10" s="30">
        <v>273.14999999999998</v>
      </c>
      <c r="T10" s="32">
        <f t="shared" si="0"/>
        <v>3.9500000024759174E-3</v>
      </c>
      <c r="U10" s="1"/>
      <c r="V10" s="27">
        <f t="shared" si="2"/>
        <v>44716</v>
      </c>
      <c r="W10" s="28">
        <f t="shared" si="3"/>
        <v>9151.2016917000001</v>
      </c>
      <c r="X10" s="28">
        <f t="shared" si="1"/>
        <v>7600</v>
      </c>
    </row>
    <row r="11" spans="1:24" x14ac:dyDescent="0.25">
      <c r="A11" s="27">
        <v>44717</v>
      </c>
      <c r="B11" s="28"/>
      <c r="C11" s="28"/>
      <c r="D11" s="28"/>
      <c r="E11" s="28"/>
      <c r="F11" s="29"/>
      <c r="G11" s="28"/>
      <c r="H11" s="28"/>
      <c r="I11" s="28"/>
      <c r="J11" s="13"/>
      <c r="K11" s="34"/>
      <c r="L11" s="28">
        <v>100</v>
      </c>
      <c r="M11" s="30"/>
      <c r="N11" s="30"/>
      <c r="O11" s="30">
        <v>175</v>
      </c>
      <c r="P11" s="33"/>
      <c r="Q11" s="30"/>
      <c r="R11" s="30"/>
      <c r="S11" s="30"/>
      <c r="T11" s="32">
        <f t="shared" si="0"/>
        <v>0</v>
      </c>
      <c r="U11" s="1"/>
      <c r="V11" s="27">
        <f t="shared" si="2"/>
        <v>44717</v>
      </c>
      <c r="W11" s="28">
        <f t="shared" si="3"/>
        <v>111.67</v>
      </c>
      <c r="X11" s="28">
        <f t="shared" si="1"/>
        <v>0</v>
      </c>
    </row>
    <row r="12" spans="1:24" x14ac:dyDescent="0.25">
      <c r="A12" s="27">
        <v>44718</v>
      </c>
      <c r="B12" s="28">
        <v>275</v>
      </c>
      <c r="C12" s="28"/>
      <c r="D12" s="28"/>
      <c r="E12" s="28">
        <v>13</v>
      </c>
      <c r="F12" s="29">
        <v>359</v>
      </c>
      <c r="G12" s="28">
        <v>3</v>
      </c>
      <c r="H12" s="28">
        <v>5</v>
      </c>
      <c r="I12" s="28"/>
      <c r="J12" s="13">
        <v>2797</v>
      </c>
      <c r="K12" s="34">
        <v>1487.9970000000001</v>
      </c>
      <c r="L12" s="28">
        <v>39090</v>
      </c>
      <c r="M12" s="30">
        <v>24279.87</v>
      </c>
      <c r="N12" s="30">
        <v>6672.46</v>
      </c>
      <c r="O12" s="30">
        <v>72318.41</v>
      </c>
      <c r="P12" s="31">
        <v>245.96</v>
      </c>
      <c r="Q12" s="30">
        <v>2090</v>
      </c>
      <c r="R12" s="30">
        <v>31.5</v>
      </c>
      <c r="S12" s="30">
        <v>5113.21</v>
      </c>
      <c r="T12" s="32">
        <f t="shared" si="0"/>
        <v>-4.3499999956111424E-3</v>
      </c>
      <c r="U12" s="1"/>
      <c r="V12" s="27">
        <f t="shared" si="2"/>
        <v>44718</v>
      </c>
      <c r="W12" s="28">
        <f t="shared" si="3"/>
        <v>53978.449249900004</v>
      </c>
      <c r="X12" s="28">
        <f t="shared" si="1"/>
        <v>30623.409899999999</v>
      </c>
    </row>
    <row r="13" spans="1:24" x14ac:dyDescent="0.25">
      <c r="A13" s="27">
        <v>44719</v>
      </c>
      <c r="B13" s="28">
        <v>219</v>
      </c>
      <c r="C13" s="28"/>
      <c r="D13" s="28"/>
      <c r="E13" s="28">
        <v>13</v>
      </c>
      <c r="F13" s="29">
        <v>317</v>
      </c>
      <c r="G13" s="28"/>
      <c r="H13" s="28">
        <v>75</v>
      </c>
      <c r="I13" s="28"/>
      <c r="J13" s="13">
        <v>1817</v>
      </c>
      <c r="K13" s="34">
        <v>752.54100000000005</v>
      </c>
      <c r="L13" s="28">
        <v>45038</v>
      </c>
      <c r="M13" s="30">
        <v>16639.91</v>
      </c>
      <c r="N13" s="30">
        <v>4743.12</v>
      </c>
      <c r="O13" s="30">
        <v>80622.070000000007</v>
      </c>
      <c r="P13" s="31">
        <v>251.26</v>
      </c>
      <c r="Q13" s="30">
        <v>425</v>
      </c>
      <c r="R13" s="30">
        <v>25.2</v>
      </c>
      <c r="S13" s="30">
        <v>533.16999999999996</v>
      </c>
      <c r="T13" s="32">
        <f t="shared" si="0"/>
        <v>4.4499999925164957E-3</v>
      </c>
      <c r="U13" s="1"/>
      <c r="V13" s="27">
        <f t="shared" si="2"/>
        <v>44719</v>
      </c>
      <c r="W13" s="28">
        <f t="shared" si="3"/>
        <v>58849.297134699998</v>
      </c>
      <c r="X13" s="28">
        <f t="shared" si="1"/>
        <v>23929.043900000001</v>
      </c>
    </row>
    <row r="14" spans="1:24" x14ac:dyDescent="0.25">
      <c r="A14" s="27">
        <v>44720</v>
      </c>
      <c r="B14" s="28">
        <v>224</v>
      </c>
      <c r="C14" s="28"/>
      <c r="D14" s="28"/>
      <c r="E14" s="28">
        <v>17</v>
      </c>
      <c r="F14" s="29">
        <v>296</v>
      </c>
      <c r="G14" s="28"/>
      <c r="H14" s="28">
        <v>15</v>
      </c>
      <c r="I14" s="28"/>
      <c r="J14" s="13">
        <v>2255</v>
      </c>
      <c r="K14" s="34">
        <v>1036.6790000000001</v>
      </c>
      <c r="L14" s="28">
        <v>35729</v>
      </c>
      <c r="M14" s="30">
        <v>15997.74</v>
      </c>
      <c r="N14" s="30">
        <v>4367.76</v>
      </c>
      <c r="O14" s="30">
        <v>66596.100000000006</v>
      </c>
      <c r="P14" s="31">
        <v>231.9</v>
      </c>
      <c r="Q14" s="30">
        <v>550</v>
      </c>
      <c r="R14" s="30">
        <v>37.799999999999997</v>
      </c>
      <c r="S14" s="30">
        <v>748.71</v>
      </c>
      <c r="T14" s="32">
        <f t="shared" si="0"/>
        <v>1.4549999984637907E-2</v>
      </c>
      <c r="U14" s="1"/>
      <c r="V14" s="27">
        <f t="shared" si="2"/>
        <v>44720</v>
      </c>
      <c r="W14" s="28">
        <f t="shared" si="3"/>
        <v>48691.233739299998</v>
      </c>
      <c r="X14" s="28">
        <f t="shared" si="1"/>
        <v>24918.158500000001</v>
      </c>
    </row>
    <row r="15" spans="1:24" x14ac:dyDescent="0.25">
      <c r="A15" s="27">
        <v>44721</v>
      </c>
      <c r="B15" s="28">
        <v>225</v>
      </c>
      <c r="C15" s="28"/>
      <c r="D15" s="28"/>
      <c r="E15" s="28">
        <v>14</v>
      </c>
      <c r="F15" s="29">
        <v>263</v>
      </c>
      <c r="G15" s="28"/>
      <c r="H15" s="28">
        <v>55</v>
      </c>
      <c r="I15" s="28"/>
      <c r="J15" s="13">
        <v>1952</v>
      </c>
      <c r="K15" s="34">
        <v>1237.529</v>
      </c>
      <c r="L15" s="28">
        <v>34811</v>
      </c>
      <c r="M15" s="30">
        <f>18010.97-139.14</f>
        <v>17871.830000000002</v>
      </c>
      <c r="N15" s="30">
        <v>3742.36</v>
      </c>
      <c r="O15" s="30">
        <v>62392.88</v>
      </c>
      <c r="P15" s="31">
        <v>92.76</v>
      </c>
      <c r="Q15" s="30">
        <v>305</v>
      </c>
      <c r="R15" s="30">
        <v>21</v>
      </c>
      <c r="S15" s="30">
        <v>596.66999999999996</v>
      </c>
      <c r="T15" s="32">
        <f t="shared" si="0"/>
        <v>-2.9499999908466634E-3</v>
      </c>
      <c r="U15" s="1"/>
      <c r="V15" s="27">
        <f t="shared" si="2"/>
        <v>44721</v>
      </c>
      <c r="W15" s="28">
        <f t="shared" si="3"/>
        <v>46970.392334300006</v>
      </c>
      <c r="X15" s="28">
        <f t="shared" si="1"/>
        <v>24679.7984</v>
      </c>
    </row>
    <row r="16" spans="1:24" x14ac:dyDescent="0.25">
      <c r="A16" s="27">
        <v>44722</v>
      </c>
      <c r="B16" s="28">
        <v>225</v>
      </c>
      <c r="C16" s="28"/>
      <c r="D16" s="28"/>
      <c r="E16" s="28">
        <v>16</v>
      </c>
      <c r="F16" s="29">
        <v>347</v>
      </c>
      <c r="G16" s="28"/>
      <c r="H16" s="28">
        <v>80</v>
      </c>
      <c r="I16" s="28"/>
      <c r="J16" s="13">
        <v>1025</v>
      </c>
      <c r="K16" s="34">
        <v>874.87199999999996</v>
      </c>
      <c r="L16" s="28">
        <v>32897</v>
      </c>
      <c r="M16" s="30">
        <f>18126.71-139.14</f>
        <v>17987.57</v>
      </c>
      <c r="N16" s="30">
        <v>6211.34</v>
      </c>
      <c r="O16" s="30">
        <v>60027.42</v>
      </c>
      <c r="P16" s="31">
        <v>57.22</v>
      </c>
      <c r="Q16" s="30">
        <v>1210</v>
      </c>
      <c r="R16" s="30">
        <v>18.899999999999999</v>
      </c>
      <c r="S16" s="30">
        <v>1736.13</v>
      </c>
      <c r="T16" s="32">
        <f t="shared" si="0"/>
        <v>-5.6000000013227691E-3</v>
      </c>
      <c r="U16" s="1"/>
      <c r="V16" s="27">
        <f t="shared" si="2"/>
        <v>44722</v>
      </c>
      <c r="W16" s="28">
        <f t="shared" si="3"/>
        <v>46333.049462400006</v>
      </c>
      <c r="X16" s="28">
        <f t="shared" si="1"/>
        <v>23644.6175</v>
      </c>
    </row>
    <row r="17" spans="1:24" x14ac:dyDescent="0.25">
      <c r="A17" s="27">
        <v>44723</v>
      </c>
      <c r="B17" s="28">
        <v>69</v>
      </c>
      <c r="C17" s="28"/>
      <c r="D17" s="28"/>
      <c r="E17" s="28">
        <v>3</v>
      </c>
      <c r="F17" s="29">
        <v>312</v>
      </c>
      <c r="G17" s="28">
        <v>3</v>
      </c>
      <c r="H17" s="28">
        <v>55</v>
      </c>
      <c r="I17" s="28"/>
      <c r="J17" s="13">
        <v>1647</v>
      </c>
      <c r="K17" s="34">
        <v>372.02699999999999</v>
      </c>
      <c r="L17" s="28">
        <v>1863</v>
      </c>
      <c r="M17" s="30">
        <v>12836.48</v>
      </c>
      <c r="N17" s="30"/>
      <c r="O17" s="30">
        <v>4306.12</v>
      </c>
      <c r="P17" s="31"/>
      <c r="Q17" s="30">
        <v>40</v>
      </c>
      <c r="R17" s="30">
        <v>27.3</v>
      </c>
      <c r="S17" s="30">
        <v>415</v>
      </c>
      <c r="T17" s="32">
        <f t="shared" si="0"/>
        <v>-8.4999999688761818E-4</v>
      </c>
      <c r="U17" s="1"/>
      <c r="V17" s="27">
        <f t="shared" si="2"/>
        <v>44723</v>
      </c>
      <c r="W17" s="28">
        <f t="shared" si="3"/>
        <v>9270.8546509000007</v>
      </c>
      <c r="X17" s="28">
        <f t="shared" si="1"/>
        <v>8739.2049000000006</v>
      </c>
    </row>
    <row r="18" spans="1:24" x14ac:dyDescent="0.25">
      <c r="A18" s="27">
        <v>44725</v>
      </c>
      <c r="B18" s="28">
        <v>234</v>
      </c>
      <c r="C18" s="28"/>
      <c r="D18" s="28"/>
      <c r="E18" s="28">
        <v>8</v>
      </c>
      <c r="F18" s="29">
        <v>432</v>
      </c>
      <c r="G18" s="28"/>
      <c r="H18" s="28">
        <v>70</v>
      </c>
      <c r="I18" s="28"/>
      <c r="J18" s="13">
        <v>380</v>
      </c>
      <c r="K18" s="34">
        <v>1227.4839999999999</v>
      </c>
      <c r="L18" s="28">
        <v>37744</v>
      </c>
      <c r="M18" s="30">
        <f>20379.09-92.76</f>
        <v>20286.330000000002</v>
      </c>
      <c r="N18" s="30">
        <v>5084.32</v>
      </c>
      <c r="O18" s="30">
        <v>67444.72</v>
      </c>
      <c r="P18" s="31">
        <v>92.76</v>
      </c>
      <c r="Q18" s="30">
        <v>830</v>
      </c>
      <c r="R18" s="30"/>
      <c r="S18" s="30">
        <v>800.45</v>
      </c>
      <c r="T18" s="32">
        <f t="shared" si="0"/>
        <v>-8.2000000134030415E-3</v>
      </c>
      <c r="U18" s="1"/>
      <c r="V18" s="27">
        <f t="shared" ref="V18" si="4">+A18</f>
        <v>44725</v>
      </c>
      <c r="W18" s="28">
        <f t="shared" ref="W18" si="5">SUM(E18*100+F18*20+G18*60+H18+I18*7+K18*1.1167+L18*1.1167)</f>
        <v>53029.456182800001</v>
      </c>
      <c r="X18" s="28">
        <f t="shared" ref="X18" si="6">SUM(B18*100+C18*60+D18+J18*1.1167)</f>
        <v>23824.346000000001</v>
      </c>
    </row>
    <row r="19" spans="1:24" x14ac:dyDescent="0.25">
      <c r="A19" s="27">
        <v>44726</v>
      </c>
      <c r="B19" s="28">
        <v>231</v>
      </c>
      <c r="C19" s="28"/>
      <c r="D19" s="28"/>
      <c r="E19" s="28">
        <v>3</v>
      </c>
      <c r="F19" s="29">
        <v>297</v>
      </c>
      <c r="G19" s="28"/>
      <c r="H19" s="28">
        <v>25</v>
      </c>
      <c r="I19" s="28"/>
      <c r="J19" s="13">
        <v>3326</v>
      </c>
      <c r="K19" s="34">
        <v>582.45500000000004</v>
      </c>
      <c r="L19" s="28">
        <v>42275</v>
      </c>
      <c r="M19" s="30">
        <f>16170.91-92.76</f>
        <v>16078.15</v>
      </c>
      <c r="N19" s="30">
        <v>4415.18</v>
      </c>
      <c r="O19" s="30">
        <v>76696.289999999994</v>
      </c>
      <c r="P19" s="31">
        <v>92.76</v>
      </c>
      <c r="Q19" s="30">
        <v>685</v>
      </c>
      <c r="R19" s="30">
        <v>10.5</v>
      </c>
      <c r="S19" s="30">
        <v>1229.02</v>
      </c>
      <c r="T19" s="32">
        <f t="shared" si="0"/>
        <v>-2.4999997754093783E-4</v>
      </c>
      <c r="U19" s="1"/>
      <c r="V19" s="27">
        <f t="shared" si="2"/>
        <v>44726</v>
      </c>
      <c r="W19" s="28">
        <f t="shared" si="3"/>
        <v>54123.919998500001</v>
      </c>
      <c r="X19" s="28">
        <f t="shared" si="1"/>
        <v>26814.144199999999</v>
      </c>
    </row>
    <row r="20" spans="1:24" x14ac:dyDescent="0.25">
      <c r="A20" s="35">
        <v>44727</v>
      </c>
      <c r="B20" s="36">
        <v>217</v>
      </c>
      <c r="C20" s="36"/>
      <c r="D20" s="36"/>
      <c r="E20" s="36">
        <v>19</v>
      </c>
      <c r="F20" s="37">
        <v>306</v>
      </c>
      <c r="G20" s="36"/>
      <c r="H20" s="36">
        <v>45</v>
      </c>
      <c r="I20" s="36"/>
      <c r="J20" s="38">
        <v>3204</v>
      </c>
      <c r="K20" s="39">
        <v>669.95100000000002</v>
      </c>
      <c r="L20" s="36">
        <v>37782</v>
      </c>
      <c r="M20" s="40">
        <v>18705.419999999998</v>
      </c>
      <c r="N20" s="40">
        <v>5385.5</v>
      </c>
      <c r="O20" s="40">
        <v>69375.94</v>
      </c>
      <c r="P20" s="41">
        <v>46.38</v>
      </c>
      <c r="Q20" s="40">
        <v>685</v>
      </c>
      <c r="R20" s="40">
        <v>54.6</v>
      </c>
      <c r="S20" s="40">
        <v>3067.12</v>
      </c>
      <c r="T20" s="42">
        <f t="shared" si="0"/>
        <v>-1.0500000030333467E-3</v>
      </c>
      <c r="U20" s="16"/>
      <c r="V20" s="35">
        <f t="shared" si="2"/>
        <v>44727</v>
      </c>
      <c r="W20" s="36">
        <f t="shared" si="3"/>
        <v>51004.293681700001</v>
      </c>
      <c r="X20" s="36">
        <f t="shared" si="1"/>
        <v>25277.906800000001</v>
      </c>
    </row>
    <row r="21" spans="1:24" x14ac:dyDescent="0.25">
      <c r="A21" s="27"/>
      <c r="B21" s="43">
        <f>SUM(B7:B20)</f>
        <v>2691</v>
      </c>
      <c r="C21" s="43">
        <f t="shared" ref="C21:L21" si="7">SUM(C7:C20)</f>
        <v>0</v>
      </c>
      <c r="D21" s="43">
        <f t="shared" si="7"/>
        <v>0</v>
      </c>
      <c r="E21" s="43">
        <f t="shared" si="7"/>
        <v>157</v>
      </c>
      <c r="F21" s="43">
        <f t="shared" si="7"/>
        <v>4356</v>
      </c>
      <c r="G21" s="43">
        <f t="shared" si="7"/>
        <v>8</v>
      </c>
      <c r="H21" s="43">
        <f t="shared" si="7"/>
        <v>670</v>
      </c>
      <c r="I21" s="43">
        <f t="shared" si="7"/>
        <v>2</v>
      </c>
      <c r="J21" s="43">
        <f t="shared" si="7"/>
        <v>26643</v>
      </c>
      <c r="K21" s="94">
        <f t="shared" si="7"/>
        <v>11493.371999999999</v>
      </c>
      <c r="L21" s="43">
        <f t="shared" si="7"/>
        <v>423177</v>
      </c>
      <c r="M21" s="45">
        <f t="shared" ref="M21:T21" si="8">SUM(M7:M20)</f>
        <v>232593.37000000005</v>
      </c>
      <c r="N21" s="45">
        <f t="shared" si="8"/>
        <v>55511</v>
      </c>
      <c r="O21" s="45">
        <f t="shared" si="8"/>
        <v>772443.34000000008</v>
      </c>
      <c r="P21" s="45">
        <f t="shared" si="8"/>
        <v>1460.66</v>
      </c>
      <c r="Q21" s="45">
        <f t="shared" si="8"/>
        <v>8700</v>
      </c>
      <c r="R21" s="45">
        <f t="shared" si="8"/>
        <v>319.20000000000005</v>
      </c>
      <c r="S21" s="45">
        <f t="shared" si="8"/>
        <v>19276.189999999999</v>
      </c>
      <c r="T21" s="45">
        <f t="shared" si="8"/>
        <v>-6.0000000132731657E-4</v>
      </c>
      <c r="U21" s="43"/>
      <c r="V21" s="43"/>
      <c r="W21" s="43">
        <f>SUM(W7:W20)</f>
        <v>589380.40441240009</v>
      </c>
      <c r="X21" s="43">
        <f>SUM(X7:X20)</f>
        <v>298852.23809999996</v>
      </c>
    </row>
    <row r="22" spans="1:24" x14ac:dyDescent="0.25">
      <c r="A22" s="27"/>
      <c r="B22" s="43">
        <f>(B21*100)</f>
        <v>269100</v>
      </c>
      <c r="C22" s="43">
        <f>(C21*60)</f>
        <v>0</v>
      </c>
      <c r="D22" s="43">
        <f>(D21)</f>
        <v>0</v>
      </c>
      <c r="E22" s="43">
        <f>(E21*100)</f>
        <v>15700</v>
      </c>
      <c r="F22" s="46">
        <f>(F21*20)</f>
        <v>87120</v>
      </c>
      <c r="G22" s="43">
        <f>(G21*60)</f>
        <v>480</v>
      </c>
      <c r="H22" s="43">
        <f>(H21)</f>
        <v>670</v>
      </c>
      <c r="I22" s="43">
        <f>+I21*7</f>
        <v>14</v>
      </c>
      <c r="J22" s="44">
        <f>(J21*1.1167)</f>
        <v>29752.238100000002</v>
      </c>
      <c r="K22" s="47">
        <f>(K21*1.1167)</f>
        <v>12834.648512399999</v>
      </c>
      <c r="L22" s="48">
        <f>(L21*1.1167)</f>
        <v>472561.75589999999</v>
      </c>
      <c r="M22" s="49"/>
      <c r="N22" s="49"/>
      <c r="O22" s="49"/>
      <c r="P22" s="49"/>
      <c r="Q22" s="49"/>
      <c r="R22" s="49"/>
      <c r="S22" s="49"/>
      <c r="T22" s="49"/>
      <c r="U22" s="49"/>
      <c r="V22" s="50" t="s">
        <v>35</v>
      </c>
      <c r="W22" s="43">
        <f>+D47+D48+D49+D50-W21</f>
        <v>0</v>
      </c>
      <c r="X22" s="43">
        <f>+D46-X21</f>
        <v>0</v>
      </c>
    </row>
    <row r="23" spans="1:24" x14ac:dyDescent="0.25">
      <c r="A23" s="27"/>
      <c r="B23" s="43"/>
      <c r="C23" s="43"/>
      <c r="D23" s="43"/>
      <c r="E23" s="43"/>
      <c r="F23" s="46"/>
      <c r="G23" s="43"/>
      <c r="H23" s="43"/>
      <c r="I23" s="43"/>
      <c r="J23" s="44"/>
      <c r="K23" s="47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50"/>
      <c r="W23" s="43"/>
      <c r="X23" s="43"/>
    </row>
    <row r="24" spans="1:24" x14ac:dyDescent="0.25">
      <c r="A24" s="22" t="s">
        <v>26</v>
      </c>
      <c r="B24" s="22" t="s">
        <v>27</v>
      </c>
      <c r="C24" s="22" t="s">
        <v>28</v>
      </c>
      <c r="D24" s="22" t="s">
        <v>29</v>
      </c>
      <c r="E24" s="22" t="s">
        <v>27</v>
      </c>
      <c r="F24" s="22" t="s">
        <v>30</v>
      </c>
      <c r="G24" s="22" t="s">
        <v>28</v>
      </c>
      <c r="H24" s="22" t="s">
        <v>29</v>
      </c>
      <c r="I24" s="22" t="s">
        <v>31</v>
      </c>
      <c r="J24" s="23" t="s">
        <v>32</v>
      </c>
      <c r="K24" s="24" t="s">
        <v>32</v>
      </c>
      <c r="L24" s="25" t="s">
        <v>32</v>
      </c>
      <c r="M24" s="22" t="s">
        <v>33</v>
      </c>
      <c r="N24" s="22" t="s">
        <v>33</v>
      </c>
      <c r="O24" s="22" t="s">
        <v>33</v>
      </c>
      <c r="P24" s="22" t="s">
        <v>33</v>
      </c>
      <c r="Q24" s="22" t="s">
        <v>33</v>
      </c>
      <c r="R24" s="22" t="s">
        <v>33</v>
      </c>
      <c r="S24" s="22" t="s">
        <v>33</v>
      </c>
      <c r="T24" s="22" t="s">
        <v>33</v>
      </c>
      <c r="U24" s="26"/>
      <c r="V24" s="22" t="s">
        <v>26</v>
      </c>
      <c r="W24" s="22" t="s">
        <v>11</v>
      </c>
      <c r="X24" s="22" t="s">
        <v>34</v>
      </c>
    </row>
    <row r="25" spans="1:24" x14ac:dyDescent="0.25">
      <c r="A25" s="27">
        <v>44728</v>
      </c>
      <c r="B25" s="28">
        <v>208</v>
      </c>
      <c r="C25" s="28"/>
      <c r="D25" s="28"/>
      <c r="E25" s="28">
        <v>12</v>
      </c>
      <c r="F25" s="29">
        <v>279</v>
      </c>
      <c r="G25" s="28"/>
      <c r="H25" s="28">
        <v>50</v>
      </c>
      <c r="I25" s="28"/>
      <c r="J25" s="13">
        <f>1776+45</f>
        <v>1821</v>
      </c>
      <c r="K25" s="34">
        <v>668.98699999999997</v>
      </c>
      <c r="L25" s="28">
        <f>35520-45</f>
        <v>35475</v>
      </c>
      <c r="M25" s="30">
        <v>17736.75</v>
      </c>
      <c r="N25" s="30">
        <v>3368.72</v>
      </c>
      <c r="O25" s="30">
        <f>63950.57+45*0.52-45*1.75+2.1</f>
        <v>63897.32</v>
      </c>
      <c r="P25" s="33">
        <v>391.66</v>
      </c>
      <c r="Q25" s="30">
        <v>175</v>
      </c>
      <c r="R25" s="30">
        <f>8.4+2.1</f>
        <v>10.5</v>
      </c>
      <c r="S25" s="30">
        <v>2467.71</v>
      </c>
      <c r="T25" s="32">
        <f t="shared" ref="T25:T37" si="9">+B25*46.38+C25*27.83+D25*0.4638+E25*158.5+F25*25.5+G25*95+H25*1.59+I25*18.55+J25*0.52+K25*1.45+L25*1.75-M25-N25-O25-P25+Q25+R25+S25</f>
        <v>1.1500000009618816E-3</v>
      </c>
      <c r="U25" s="51"/>
      <c r="V25" s="27">
        <f>+A25</f>
        <v>44728</v>
      </c>
      <c r="W25" s="28">
        <f t="shared" ref="W25:W37" si="10">SUM(E25*100+F25*20+G25*60+H25+I25*7+K25*1.1167+L25*1.1167)</f>
        <v>47191.990282900006</v>
      </c>
      <c r="X25" s="28">
        <f t="shared" ref="X25:X37" si="11">SUM(B25*100+C25*60+D25+J25*1.1167)</f>
        <v>22833.510699999999</v>
      </c>
    </row>
    <row r="26" spans="1:24" x14ac:dyDescent="0.25">
      <c r="A26" s="27">
        <v>44729</v>
      </c>
      <c r="B26" s="28">
        <v>216</v>
      </c>
      <c r="C26" s="28"/>
      <c r="D26" s="28">
        <v>20</v>
      </c>
      <c r="E26" s="28">
        <v>16</v>
      </c>
      <c r="F26" s="29">
        <v>286</v>
      </c>
      <c r="G26" s="28"/>
      <c r="H26" s="28">
        <v>75</v>
      </c>
      <c r="I26" s="28"/>
      <c r="J26" s="13">
        <v>1090</v>
      </c>
      <c r="K26" s="34">
        <v>1127.0319999999999</v>
      </c>
      <c r="L26" s="52">
        <v>34777</v>
      </c>
      <c r="M26" s="30">
        <v>16477.11</v>
      </c>
      <c r="N26" s="30">
        <v>3880.63</v>
      </c>
      <c r="O26" s="30">
        <v>64608.59</v>
      </c>
      <c r="P26" s="31">
        <v>14.86</v>
      </c>
      <c r="Q26" s="30">
        <v>340</v>
      </c>
      <c r="R26" s="30">
        <v>10.5</v>
      </c>
      <c r="S26" s="30">
        <v>1594.33</v>
      </c>
      <c r="T26" s="32">
        <f t="shared" si="9"/>
        <v>-7.59999999104366E-3</v>
      </c>
      <c r="U26" s="30"/>
      <c r="V26" s="27">
        <f t="shared" ref="V26:V37" si="12">+A26</f>
        <v>44729</v>
      </c>
      <c r="W26" s="28">
        <f t="shared" si="10"/>
        <v>47489.032534400001</v>
      </c>
      <c r="X26" s="28">
        <f t="shared" si="11"/>
        <v>22837.203000000001</v>
      </c>
    </row>
    <row r="27" spans="1:24" x14ac:dyDescent="0.25">
      <c r="A27" s="27">
        <v>44730</v>
      </c>
      <c r="B27" s="28">
        <v>68</v>
      </c>
      <c r="C27" s="28"/>
      <c r="D27" s="28"/>
      <c r="E27" s="28">
        <v>1</v>
      </c>
      <c r="F27" s="29">
        <v>362</v>
      </c>
      <c r="G27" s="28">
        <v>3</v>
      </c>
      <c r="H27" s="28">
        <v>75</v>
      </c>
      <c r="I27" s="28"/>
      <c r="J27" s="13">
        <v>2969</v>
      </c>
      <c r="K27" s="34">
        <v>683.16800000000001</v>
      </c>
      <c r="L27" s="52">
        <v>2200</v>
      </c>
      <c r="M27" s="30">
        <v>13753.66</v>
      </c>
      <c r="N27" s="30">
        <v>273.76</v>
      </c>
      <c r="O27" s="30">
        <v>6367.67</v>
      </c>
      <c r="P27" s="31"/>
      <c r="Q27" s="30">
        <v>175</v>
      </c>
      <c r="R27" s="30">
        <v>21</v>
      </c>
      <c r="S27" s="30">
        <v>867.03</v>
      </c>
      <c r="T27" s="32">
        <f t="shared" si="9"/>
        <v>3.6000000011426891E-3</v>
      </c>
      <c r="U27" s="30"/>
      <c r="V27" s="27">
        <f t="shared" si="12"/>
        <v>44730</v>
      </c>
      <c r="W27" s="28">
        <f t="shared" si="10"/>
        <v>10814.633705599999</v>
      </c>
      <c r="X27" s="28">
        <f t="shared" si="11"/>
        <v>10115.4823</v>
      </c>
    </row>
    <row r="28" spans="1:24" x14ac:dyDescent="0.25">
      <c r="A28" s="27">
        <v>44732</v>
      </c>
      <c r="B28" s="28">
        <v>172</v>
      </c>
      <c r="C28" s="28"/>
      <c r="D28" s="28">
        <v>20</v>
      </c>
      <c r="E28" s="28">
        <v>7</v>
      </c>
      <c r="F28" s="29">
        <v>337</v>
      </c>
      <c r="G28" s="28"/>
      <c r="H28" s="28"/>
      <c r="I28" s="28"/>
      <c r="J28" s="13">
        <v>1930</v>
      </c>
      <c r="K28" s="6">
        <v>1179.2329999999999</v>
      </c>
      <c r="L28" s="52">
        <v>41092</v>
      </c>
      <c r="M28" s="30">
        <v>17406.3</v>
      </c>
      <c r="N28" s="30">
        <v>3899.04</v>
      </c>
      <c r="O28" s="30">
        <v>74165.95</v>
      </c>
      <c r="P28" s="33">
        <v>342.74</v>
      </c>
      <c r="Q28" s="30">
        <v>545</v>
      </c>
      <c r="R28" s="30">
        <v>29.4</v>
      </c>
      <c r="S28" s="30">
        <v>2925.5</v>
      </c>
      <c r="T28" s="32">
        <f t="shared" si="9"/>
        <v>-6.1499999897023372E-3</v>
      </c>
      <c r="U28" s="30"/>
      <c r="V28" s="27">
        <f t="shared" si="12"/>
        <v>44732</v>
      </c>
      <c r="W28" s="28">
        <f t="shared" si="10"/>
        <v>54644.2858911</v>
      </c>
      <c r="X28" s="28">
        <f t="shared" si="11"/>
        <v>19375.231</v>
      </c>
    </row>
    <row r="29" spans="1:24" x14ac:dyDescent="0.25">
      <c r="A29" s="27">
        <v>44733</v>
      </c>
      <c r="B29" s="28">
        <v>231</v>
      </c>
      <c r="C29" s="28"/>
      <c r="D29" s="28"/>
      <c r="E29" s="28">
        <v>12</v>
      </c>
      <c r="F29" s="29">
        <v>339</v>
      </c>
      <c r="G29" s="28"/>
      <c r="H29" s="28">
        <v>70</v>
      </c>
      <c r="I29" s="28"/>
      <c r="J29" s="13">
        <f>4048+65</f>
        <v>4113</v>
      </c>
      <c r="K29" s="34">
        <v>666.05499999999995</v>
      </c>
      <c r="L29" s="52">
        <f>41927-65</f>
        <v>41862</v>
      </c>
      <c r="M29" s="30">
        <v>19042.05</v>
      </c>
      <c r="N29" s="30">
        <v>4671.54</v>
      </c>
      <c r="O29" s="30">
        <f>75465.81+65*0.52-65*1.75+2.1</f>
        <v>75387.960000000006</v>
      </c>
      <c r="P29" s="33">
        <v>384.36</v>
      </c>
      <c r="Q29" s="30">
        <v>670</v>
      </c>
      <c r="R29" s="30">
        <f>48.3+2.1</f>
        <v>50.4</v>
      </c>
      <c r="S29" s="30">
        <v>1030.8900000000001</v>
      </c>
      <c r="T29" s="32">
        <f t="shared" si="9"/>
        <v>-2.5000000482577889E-4</v>
      </c>
      <c r="U29" s="30"/>
      <c r="V29" s="27">
        <f t="shared" si="12"/>
        <v>44733</v>
      </c>
      <c r="W29" s="28">
        <f t="shared" si="10"/>
        <v>55541.079018500001</v>
      </c>
      <c r="X29" s="28">
        <f t="shared" si="11"/>
        <v>27692.987099999998</v>
      </c>
    </row>
    <row r="30" spans="1:24" x14ac:dyDescent="0.25">
      <c r="A30" s="27">
        <v>44734</v>
      </c>
      <c r="B30" s="28">
        <v>205</v>
      </c>
      <c r="C30" s="28"/>
      <c r="D30" s="28"/>
      <c r="E30" s="28">
        <v>25</v>
      </c>
      <c r="F30" s="29">
        <v>273</v>
      </c>
      <c r="G30" s="28"/>
      <c r="H30" s="28">
        <v>40</v>
      </c>
      <c r="I30" s="28"/>
      <c r="J30" s="13">
        <v>3469</v>
      </c>
      <c r="K30" s="34">
        <v>1087.25</v>
      </c>
      <c r="L30" s="52">
        <v>38086</v>
      </c>
      <c r="M30" s="30">
        <v>19606.87</v>
      </c>
      <c r="N30" s="30">
        <v>4217.9799999999996</v>
      </c>
      <c r="O30" s="30">
        <v>71073.23</v>
      </c>
      <c r="P30" s="33">
        <v>422.8</v>
      </c>
      <c r="Q30" s="30">
        <v>410</v>
      </c>
      <c r="R30" s="30">
        <v>33.6</v>
      </c>
      <c r="S30" s="30">
        <v>4350.8900000000003</v>
      </c>
      <c r="T30" s="32">
        <f t="shared" si="9"/>
        <v>2.5000000150612323E-3</v>
      </c>
      <c r="U30" s="30"/>
      <c r="V30" s="27">
        <f t="shared" si="12"/>
        <v>44734</v>
      </c>
      <c r="W30" s="28">
        <f t="shared" si="10"/>
        <v>51744.768275000002</v>
      </c>
      <c r="X30" s="28">
        <f t="shared" si="11"/>
        <v>24373.832300000002</v>
      </c>
    </row>
    <row r="31" spans="1:24" x14ac:dyDescent="0.25">
      <c r="A31" s="27">
        <v>44735</v>
      </c>
      <c r="B31" s="28">
        <v>223</v>
      </c>
      <c r="C31" s="28"/>
      <c r="D31" s="28"/>
      <c r="E31" s="28">
        <v>16</v>
      </c>
      <c r="F31" s="29">
        <v>266</v>
      </c>
      <c r="G31" s="28"/>
      <c r="H31" s="28">
        <v>65</v>
      </c>
      <c r="I31" s="28"/>
      <c r="J31" s="13">
        <v>401</v>
      </c>
      <c r="K31" s="34">
        <v>646.40800000000002</v>
      </c>
      <c r="L31" s="52">
        <v>32000</v>
      </c>
      <c r="M31" s="30">
        <v>15939.39</v>
      </c>
      <c r="N31" s="30">
        <v>4120.8</v>
      </c>
      <c r="O31" s="30">
        <v>57337.919999999998</v>
      </c>
      <c r="P31" s="33">
        <v>428.16</v>
      </c>
      <c r="Q31" s="30">
        <v>185</v>
      </c>
      <c r="R31" s="30">
        <v>4.2</v>
      </c>
      <c r="S31" s="30">
        <v>726.17</v>
      </c>
      <c r="T31" s="32">
        <f t="shared" si="9"/>
        <v>1.5999999967561962E-3</v>
      </c>
      <c r="U31" s="30"/>
      <c r="V31" s="27">
        <f t="shared" si="12"/>
        <v>44735</v>
      </c>
      <c r="W31" s="28">
        <f t="shared" si="10"/>
        <v>43441.243813599998</v>
      </c>
      <c r="X31" s="28">
        <f t="shared" si="11"/>
        <v>22747.796699999999</v>
      </c>
    </row>
    <row r="32" spans="1:24" x14ac:dyDescent="0.25">
      <c r="A32" s="27">
        <v>44736</v>
      </c>
      <c r="B32" s="28">
        <v>171</v>
      </c>
      <c r="C32" s="28"/>
      <c r="D32" s="28"/>
      <c r="E32" s="28">
        <v>18</v>
      </c>
      <c r="F32" s="29">
        <v>378</v>
      </c>
      <c r="G32" s="28"/>
      <c r="H32" s="28">
        <v>30</v>
      </c>
      <c r="I32" s="28"/>
      <c r="J32" s="13">
        <v>2509</v>
      </c>
      <c r="K32" s="34">
        <v>727.47400000000005</v>
      </c>
      <c r="L32" s="52">
        <v>34301</v>
      </c>
      <c r="M32" s="30">
        <v>19882.650000000001</v>
      </c>
      <c r="N32" s="30">
        <v>2560.58</v>
      </c>
      <c r="O32" s="30">
        <v>62823.360000000001</v>
      </c>
      <c r="P32" s="33">
        <v>340.47</v>
      </c>
      <c r="Q32" s="30">
        <v>565</v>
      </c>
      <c r="R32" s="30">
        <v>31.5</v>
      </c>
      <c r="S32" s="30">
        <v>2153.61</v>
      </c>
      <c r="T32" s="32">
        <f t="shared" si="9"/>
        <v>-2.7000000040970917E-3</v>
      </c>
      <c r="U32" s="30"/>
      <c r="V32" s="27">
        <f t="shared" si="12"/>
        <v>44736</v>
      </c>
      <c r="W32" s="28">
        <f t="shared" si="10"/>
        <v>48506.296915800005</v>
      </c>
      <c r="X32" s="28">
        <f t="shared" si="11"/>
        <v>19901.800299999999</v>
      </c>
    </row>
    <row r="33" spans="1:24" x14ac:dyDescent="0.25">
      <c r="A33" s="27">
        <v>44737</v>
      </c>
      <c r="B33" s="28">
        <v>74</v>
      </c>
      <c r="C33" s="28"/>
      <c r="D33" s="28"/>
      <c r="E33" s="28">
        <v>3</v>
      </c>
      <c r="F33" s="7">
        <v>429</v>
      </c>
      <c r="G33" s="28">
        <v>3</v>
      </c>
      <c r="H33" s="28">
        <v>70</v>
      </c>
      <c r="I33" s="28"/>
      <c r="J33" s="13">
        <v>338</v>
      </c>
      <c r="K33" s="34">
        <v>263.55599999999998</v>
      </c>
      <c r="L33" s="52">
        <v>701</v>
      </c>
      <c r="M33" s="30">
        <v>16445.53</v>
      </c>
      <c r="N33" s="30"/>
      <c r="O33" s="30">
        <v>1317.79</v>
      </c>
      <c r="P33" s="33">
        <v>126.26</v>
      </c>
      <c r="Q33" s="30">
        <v>35</v>
      </c>
      <c r="R33" s="30"/>
      <c r="S33" s="30">
        <v>826.5</v>
      </c>
      <c r="T33" s="32">
        <f t="shared" si="9"/>
        <v>6.1999999991257937E-3</v>
      </c>
      <c r="U33" s="30"/>
      <c r="V33" s="27">
        <f t="shared" si="12"/>
        <v>44737</v>
      </c>
      <c r="W33" s="28">
        <f t="shared" si="10"/>
        <v>10207.119685199999</v>
      </c>
      <c r="X33" s="28">
        <f t="shared" si="11"/>
        <v>7777.4445999999998</v>
      </c>
    </row>
    <row r="34" spans="1:24" x14ac:dyDescent="0.25">
      <c r="A34" s="27">
        <v>44739</v>
      </c>
      <c r="B34" s="28">
        <v>208</v>
      </c>
      <c r="C34" s="28"/>
      <c r="D34" s="28"/>
      <c r="E34" s="28">
        <v>12</v>
      </c>
      <c r="F34" s="29">
        <v>399</v>
      </c>
      <c r="G34" s="28"/>
      <c r="H34" s="28">
        <v>120</v>
      </c>
      <c r="I34" s="28"/>
      <c r="J34" s="13">
        <v>4102</v>
      </c>
      <c r="K34" s="34">
        <v>1118.096</v>
      </c>
      <c r="L34" s="52">
        <v>43594</v>
      </c>
      <c r="M34" s="30">
        <v>20501.27</v>
      </c>
      <c r="N34" s="30">
        <v>2817.16</v>
      </c>
      <c r="O34" s="30">
        <v>80107.5</v>
      </c>
      <c r="P34" s="33">
        <v>92.76</v>
      </c>
      <c r="Q34" s="30">
        <v>425</v>
      </c>
      <c r="R34" s="30">
        <v>31.5</v>
      </c>
      <c r="S34" s="30">
        <v>1104.07</v>
      </c>
      <c r="T34" s="32">
        <f t="shared" si="9"/>
        <v>-8.0000000662039383E-4</v>
      </c>
      <c r="U34" s="30"/>
      <c r="V34" s="27">
        <f t="shared" si="12"/>
        <v>44739</v>
      </c>
      <c r="W34" s="28">
        <f t="shared" si="10"/>
        <v>59229.997603200005</v>
      </c>
      <c r="X34" s="28">
        <f t="shared" si="11"/>
        <v>25380.703399999999</v>
      </c>
    </row>
    <row r="35" spans="1:24" x14ac:dyDescent="0.25">
      <c r="A35" s="27">
        <v>44740</v>
      </c>
      <c r="B35" s="28">
        <v>292</v>
      </c>
      <c r="C35" s="28"/>
      <c r="D35" s="28">
        <v>20</v>
      </c>
      <c r="E35" s="28">
        <v>16</v>
      </c>
      <c r="F35" s="29">
        <v>582</v>
      </c>
      <c r="G35" s="28"/>
      <c r="H35" s="28">
        <v>50</v>
      </c>
      <c r="I35" s="28"/>
      <c r="J35" s="98">
        <v>3806</v>
      </c>
      <c r="K35" s="99">
        <v>1280.26</v>
      </c>
      <c r="L35" s="100">
        <v>58052</v>
      </c>
      <c r="M35" s="30">
        <v>29936.34</v>
      </c>
      <c r="N35" s="30">
        <v>6626.14</v>
      </c>
      <c r="O35" s="30">
        <v>106074.45</v>
      </c>
      <c r="P35" s="101">
        <v>106.06</v>
      </c>
      <c r="Q35" s="30">
        <v>1440</v>
      </c>
      <c r="R35" s="30">
        <v>31.5</v>
      </c>
      <c r="S35" s="30">
        <v>4836.25</v>
      </c>
      <c r="T35" s="32">
        <f t="shared" si="9"/>
        <v>-6.9999999859646778E-3</v>
      </c>
      <c r="U35" s="30"/>
      <c r="V35" s="27">
        <f t="shared" si="12"/>
        <v>44740</v>
      </c>
      <c r="W35" s="28">
        <f t="shared" si="10"/>
        <v>79546.334742000006</v>
      </c>
      <c r="X35" s="28">
        <f t="shared" si="11"/>
        <v>33470.160199999998</v>
      </c>
    </row>
    <row r="36" spans="1:24" x14ac:dyDescent="0.25">
      <c r="A36" s="27">
        <v>44741</v>
      </c>
      <c r="B36" s="28">
        <v>229</v>
      </c>
      <c r="C36" s="28"/>
      <c r="D36" s="28"/>
      <c r="E36" s="28">
        <v>13</v>
      </c>
      <c r="F36" s="29">
        <v>550</v>
      </c>
      <c r="G36" s="28"/>
      <c r="H36" s="28"/>
      <c r="I36" s="28"/>
      <c r="J36" s="98">
        <v>2495</v>
      </c>
      <c r="K36" s="99">
        <v>905.28700000000003</v>
      </c>
      <c r="L36" s="100">
        <v>30839</v>
      </c>
      <c r="M36" s="30">
        <v>25324.34</v>
      </c>
      <c r="N36" s="30">
        <v>3305.32</v>
      </c>
      <c r="O36" s="30">
        <f>56213.87+200*1.75-200*0.52-2.1</f>
        <v>56457.770000000004</v>
      </c>
      <c r="P36" s="101">
        <v>165.77</v>
      </c>
      <c r="Q36" s="30">
        <v>305</v>
      </c>
      <c r="R36" s="30">
        <f>35.7-2.1</f>
        <v>33.6</v>
      </c>
      <c r="S36" s="30">
        <v>1629.76</v>
      </c>
      <c r="T36" s="32">
        <f t="shared" si="9"/>
        <v>-3.849999997555642E-3</v>
      </c>
      <c r="U36" s="30"/>
      <c r="V36" s="27">
        <f t="shared" si="12"/>
        <v>44741</v>
      </c>
      <c r="W36" s="28">
        <f>SUM(E36*100+F36*20+G36*60+H36+I36*7+K36*1.1167+L36*1.1167)</f>
        <v>47748.845292899998</v>
      </c>
      <c r="X36" s="28">
        <f>SUM(B36*100+C36*60+D36+J36*1.1167)</f>
        <v>25686.166499999999</v>
      </c>
    </row>
    <row r="37" spans="1:24" x14ac:dyDescent="0.25">
      <c r="A37" s="35">
        <v>44742</v>
      </c>
      <c r="B37" s="36">
        <v>182</v>
      </c>
      <c r="C37" s="36"/>
      <c r="D37" s="36"/>
      <c r="E37" s="36">
        <v>19</v>
      </c>
      <c r="F37" s="37">
        <v>242</v>
      </c>
      <c r="G37" s="36"/>
      <c r="H37" s="36">
        <v>100</v>
      </c>
      <c r="I37" s="36"/>
      <c r="J37" s="38">
        <f>2232+501</f>
        <v>2733</v>
      </c>
      <c r="K37" s="39">
        <v>762.97400000000005</v>
      </c>
      <c r="L37" s="53">
        <f>33543-501</f>
        <v>33042</v>
      </c>
      <c r="M37" s="40">
        <f>14231.73+501*0.52-501*1.75</f>
        <v>13615.5</v>
      </c>
      <c r="N37" s="40">
        <v>3539.56</v>
      </c>
      <c r="O37" s="40">
        <v>61722.49</v>
      </c>
      <c r="P37" s="54">
        <v>324.66000000000003</v>
      </c>
      <c r="Q37" s="40">
        <v>315</v>
      </c>
      <c r="R37" s="40">
        <v>46.2</v>
      </c>
      <c r="S37" s="40">
        <v>707.38</v>
      </c>
      <c r="T37" s="42">
        <f t="shared" si="9"/>
        <v>2.3000000018100764E-3</v>
      </c>
      <c r="U37" s="40"/>
      <c r="V37" s="35">
        <f t="shared" si="12"/>
        <v>44742</v>
      </c>
      <c r="W37" s="36">
        <f t="shared" si="10"/>
        <v>44590.014465799999</v>
      </c>
      <c r="X37" s="36">
        <f t="shared" si="11"/>
        <v>21251.9411</v>
      </c>
    </row>
    <row r="38" spans="1:24" x14ac:dyDescent="0.25">
      <c r="A38" s="50" t="s">
        <v>36</v>
      </c>
      <c r="B38" s="43">
        <f>SUM(B25:B37)</f>
        <v>2479</v>
      </c>
      <c r="C38" s="43">
        <f t="shared" ref="C38:L38" si="13">SUM(C25:C37)</f>
        <v>0</v>
      </c>
      <c r="D38" s="43">
        <f t="shared" si="13"/>
        <v>60</v>
      </c>
      <c r="E38" s="43">
        <f t="shared" si="13"/>
        <v>170</v>
      </c>
      <c r="F38" s="43">
        <f t="shared" si="13"/>
        <v>4722</v>
      </c>
      <c r="G38" s="43">
        <f t="shared" si="13"/>
        <v>6</v>
      </c>
      <c r="H38" s="43">
        <f t="shared" si="13"/>
        <v>745</v>
      </c>
      <c r="I38" s="43">
        <f t="shared" si="13"/>
        <v>0</v>
      </c>
      <c r="J38" s="43">
        <f t="shared" si="13"/>
        <v>31776</v>
      </c>
      <c r="K38" s="94">
        <f t="shared" si="13"/>
        <v>11115.78</v>
      </c>
      <c r="L38" s="43">
        <f t="shared" si="13"/>
        <v>426021</v>
      </c>
      <c r="M38" s="43">
        <f t="shared" ref="M38:S38" si="14">SUM(M25:M37)</f>
        <v>245667.75999999998</v>
      </c>
      <c r="N38" s="43">
        <f t="shared" si="14"/>
        <v>43281.23</v>
      </c>
      <c r="O38" s="43">
        <f t="shared" si="14"/>
        <v>781342</v>
      </c>
      <c r="P38" s="43">
        <f t="shared" si="14"/>
        <v>3140.5600000000004</v>
      </c>
      <c r="Q38" s="43">
        <f t="shared" si="14"/>
        <v>5585</v>
      </c>
      <c r="R38" s="43">
        <f t="shared" si="14"/>
        <v>333.9</v>
      </c>
      <c r="S38" s="43">
        <f t="shared" si="14"/>
        <v>25220.089999999997</v>
      </c>
      <c r="T38" s="43">
        <f t="shared" ref="T38" si="15">SUM(T25:T36)</f>
        <v>-1.3299999966761789E-2</v>
      </c>
      <c r="U38" s="43"/>
      <c r="V38" s="43"/>
      <c r="W38" s="43">
        <f>SUM(W25:W37)</f>
        <v>600695.64222600008</v>
      </c>
      <c r="X38" s="43">
        <f>SUM(X25:X37)</f>
        <v>283444.25919999997</v>
      </c>
    </row>
    <row r="39" spans="1:24" x14ac:dyDescent="0.25">
      <c r="A39" s="55" t="s">
        <v>37</v>
      </c>
      <c r="B39" s="56">
        <f>(B38*100)</f>
        <v>247900</v>
      </c>
      <c r="C39" s="56">
        <f>(C38*60)</f>
        <v>0</v>
      </c>
      <c r="D39" s="56">
        <f>(D38)</f>
        <v>60</v>
      </c>
      <c r="E39" s="56">
        <f>(E38*100)</f>
        <v>17000</v>
      </c>
      <c r="F39" s="56">
        <f>(F38*20)</f>
        <v>94440</v>
      </c>
      <c r="G39" s="56">
        <f>(G38*60)</f>
        <v>360</v>
      </c>
      <c r="H39" s="56">
        <f>(H38)</f>
        <v>745</v>
      </c>
      <c r="I39" s="56">
        <f>+I38*7</f>
        <v>0</v>
      </c>
      <c r="J39" s="57">
        <f>(J38*1.1167)</f>
        <v>35484.2592</v>
      </c>
      <c r="K39" s="58">
        <f>(K38*1.1167)</f>
        <v>12412.991526000002</v>
      </c>
      <c r="L39" s="59">
        <f>(L38*1.1167)</f>
        <v>475737.6507</v>
      </c>
      <c r="M39" s="60"/>
      <c r="N39" s="60"/>
      <c r="O39" s="60"/>
      <c r="P39" s="60"/>
      <c r="Q39" s="60"/>
      <c r="R39" s="60"/>
      <c r="S39" s="60"/>
      <c r="T39" s="60"/>
      <c r="U39" s="56"/>
      <c r="V39" s="61" t="s">
        <v>35</v>
      </c>
      <c r="W39" s="56">
        <f>+L47+L48+L49+L50-W38</f>
        <v>0</v>
      </c>
      <c r="X39" s="56">
        <f>+L46-X38</f>
        <v>0</v>
      </c>
    </row>
    <row r="40" spans="1:24" ht="26.25" x14ac:dyDescent="0.25">
      <c r="A40" s="62" t="s">
        <v>38</v>
      </c>
      <c r="B40" s="43">
        <f t="shared" ref="B40:T40" si="16">(B21+B38)</f>
        <v>5170</v>
      </c>
      <c r="C40" s="43">
        <f t="shared" si="16"/>
        <v>0</v>
      </c>
      <c r="D40" s="43">
        <f t="shared" si="16"/>
        <v>60</v>
      </c>
      <c r="E40" s="43">
        <f t="shared" si="16"/>
        <v>327</v>
      </c>
      <c r="F40" s="43">
        <f t="shared" si="16"/>
        <v>9078</v>
      </c>
      <c r="G40" s="43">
        <f t="shared" si="16"/>
        <v>14</v>
      </c>
      <c r="H40" s="43">
        <f t="shared" si="16"/>
        <v>1415</v>
      </c>
      <c r="I40" s="43">
        <f t="shared" si="16"/>
        <v>2</v>
      </c>
      <c r="J40" s="43">
        <f t="shared" si="16"/>
        <v>58419</v>
      </c>
      <c r="K40" s="45">
        <f t="shared" si="16"/>
        <v>22609.152000000002</v>
      </c>
      <c r="L40" s="43">
        <f t="shared" si="16"/>
        <v>849198</v>
      </c>
      <c r="M40" s="43">
        <f t="shared" si="16"/>
        <v>478261.13</v>
      </c>
      <c r="N40" s="43">
        <f t="shared" si="16"/>
        <v>98792.23000000001</v>
      </c>
      <c r="O40" s="43">
        <f t="shared" si="16"/>
        <v>1553785.34</v>
      </c>
      <c r="P40" s="43">
        <f t="shared" si="16"/>
        <v>4601.22</v>
      </c>
      <c r="Q40" s="43">
        <f t="shared" si="16"/>
        <v>14285</v>
      </c>
      <c r="R40" s="43">
        <f t="shared" si="16"/>
        <v>653.1</v>
      </c>
      <c r="S40" s="43">
        <f t="shared" si="16"/>
        <v>44496.28</v>
      </c>
      <c r="T40" s="43">
        <f t="shared" si="16"/>
        <v>-1.3899999968089105E-2</v>
      </c>
      <c r="U40" s="43"/>
      <c r="V40" s="43"/>
      <c r="W40" s="43">
        <f>(W21+W38)</f>
        <v>1190076.0466384003</v>
      </c>
      <c r="X40" s="43">
        <f>(X21+X38)</f>
        <v>582296.49729999993</v>
      </c>
    </row>
    <row r="41" spans="1:24" x14ac:dyDescent="0.25">
      <c r="A41" s="55" t="s">
        <v>37</v>
      </c>
      <c r="B41" s="56">
        <f>(B40*100)</f>
        <v>517000</v>
      </c>
      <c r="C41" s="56">
        <f>(C40*60)</f>
        <v>0</v>
      </c>
      <c r="D41" s="56">
        <f>(D40)</f>
        <v>60</v>
      </c>
      <c r="E41" s="56">
        <f>(E40*100)</f>
        <v>32700</v>
      </c>
      <c r="F41" s="63">
        <f>(F40*20)</f>
        <v>181560</v>
      </c>
      <c r="G41" s="56">
        <f>(G40*60)</f>
        <v>840</v>
      </c>
      <c r="H41" s="56">
        <f>(H40)</f>
        <v>1415</v>
      </c>
      <c r="I41" s="56">
        <f>+I40*7</f>
        <v>14</v>
      </c>
      <c r="J41" s="57">
        <f>(J40*1.1167)</f>
        <v>65236.497300000003</v>
      </c>
      <c r="K41" s="58">
        <f>(K40*1.1167)</f>
        <v>25247.640038400004</v>
      </c>
      <c r="L41" s="59">
        <f>(L40*1.1167)</f>
        <v>948299.40659999999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56">
        <f>+D55+D56+D57+D58-W40</f>
        <v>0</v>
      </c>
      <c r="X41" s="56">
        <f>+D54-X40</f>
        <v>0</v>
      </c>
    </row>
    <row r="42" spans="1:24" x14ac:dyDescent="0.25">
      <c r="A42" s="51"/>
      <c r="B42" s="51"/>
      <c r="C42" s="51"/>
      <c r="D42" s="51"/>
      <c r="E42" s="51"/>
      <c r="F42" s="64"/>
      <c r="G42" s="51"/>
      <c r="H42" s="51"/>
      <c r="I42" s="51"/>
      <c r="J42" s="13"/>
      <c r="K42" s="65"/>
      <c r="L42" s="66"/>
      <c r="M42" s="67"/>
      <c r="N42" s="67"/>
      <c r="O42" s="67"/>
      <c r="P42" s="67"/>
      <c r="Q42" s="67"/>
      <c r="R42" s="67"/>
      <c r="S42" s="67"/>
      <c r="T42" s="67"/>
      <c r="U42" s="1"/>
      <c r="V42" s="1"/>
      <c r="W42" s="1"/>
      <c r="X42" s="1"/>
    </row>
    <row r="43" spans="1:24" x14ac:dyDescent="0.25">
      <c r="A43" s="51"/>
      <c r="B43" s="51"/>
      <c r="C43" s="51"/>
      <c r="D43" s="51"/>
      <c r="E43" s="51"/>
      <c r="F43" s="64"/>
      <c r="G43" s="51"/>
      <c r="H43" s="51"/>
      <c r="I43" s="51"/>
      <c r="J43" s="13"/>
      <c r="K43" s="65"/>
      <c r="L43" s="66"/>
      <c r="M43" s="67"/>
      <c r="N43" s="67"/>
      <c r="O43" s="67"/>
      <c r="P43" s="67"/>
      <c r="Q43" s="67"/>
      <c r="R43" s="67"/>
      <c r="S43" s="67"/>
      <c r="T43" s="67"/>
      <c r="U43" s="1"/>
      <c r="V43" s="1"/>
      <c r="W43" s="1"/>
      <c r="X43" s="1"/>
    </row>
    <row r="44" spans="1:24" x14ac:dyDescent="0.25">
      <c r="A44" s="51"/>
      <c r="B44" s="51"/>
      <c r="C44" s="51"/>
      <c r="D44" s="51"/>
      <c r="E44" s="51"/>
      <c r="F44" s="64"/>
      <c r="G44" s="51"/>
      <c r="H44" s="51"/>
      <c r="I44" s="51"/>
      <c r="J44" s="13"/>
      <c r="K44" s="65"/>
      <c r="L44" s="66"/>
      <c r="M44" s="67"/>
      <c r="N44" s="67"/>
      <c r="O44" s="67"/>
      <c r="P44" s="67"/>
      <c r="Q44" s="67"/>
      <c r="R44" s="67"/>
      <c r="S44" s="67"/>
      <c r="T44" s="67"/>
      <c r="U44" s="1"/>
      <c r="V44" s="1"/>
      <c r="W44" s="1"/>
      <c r="X44" s="1"/>
    </row>
    <row r="45" spans="1:24" x14ac:dyDescent="0.25">
      <c r="A45" s="27"/>
      <c r="B45" s="68" t="s">
        <v>39</v>
      </c>
      <c r="C45" s="56"/>
      <c r="D45" s="56"/>
      <c r="E45" s="56"/>
      <c r="F45" s="43"/>
      <c r="G45" s="43"/>
      <c r="H45" s="43"/>
      <c r="I45" s="43"/>
      <c r="J45" s="57" t="s">
        <v>40</v>
      </c>
      <c r="K45" s="58"/>
      <c r="L45" s="59"/>
      <c r="M45" s="6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27"/>
      <c r="B46" s="69" t="s">
        <v>41</v>
      </c>
      <c r="C46" s="43"/>
      <c r="D46" s="43">
        <f>SUM(B22:D22)+J22</f>
        <v>298852.23810000002</v>
      </c>
      <c r="E46" s="70" t="s">
        <v>42</v>
      </c>
      <c r="F46" s="70"/>
      <c r="G46" s="43"/>
      <c r="H46" s="43"/>
      <c r="I46" s="43"/>
      <c r="J46" s="44" t="s">
        <v>41</v>
      </c>
      <c r="K46" s="47"/>
      <c r="L46" s="48">
        <f>SUM(B39:D39)+J39</f>
        <v>283444.25919999997</v>
      </c>
      <c r="M46" s="2" t="s">
        <v>42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27"/>
      <c r="B47" s="69" t="s">
        <v>43</v>
      </c>
      <c r="C47" s="43"/>
      <c r="D47" s="43">
        <f>F22</f>
        <v>87120</v>
      </c>
      <c r="E47" s="70" t="s">
        <v>42</v>
      </c>
      <c r="F47" s="70"/>
      <c r="G47" s="43"/>
      <c r="H47" s="43"/>
      <c r="I47" s="43"/>
      <c r="J47" s="71" t="s">
        <v>43</v>
      </c>
      <c r="K47" s="47"/>
      <c r="L47" s="48">
        <f>F39</f>
        <v>94440</v>
      </c>
      <c r="M47" s="2" t="s">
        <v>42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27"/>
      <c r="B48" s="69" t="s">
        <v>44</v>
      </c>
      <c r="C48" s="43"/>
      <c r="D48" s="43">
        <f>SUM(E22,G22,H22,I22)</f>
        <v>16864</v>
      </c>
      <c r="E48" s="70" t="s">
        <v>42</v>
      </c>
      <c r="F48" s="70"/>
      <c r="G48" s="43"/>
      <c r="H48" s="43"/>
      <c r="I48" s="43"/>
      <c r="J48" s="44" t="s">
        <v>44</v>
      </c>
      <c r="K48" s="47"/>
      <c r="L48" s="48">
        <f>SUM(E39:I39)-F39</f>
        <v>18105</v>
      </c>
      <c r="M48" s="2" t="s">
        <v>42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27"/>
      <c r="B49" s="69" t="s">
        <v>45</v>
      </c>
      <c r="C49" s="43"/>
      <c r="D49" s="94">
        <f>+K22</f>
        <v>12834.648512399999</v>
      </c>
      <c r="E49" s="70" t="s">
        <v>42</v>
      </c>
      <c r="F49" s="70"/>
      <c r="G49" s="43"/>
      <c r="H49" s="43"/>
      <c r="I49" s="43"/>
      <c r="J49" s="71" t="s">
        <v>45</v>
      </c>
      <c r="K49" s="47"/>
      <c r="L49" s="48">
        <f>+K39</f>
        <v>12412.991526000002</v>
      </c>
      <c r="M49" s="2" t="s">
        <v>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27"/>
      <c r="B50" s="72" t="s">
        <v>46</v>
      </c>
      <c r="C50" s="56"/>
      <c r="D50" s="56">
        <f>+L22</f>
        <v>472561.75589999999</v>
      </c>
      <c r="E50" s="73" t="s">
        <v>42</v>
      </c>
      <c r="F50" s="73"/>
      <c r="G50" s="43"/>
      <c r="H50" s="43"/>
      <c r="I50" s="43"/>
      <c r="J50" s="57" t="s">
        <v>46</v>
      </c>
      <c r="K50" s="58"/>
      <c r="L50" s="59">
        <f>+L39</f>
        <v>475737.6507</v>
      </c>
      <c r="M50" s="74" t="s">
        <v>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27"/>
      <c r="B51" s="69"/>
      <c r="C51" s="43"/>
      <c r="D51" s="43">
        <f>SUM(D46:D50)</f>
        <v>888232.64251239994</v>
      </c>
      <c r="E51" s="70" t="s">
        <v>42</v>
      </c>
      <c r="F51" s="70"/>
      <c r="G51" s="43"/>
      <c r="H51" s="43"/>
      <c r="I51" s="43"/>
      <c r="J51" s="75"/>
      <c r="K51" s="76"/>
      <c r="L51" s="77">
        <f>SUM(L46:L50)</f>
        <v>884139.90142600005</v>
      </c>
      <c r="M51" s="2" t="s">
        <v>42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27"/>
      <c r="B52" s="69"/>
      <c r="C52" s="43"/>
      <c r="D52" s="43"/>
      <c r="E52" s="70"/>
      <c r="F52" s="70"/>
      <c r="G52" s="43"/>
      <c r="H52" s="43"/>
      <c r="I52" s="43"/>
      <c r="J52" s="75"/>
      <c r="K52" s="76"/>
      <c r="L52" s="77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thickBot="1" x14ac:dyDescent="0.3">
      <c r="A53" s="27"/>
      <c r="B53" s="78"/>
      <c r="C53" s="78"/>
      <c r="D53" s="79" t="s">
        <v>47</v>
      </c>
      <c r="E53" s="78"/>
      <c r="F53" s="78"/>
      <c r="G53" s="78"/>
      <c r="H53" s="78"/>
      <c r="I53" s="78"/>
      <c r="J53" s="80"/>
      <c r="K53" s="47"/>
      <c r="L53" s="48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27"/>
      <c r="B54" s="81" t="s">
        <v>41</v>
      </c>
      <c r="C54" s="43"/>
      <c r="D54" s="43">
        <f>+D46+L46</f>
        <v>582296.49729999993</v>
      </c>
      <c r="E54" s="70" t="s">
        <v>42</v>
      </c>
      <c r="F54" s="70" t="s">
        <v>48</v>
      </c>
      <c r="G54" s="82">
        <f>D5</f>
        <v>0.46379999999999999</v>
      </c>
      <c r="H54" s="70" t="s">
        <v>33</v>
      </c>
      <c r="I54" s="70"/>
      <c r="J54" s="44">
        <f>D54*G54</f>
        <v>270069.11544773995</v>
      </c>
      <c r="K54" s="47">
        <f>+D54-X40</f>
        <v>0</v>
      </c>
      <c r="L54" s="48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69" t="s">
        <v>43</v>
      </c>
      <c r="C55" s="43"/>
      <c r="D55" s="43">
        <f>D47+L47</f>
        <v>181560</v>
      </c>
      <c r="E55" s="70" t="s">
        <v>42</v>
      </c>
      <c r="F55" s="70" t="s">
        <v>48</v>
      </c>
      <c r="G55" s="83">
        <f>F5/20</f>
        <v>1.2749999999999999</v>
      </c>
      <c r="H55" s="70" t="s">
        <v>33</v>
      </c>
      <c r="I55" s="70"/>
      <c r="J55" s="44">
        <f>D55*G55</f>
        <v>231488.99999999997</v>
      </c>
      <c r="K55" s="47">
        <f>+D55+D56+D57+D58-W40</f>
        <v>0</v>
      </c>
      <c r="L55" s="48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81" t="s">
        <v>44</v>
      </c>
      <c r="C56" s="43"/>
      <c r="D56" s="43">
        <f>+D48+L48</f>
        <v>34969</v>
      </c>
      <c r="E56" s="70" t="s">
        <v>42</v>
      </c>
      <c r="F56" s="70" t="s">
        <v>48</v>
      </c>
      <c r="G56" s="83">
        <f>E5/100</f>
        <v>1.585</v>
      </c>
      <c r="H56" s="70" t="s">
        <v>33</v>
      </c>
      <c r="I56" s="70"/>
      <c r="J56" s="75">
        <f>D56*G56</f>
        <v>55425.864999999998</v>
      </c>
      <c r="K56" s="47"/>
      <c r="L56" s="48"/>
      <c r="M56" s="4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27"/>
      <c r="B57" s="69" t="s">
        <v>45</v>
      </c>
      <c r="C57" s="43"/>
      <c r="D57" s="43">
        <f>+D49+L49</f>
        <v>25247.640038400001</v>
      </c>
      <c r="E57" s="70" t="s">
        <v>42</v>
      </c>
      <c r="F57" s="70" t="s">
        <v>48</v>
      </c>
      <c r="G57" s="83">
        <f>K5/1.1167</f>
        <v>1.3880182681113997</v>
      </c>
      <c r="H57" s="70" t="s">
        <v>33</v>
      </c>
      <c r="I57" s="70"/>
      <c r="J57" s="75">
        <f>+D57*G57</f>
        <v>35044.185600000004</v>
      </c>
      <c r="K57" s="47"/>
      <c r="L57" s="48"/>
      <c r="M57" s="4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thickBot="1" x14ac:dyDescent="0.3">
      <c r="A58" s="27"/>
      <c r="B58" s="79" t="s">
        <v>46</v>
      </c>
      <c r="C58" s="78"/>
      <c r="D58" s="78">
        <f>+D50+L50</f>
        <v>948299.40659999999</v>
      </c>
      <c r="E58" s="84" t="s">
        <v>42</v>
      </c>
      <c r="F58" s="84" t="s">
        <v>48</v>
      </c>
      <c r="G58" s="85">
        <f>L5/1.1167</f>
        <v>1.5671173994806125</v>
      </c>
      <c r="H58" s="84" t="s">
        <v>33</v>
      </c>
      <c r="I58" s="84"/>
      <c r="J58" s="80">
        <f>D58*G58</f>
        <v>1486096.5</v>
      </c>
      <c r="K58" s="47"/>
      <c r="L58" s="48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27"/>
      <c r="B59" s="81"/>
      <c r="C59" s="43"/>
      <c r="D59" s="43">
        <f>SUM(D54:D58)</f>
        <v>1772372.5439383998</v>
      </c>
      <c r="E59" s="70"/>
      <c r="F59" s="70"/>
      <c r="G59" s="83"/>
      <c r="H59" s="70"/>
      <c r="I59" s="70"/>
      <c r="J59" s="75">
        <f>SUM(J54:J58)</f>
        <v>2078124.6660477398</v>
      </c>
      <c r="K59" s="47"/>
      <c r="L59" s="48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27"/>
      <c r="B60" s="81"/>
      <c r="C60" s="43"/>
      <c r="D60" s="43">
        <f>+D59-W40-X40</f>
        <v>0</v>
      </c>
      <c r="E60" s="70"/>
      <c r="F60" s="70"/>
      <c r="G60" s="83"/>
      <c r="H60" s="70"/>
      <c r="I60" s="70"/>
      <c r="J60" s="75"/>
      <c r="K60" s="47"/>
      <c r="L60" s="48"/>
      <c r="M60" s="4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J61" s="86"/>
    </row>
  </sheetData>
  <pageMargins left="0.17" right="0.17" top="0.55000000000000004" bottom="0.48" header="0.3" footer="0.3"/>
  <pageSetup scale="5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B563-8578-44F4-BB30-5B70E912A553}">
  <dimension ref="A1:X60"/>
  <sheetViews>
    <sheetView workbookViewId="0">
      <selection activeCell="H5" sqref="H5"/>
    </sheetView>
  </sheetViews>
  <sheetFormatPr defaultRowHeight="15" x14ac:dyDescent="0.25"/>
  <cols>
    <col min="1" max="1" width="14" customWidth="1"/>
    <col min="2" max="2" width="10.42578125" customWidth="1"/>
    <col min="4" max="4" width="11.2851562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6.85546875" customWidth="1"/>
    <col min="10" max="10" width="13.5703125" customWidth="1"/>
    <col min="11" max="11" width="15.5703125" customWidth="1"/>
    <col min="12" max="12" width="13.42578125" customWidth="1"/>
    <col min="13" max="13" width="16" customWidth="1"/>
    <col min="14" max="14" width="14.85546875" customWidth="1"/>
    <col min="15" max="15" width="15.140625" customWidth="1"/>
    <col min="16" max="16" width="14" customWidth="1"/>
    <col min="17" max="17" width="13.85546875" customWidth="1"/>
    <col min="18" max="18" width="10.140625" customWidth="1"/>
    <col min="19" max="19" width="14" customWidth="1"/>
    <col min="20" max="20" width="8.710937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>
        <v>44743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158.5</v>
      </c>
      <c r="F5" s="18">
        <v>25.5</v>
      </c>
      <c r="G5" s="18">
        <v>95</v>
      </c>
      <c r="H5" s="87">
        <v>1.59</v>
      </c>
      <c r="I5" s="17">
        <v>18.55</v>
      </c>
      <c r="J5" s="88">
        <v>0.52</v>
      </c>
      <c r="K5" s="89">
        <v>1.55</v>
      </c>
      <c r="L5" s="90">
        <v>1.75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44743</v>
      </c>
      <c r="B7" s="28">
        <v>249</v>
      </c>
      <c r="C7" s="28"/>
      <c r="D7" s="28"/>
      <c r="E7" s="28">
        <v>10</v>
      </c>
      <c r="F7" s="29">
        <v>396</v>
      </c>
      <c r="G7" s="28"/>
      <c r="H7" s="28">
        <v>90</v>
      </c>
      <c r="I7" s="28"/>
      <c r="J7" s="13">
        <v>1988</v>
      </c>
      <c r="K7" s="6">
        <v>477.53899999999999</v>
      </c>
      <c r="L7" s="28">
        <v>31074</v>
      </c>
      <c r="M7" s="30">
        <v>23842.35</v>
      </c>
      <c r="N7" s="30">
        <v>4713.74</v>
      </c>
      <c r="O7" s="30">
        <v>56715.12</v>
      </c>
      <c r="P7" s="31">
        <v>92.76</v>
      </c>
      <c r="Q7" s="30">
        <v>70</v>
      </c>
      <c r="R7" s="30">
        <v>33.6</v>
      </c>
      <c r="S7" s="30">
        <v>5779.97</v>
      </c>
      <c r="T7" s="32">
        <f t="shared" ref="T7:T19" si="0">+B7*46.38+C7*27.83+D7*0.4638+E7*158.5+F7*25.5+G7*95+H7*1.59+I7*18.55+J7*0.52+K7*1.45+L7*1.75-M7-N7-O7-P7+Q7+R7+S7</f>
        <v>1.1550000005627226E-2</v>
      </c>
      <c r="U7" s="1"/>
      <c r="V7" s="27">
        <f>+A7</f>
        <v>44743</v>
      </c>
      <c r="W7" s="28">
        <f>SUM(E7*100+F7*20+G7*60+H7+I7*7+K7*1.1167+L7*1.1167)</f>
        <v>44243.603601299998</v>
      </c>
      <c r="X7" s="28">
        <f t="shared" ref="X7:X19" si="1">SUM(B7*100+C7*60+D7+J7*1.1167)</f>
        <v>27119.999599999999</v>
      </c>
    </row>
    <row r="8" spans="1:24" x14ac:dyDescent="0.25">
      <c r="A8" s="27">
        <v>44744</v>
      </c>
      <c r="B8" s="28">
        <v>80</v>
      </c>
      <c r="C8" s="28"/>
      <c r="D8" s="28"/>
      <c r="E8" s="28">
        <v>4</v>
      </c>
      <c r="F8" s="29">
        <v>398</v>
      </c>
      <c r="G8" s="28"/>
      <c r="H8" s="28">
        <v>80</v>
      </c>
      <c r="I8" s="28"/>
      <c r="J8" s="13"/>
      <c r="K8" s="6">
        <v>231.79</v>
      </c>
      <c r="L8" s="28"/>
      <c r="M8" s="30">
        <v>15006.62</v>
      </c>
      <c r="N8" s="30"/>
      <c r="O8" s="30">
        <v>46.38</v>
      </c>
      <c r="P8" s="31"/>
      <c r="Q8" s="30">
        <v>30</v>
      </c>
      <c r="R8" s="30"/>
      <c r="S8" s="30">
        <v>66.3</v>
      </c>
      <c r="T8" s="32">
        <f t="shared" si="0"/>
        <v>-4.5000000009878249E-3</v>
      </c>
      <c r="U8" s="1"/>
      <c r="V8" s="27">
        <f t="shared" ref="V8:V19" si="2">+A8</f>
        <v>44744</v>
      </c>
      <c r="W8" s="28">
        <f t="shared" ref="W8:W19" si="3">SUM(E8*100+F8*20+G8*60+H8+I8*7+K8*1.1167+L8*1.1167)</f>
        <v>8698.8398930000003</v>
      </c>
      <c r="X8" s="28">
        <f t="shared" si="1"/>
        <v>8000</v>
      </c>
    </row>
    <row r="9" spans="1:24" x14ac:dyDescent="0.25">
      <c r="A9" s="27">
        <v>44746</v>
      </c>
      <c r="B9" s="28">
        <v>273</v>
      </c>
      <c r="C9" s="28"/>
      <c r="D9" s="28"/>
      <c r="E9" s="28">
        <v>12</v>
      </c>
      <c r="F9" s="29">
        <v>385</v>
      </c>
      <c r="G9" s="28"/>
      <c r="H9" s="28">
        <v>30</v>
      </c>
      <c r="I9" s="28"/>
      <c r="J9" s="13">
        <v>1971</v>
      </c>
      <c r="K9" s="6">
        <v>1024.8710000000001</v>
      </c>
      <c r="L9" s="28">
        <v>40574</v>
      </c>
      <c r="M9" s="30">
        <v>19771.650000000001</v>
      </c>
      <c r="N9" s="30">
        <v>5249.25</v>
      </c>
      <c r="O9" s="30">
        <v>74147.55</v>
      </c>
      <c r="P9" s="33">
        <v>398.93</v>
      </c>
      <c r="Q9" s="30">
        <v>80</v>
      </c>
      <c r="R9" s="30">
        <v>31.5</v>
      </c>
      <c r="S9" s="30">
        <v>1511.46</v>
      </c>
      <c r="T9" s="32">
        <f t="shared" si="0"/>
        <v>2.9500000102871127E-3</v>
      </c>
      <c r="U9" s="1"/>
      <c r="V9" s="27">
        <f t="shared" si="2"/>
        <v>44746</v>
      </c>
      <c r="W9" s="28">
        <f t="shared" si="3"/>
        <v>55383.459245700004</v>
      </c>
      <c r="X9" s="28">
        <f t="shared" si="1"/>
        <v>29501.0157</v>
      </c>
    </row>
    <row r="10" spans="1:24" x14ac:dyDescent="0.25">
      <c r="A10" s="27">
        <v>44747</v>
      </c>
      <c r="B10" s="28">
        <v>236</v>
      </c>
      <c r="C10" s="28"/>
      <c r="D10" s="28"/>
      <c r="E10" s="28">
        <v>6</v>
      </c>
      <c r="F10" s="29">
        <v>327</v>
      </c>
      <c r="G10" s="28">
        <v>3</v>
      </c>
      <c r="H10" s="28">
        <v>110</v>
      </c>
      <c r="I10" s="28"/>
      <c r="J10" s="13">
        <v>5178</v>
      </c>
      <c r="K10" s="34">
        <v>923.69399999999996</v>
      </c>
      <c r="L10" s="28">
        <v>41771</v>
      </c>
      <c r="M10" s="30">
        <v>19393.54</v>
      </c>
      <c r="N10" s="30">
        <v>4812.91</v>
      </c>
      <c r="O10" s="30">
        <v>77119.09</v>
      </c>
      <c r="P10" s="31">
        <v>231.13</v>
      </c>
      <c r="Q10" s="30">
        <v>1670</v>
      </c>
      <c r="R10" s="30">
        <v>27.3</v>
      </c>
      <c r="S10" s="30">
        <v>2033.12</v>
      </c>
      <c r="T10" s="32">
        <f t="shared" si="0"/>
        <v>-3.7000000095304131E-3</v>
      </c>
      <c r="U10" s="1"/>
      <c r="V10" s="27">
        <f t="shared" si="2"/>
        <v>44747</v>
      </c>
      <c r="W10" s="28">
        <f t="shared" si="3"/>
        <v>55107.164789800001</v>
      </c>
      <c r="X10" s="28">
        <f t="shared" si="1"/>
        <v>29382.2726</v>
      </c>
    </row>
    <row r="11" spans="1:24" x14ac:dyDescent="0.25">
      <c r="A11" s="27">
        <v>44748</v>
      </c>
      <c r="B11" s="28">
        <v>200</v>
      </c>
      <c r="C11" s="28"/>
      <c r="D11" s="28"/>
      <c r="E11" s="28">
        <v>24</v>
      </c>
      <c r="F11" s="29">
        <v>292</v>
      </c>
      <c r="G11" s="28"/>
      <c r="H11" s="28"/>
      <c r="I11" s="28"/>
      <c r="J11" s="13">
        <v>3371</v>
      </c>
      <c r="K11" s="34">
        <v>918.46900000000005</v>
      </c>
      <c r="L11" s="28">
        <v>38925</v>
      </c>
      <c r="M11" s="30">
        <v>17017.330000000002</v>
      </c>
      <c r="N11" s="30">
        <v>4219.6400000000003</v>
      </c>
      <c r="O11" s="30">
        <v>71880.009999999995</v>
      </c>
      <c r="P11" s="33">
        <v>63.38</v>
      </c>
      <c r="Q11" s="30">
        <v>35</v>
      </c>
      <c r="R11" s="30">
        <v>27.3</v>
      </c>
      <c r="S11" s="30">
        <v>1388.61</v>
      </c>
      <c r="T11" s="32">
        <f t="shared" si="0"/>
        <v>5.0000003284367267E-5</v>
      </c>
      <c r="U11" s="1"/>
      <c r="V11" s="27">
        <f t="shared" si="2"/>
        <v>44748</v>
      </c>
      <c r="W11" s="28">
        <f t="shared" si="3"/>
        <v>52733.201832300001</v>
      </c>
      <c r="X11" s="28">
        <f t="shared" si="1"/>
        <v>23764.395700000001</v>
      </c>
    </row>
    <row r="12" spans="1:24" x14ac:dyDescent="0.25">
      <c r="A12" s="27">
        <v>44749</v>
      </c>
      <c r="B12" s="28">
        <v>241</v>
      </c>
      <c r="C12" s="28"/>
      <c r="D12" s="28">
        <v>20</v>
      </c>
      <c r="E12" s="28">
        <v>13</v>
      </c>
      <c r="F12" s="29">
        <v>301</v>
      </c>
      <c r="G12" s="28"/>
      <c r="H12" s="28">
        <v>5</v>
      </c>
      <c r="I12" s="28"/>
      <c r="J12" s="13">
        <v>1727</v>
      </c>
      <c r="K12" s="34">
        <v>622.36300000000006</v>
      </c>
      <c r="L12" s="28">
        <v>36451</v>
      </c>
      <c r="M12" s="30">
        <v>19305.900000000001</v>
      </c>
      <c r="N12" s="30">
        <f>4773.96-46.38</f>
        <v>4727.58</v>
      </c>
      <c r="O12" s="30">
        <f>67775.54+46.38</f>
        <v>67821.919999999998</v>
      </c>
      <c r="P12" s="31">
        <v>83.76</v>
      </c>
      <c r="Q12" s="30">
        <v>700</v>
      </c>
      <c r="R12" s="30">
        <v>33.6</v>
      </c>
      <c r="S12" s="30">
        <v>4685.03</v>
      </c>
      <c r="T12" s="32">
        <f t="shared" si="0"/>
        <v>-7.6500000095620635E-3</v>
      </c>
      <c r="U12" s="1"/>
      <c r="V12" s="27">
        <f t="shared" si="2"/>
        <v>44749</v>
      </c>
      <c r="W12" s="28">
        <f t="shared" si="3"/>
        <v>48724.824462100005</v>
      </c>
      <c r="X12" s="28">
        <f t="shared" si="1"/>
        <v>26048.5409</v>
      </c>
    </row>
    <row r="13" spans="1:24" x14ac:dyDescent="0.25">
      <c r="A13" s="27">
        <v>44750</v>
      </c>
      <c r="B13" s="28">
        <v>237</v>
      </c>
      <c r="C13" s="28"/>
      <c r="D13" s="28"/>
      <c r="E13" s="28">
        <v>15</v>
      </c>
      <c r="F13" s="29">
        <v>332</v>
      </c>
      <c r="G13" s="28"/>
      <c r="H13" s="28">
        <v>80</v>
      </c>
      <c r="I13" s="28"/>
      <c r="J13" s="13">
        <v>2355</v>
      </c>
      <c r="K13" s="34">
        <v>1394.807</v>
      </c>
      <c r="L13" s="28">
        <v>31570</v>
      </c>
      <c r="M13" s="30">
        <v>19545.79</v>
      </c>
      <c r="N13" s="30">
        <v>6402.26</v>
      </c>
      <c r="O13" s="30">
        <v>58629.279999999999</v>
      </c>
      <c r="P13" s="31">
        <v>193.32</v>
      </c>
      <c r="Q13" s="30">
        <v>1565</v>
      </c>
      <c r="R13" s="30">
        <v>33.6</v>
      </c>
      <c r="S13" s="30">
        <v>2714.72</v>
      </c>
      <c r="T13" s="32">
        <f t="shared" si="0"/>
        <v>1.4999999257270247E-4</v>
      </c>
      <c r="U13" s="1"/>
      <c r="V13" s="27">
        <f t="shared" si="2"/>
        <v>44750</v>
      </c>
      <c r="W13" s="28">
        <f t="shared" si="3"/>
        <v>45031.799976900002</v>
      </c>
      <c r="X13" s="28">
        <f t="shared" si="1"/>
        <v>26329.8285</v>
      </c>
    </row>
    <row r="14" spans="1:24" x14ac:dyDescent="0.25">
      <c r="A14" s="27">
        <v>44751</v>
      </c>
      <c r="B14" s="28">
        <v>63</v>
      </c>
      <c r="C14" s="28"/>
      <c r="D14" s="28">
        <v>20</v>
      </c>
      <c r="E14" s="28"/>
      <c r="F14" s="29">
        <v>340</v>
      </c>
      <c r="G14" s="28"/>
      <c r="H14" s="28">
        <v>100</v>
      </c>
      <c r="I14" s="28"/>
      <c r="J14" s="13"/>
      <c r="K14" s="34">
        <v>210.81200000000001</v>
      </c>
      <c r="L14" s="28">
        <v>201</v>
      </c>
      <c r="M14" s="30">
        <v>12414.02</v>
      </c>
      <c r="N14" s="30"/>
      <c r="O14" s="30">
        <f>51+351.75</f>
        <v>402.75</v>
      </c>
      <c r="P14" s="31">
        <v>3.38</v>
      </c>
      <c r="Q14" s="30">
        <v>5</v>
      </c>
      <c r="R14" s="30"/>
      <c r="S14" s="30">
        <v>397.5</v>
      </c>
      <c r="T14" s="32">
        <f t="shared" si="0"/>
        <v>-6.5999999995938197E-3</v>
      </c>
      <c r="U14" s="1"/>
      <c r="V14" s="27">
        <f t="shared" si="2"/>
        <v>44751</v>
      </c>
      <c r="W14" s="28">
        <f t="shared" si="3"/>
        <v>7359.8704603999995</v>
      </c>
      <c r="X14" s="28">
        <f t="shared" si="1"/>
        <v>6320</v>
      </c>
    </row>
    <row r="15" spans="1:24" x14ac:dyDescent="0.25">
      <c r="A15" s="27">
        <v>44753</v>
      </c>
      <c r="B15" s="28">
        <v>248</v>
      </c>
      <c r="C15" s="28"/>
      <c r="D15" s="28"/>
      <c r="E15" s="28">
        <v>18</v>
      </c>
      <c r="F15" s="29">
        <v>428</v>
      </c>
      <c r="G15" s="28"/>
      <c r="H15" s="28">
        <v>115</v>
      </c>
      <c r="I15" s="28"/>
      <c r="J15" s="13">
        <v>1804</v>
      </c>
      <c r="K15" s="34">
        <v>1458.412</v>
      </c>
      <c r="L15" s="28">
        <v>41223</v>
      </c>
      <c r="M15" s="30">
        <v>22228.41</v>
      </c>
      <c r="N15" s="30">
        <v>5812.44</v>
      </c>
      <c r="O15" s="30">
        <v>76003.97</v>
      </c>
      <c r="P15" s="31">
        <v>57.79</v>
      </c>
      <c r="Q15" s="30">
        <v>935</v>
      </c>
      <c r="R15" s="30">
        <v>29.4</v>
      </c>
      <c r="S15" s="30">
        <v>2493.09</v>
      </c>
      <c r="T15" s="32">
        <f t="shared" si="0"/>
        <v>-2.6000000038948201E-3</v>
      </c>
      <c r="U15" s="1"/>
      <c r="V15" s="27">
        <f t="shared" si="2"/>
        <v>44753</v>
      </c>
      <c r="W15" s="28">
        <f t="shared" si="3"/>
        <v>58137.3327804</v>
      </c>
      <c r="X15" s="28">
        <f t="shared" si="1"/>
        <v>26814.5268</v>
      </c>
    </row>
    <row r="16" spans="1:24" x14ac:dyDescent="0.25">
      <c r="A16" s="27">
        <v>44754</v>
      </c>
      <c r="B16" s="28">
        <v>214</v>
      </c>
      <c r="C16" s="28"/>
      <c r="D16" s="28">
        <v>20</v>
      </c>
      <c r="E16" s="28">
        <v>15</v>
      </c>
      <c r="F16" s="29">
        <v>293</v>
      </c>
      <c r="G16" s="28"/>
      <c r="H16" s="28">
        <v>120</v>
      </c>
      <c r="I16" s="28"/>
      <c r="J16" s="13">
        <v>2811</v>
      </c>
      <c r="K16" s="34">
        <v>651.41899999999998</v>
      </c>
      <c r="L16" s="28">
        <v>44527</v>
      </c>
      <c r="M16" s="30">
        <v>15687.16</v>
      </c>
      <c r="N16" s="30">
        <v>5287.15</v>
      </c>
      <c r="O16" s="30">
        <v>80816.72</v>
      </c>
      <c r="P16" s="31">
        <v>371.38</v>
      </c>
      <c r="Q16" s="30">
        <v>315</v>
      </c>
      <c r="R16" s="30">
        <v>6.3</v>
      </c>
      <c r="S16" s="30">
        <v>1538.18</v>
      </c>
      <c r="T16" s="32">
        <f t="shared" si="0"/>
        <v>-6.4499999921281415E-3</v>
      </c>
      <c r="U16" s="1"/>
      <c r="V16" s="27">
        <f t="shared" si="2"/>
        <v>44754</v>
      </c>
      <c r="W16" s="28">
        <f t="shared" si="3"/>
        <v>57930.740497300001</v>
      </c>
      <c r="X16" s="28">
        <f t="shared" si="1"/>
        <v>24559.043700000002</v>
      </c>
    </row>
    <row r="17" spans="1:24" x14ac:dyDescent="0.25">
      <c r="A17" s="27">
        <v>44755</v>
      </c>
      <c r="B17" s="28">
        <v>213</v>
      </c>
      <c r="C17" s="28"/>
      <c r="D17" s="28"/>
      <c r="E17" s="28">
        <v>14</v>
      </c>
      <c r="F17" s="29">
        <v>264</v>
      </c>
      <c r="G17" s="28"/>
      <c r="H17" s="28">
        <v>10</v>
      </c>
      <c r="I17" s="28"/>
      <c r="J17" s="13">
        <v>710</v>
      </c>
      <c r="K17" s="34">
        <v>1108.855</v>
      </c>
      <c r="L17" s="28">
        <v>40453</v>
      </c>
      <c r="M17" s="30">
        <v>14491.5</v>
      </c>
      <c r="N17" s="30">
        <v>6082</v>
      </c>
      <c r="O17" s="30">
        <v>71896.3</v>
      </c>
      <c r="P17" s="31">
        <v>204.88</v>
      </c>
      <c r="Q17" s="30">
        <v>565</v>
      </c>
      <c r="R17" s="30">
        <v>8.4</v>
      </c>
      <c r="S17" s="30">
        <v>485.65</v>
      </c>
      <c r="T17" s="32">
        <f t="shared" ref="T17" si="4">+B17*46.38+C17*27.83+D17*0.4638+E17*158.5+F17*25.5+G17*95+H17*1.59+I17*18.55+J17*0.52+K17*1.45+L17*1.75-M17-N17-O17-P17+Q17+R17+S17</f>
        <v>-2.4999999573083187E-4</v>
      </c>
      <c r="U17" s="1"/>
      <c r="V17" s="27">
        <f t="shared" ref="V17" si="5">+A17</f>
        <v>44755</v>
      </c>
      <c r="W17" s="28">
        <f t="shared" ref="W17" si="6">SUM(E17*100+F17*20+G17*60+H17+I17*7+K17*1.1167+L17*1.1167)</f>
        <v>53102.123478500005</v>
      </c>
      <c r="X17" s="28">
        <f t="shared" ref="X17" si="7">SUM(B17*100+C17*60+D17+J17*1.1167)</f>
        <v>22092.857</v>
      </c>
    </row>
    <row r="18" spans="1:24" x14ac:dyDescent="0.25">
      <c r="A18" s="27">
        <v>44756</v>
      </c>
      <c r="B18" s="28">
        <v>217</v>
      </c>
      <c r="C18" s="28"/>
      <c r="D18" s="28">
        <v>20</v>
      </c>
      <c r="E18" s="28">
        <v>12</v>
      </c>
      <c r="F18" s="29">
        <v>252</v>
      </c>
      <c r="G18" s="28">
        <v>2</v>
      </c>
      <c r="H18" s="28">
        <v>40</v>
      </c>
      <c r="I18" s="28">
        <v>1</v>
      </c>
      <c r="J18" s="13">
        <v>2186</v>
      </c>
      <c r="K18" s="34">
        <v>699.65499999999997</v>
      </c>
      <c r="L18" s="28">
        <v>30544</v>
      </c>
      <c r="M18" s="30">
        <v>14824.73</v>
      </c>
      <c r="N18" s="30">
        <v>4787.92</v>
      </c>
      <c r="O18" s="30">
        <v>56155.42</v>
      </c>
      <c r="P18" s="31">
        <v>125.67</v>
      </c>
      <c r="Q18" s="30">
        <v>900</v>
      </c>
      <c r="R18" s="30">
        <v>25.2</v>
      </c>
      <c r="S18" s="30">
        <v>691.43</v>
      </c>
      <c r="T18" s="32">
        <f t="shared" si="0"/>
        <v>-4.2499999900655894E-3</v>
      </c>
      <c r="U18" s="1"/>
      <c r="V18" s="27">
        <f t="shared" si="2"/>
        <v>44756</v>
      </c>
      <c r="W18" s="28">
        <f t="shared" si="3"/>
        <v>41296.789538500001</v>
      </c>
      <c r="X18" s="28">
        <f t="shared" si="1"/>
        <v>24161.106200000002</v>
      </c>
    </row>
    <row r="19" spans="1:24" x14ac:dyDescent="0.25">
      <c r="A19" s="35">
        <v>44757</v>
      </c>
      <c r="B19" s="36">
        <v>208</v>
      </c>
      <c r="C19" s="36"/>
      <c r="D19" s="36"/>
      <c r="E19" s="36">
        <v>20</v>
      </c>
      <c r="F19" s="37">
        <v>280</v>
      </c>
      <c r="G19" s="36"/>
      <c r="H19" s="36">
        <v>60</v>
      </c>
      <c r="I19" s="36"/>
      <c r="J19" s="38">
        <v>2047</v>
      </c>
      <c r="K19" s="39">
        <v>1055.2180000000001</v>
      </c>
      <c r="L19" s="36">
        <v>44273</v>
      </c>
      <c r="M19" s="40">
        <v>14579.27</v>
      </c>
      <c r="N19" s="40">
        <v>6190.34</v>
      </c>
      <c r="O19" s="40">
        <v>81057.740000000005</v>
      </c>
      <c r="P19" s="41">
        <v>46.38</v>
      </c>
      <c r="Q19" s="40">
        <v>700</v>
      </c>
      <c r="R19" s="40">
        <v>27.3</v>
      </c>
      <c r="S19" s="40">
        <v>1021.73</v>
      </c>
      <c r="T19" s="42">
        <f t="shared" si="0"/>
        <v>-3.9000000049327355E-3</v>
      </c>
      <c r="U19" s="16"/>
      <c r="V19" s="35">
        <f t="shared" si="2"/>
        <v>44757</v>
      </c>
      <c r="W19" s="36">
        <f t="shared" si="3"/>
        <v>58278.021040600004</v>
      </c>
      <c r="X19" s="36">
        <f t="shared" si="1"/>
        <v>23085.884900000001</v>
      </c>
    </row>
    <row r="20" spans="1:24" x14ac:dyDescent="0.25">
      <c r="A20" s="27"/>
      <c r="B20" s="43">
        <f>SUM(B7:B19)</f>
        <v>2679</v>
      </c>
      <c r="C20" s="43">
        <f t="shared" ref="C20:L20" si="8">SUM(C7:C19)</f>
        <v>0</v>
      </c>
      <c r="D20" s="43">
        <f t="shared" si="8"/>
        <v>80</v>
      </c>
      <c r="E20" s="43">
        <f t="shared" si="8"/>
        <v>163</v>
      </c>
      <c r="F20" s="43">
        <f t="shared" si="8"/>
        <v>4288</v>
      </c>
      <c r="G20" s="43">
        <f t="shared" si="8"/>
        <v>5</v>
      </c>
      <c r="H20" s="43">
        <f t="shared" si="8"/>
        <v>840</v>
      </c>
      <c r="I20" s="43">
        <f t="shared" si="8"/>
        <v>1</v>
      </c>
      <c r="J20" s="43">
        <f t="shared" si="8"/>
        <v>26148</v>
      </c>
      <c r="K20" s="94">
        <f t="shared" si="8"/>
        <v>10777.904000000002</v>
      </c>
      <c r="L20" s="43">
        <f t="shared" si="8"/>
        <v>421586</v>
      </c>
      <c r="M20" s="45">
        <f t="shared" ref="M20:T20" si="9">SUM(M7:M19)</f>
        <v>228108.27000000002</v>
      </c>
      <c r="N20" s="45">
        <f t="shared" si="9"/>
        <v>58285.23000000001</v>
      </c>
      <c r="O20" s="45">
        <f t="shared" si="9"/>
        <v>772692.25</v>
      </c>
      <c r="P20" s="45">
        <f t="shared" si="9"/>
        <v>1872.7600000000002</v>
      </c>
      <c r="Q20" s="45">
        <f t="shared" si="9"/>
        <v>7570</v>
      </c>
      <c r="R20" s="45">
        <f t="shared" si="9"/>
        <v>283.5</v>
      </c>
      <c r="S20" s="45">
        <f t="shared" si="9"/>
        <v>24806.790000000005</v>
      </c>
      <c r="T20" s="45">
        <f t="shared" si="9"/>
        <v>-2.5199999994654831E-2</v>
      </c>
      <c r="U20" s="43"/>
      <c r="V20" s="43"/>
      <c r="W20" s="43">
        <f>SUM(W7:W19)</f>
        <v>586027.77159679995</v>
      </c>
      <c r="X20" s="43">
        <f>SUM(X7:X19)</f>
        <v>297179.47159999999</v>
      </c>
    </row>
    <row r="21" spans="1:24" x14ac:dyDescent="0.25">
      <c r="A21" s="27"/>
      <c r="B21" s="43">
        <f>(B20*100)</f>
        <v>267900</v>
      </c>
      <c r="C21" s="43">
        <f>(C20*60)</f>
        <v>0</v>
      </c>
      <c r="D21" s="43">
        <f>(D20)</f>
        <v>80</v>
      </c>
      <c r="E21" s="43">
        <f>(E20*100)</f>
        <v>16300</v>
      </c>
      <c r="F21" s="46">
        <f>(F20*20)</f>
        <v>85760</v>
      </c>
      <c r="G21" s="43">
        <f>(G20*60)</f>
        <v>300</v>
      </c>
      <c r="H21" s="43">
        <f>(H20)</f>
        <v>840</v>
      </c>
      <c r="I21" s="43">
        <f>+I20*7</f>
        <v>7</v>
      </c>
      <c r="J21" s="44">
        <f>(J20*1.1167)</f>
        <v>29199.471600000001</v>
      </c>
      <c r="K21" s="47">
        <f>(K20*1.1167)</f>
        <v>12035.685396800003</v>
      </c>
      <c r="L21" s="48">
        <f>(L20*1.1167)</f>
        <v>470785.08620000002</v>
      </c>
      <c r="M21" s="49"/>
      <c r="N21" s="49"/>
      <c r="O21" s="49"/>
      <c r="P21" s="49"/>
      <c r="Q21" s="49"/>
      <c r="R21" s="49"/>
      <c r="S21" s="49"/>
      <c r="T21" s="49"/>
      <c r="U21" s="49"/>
      <c r="V21" s="50" t="s">
        <v>35</v>
      </c>
      <c r="W21" s="43">
        <f>+D46+D47+D48+D49-W20</f>
        <v>0</v>
      </c>
      <c r="X21" s="43">
        <f>+D45-X20</f>
        <v>0</v>
      </c>
    </row>
    <row r="22" spans="1:24" x14ac:dyDescent="0.25">
      <c r="A22" s="27"/>
      <c r="B22" s="43"/>
      <c r="C22" s="43"/>
      <c r="D22" s="43"/>
      <c r="E22" s="43"/>
      <c r="F22" s="46"/>
      <c r="G22" s="43"/>
      <c r="H22" s="43"/>
      <c r="I22" s="43"/>
      <c r="J22" s="44"/>
      <c r="K22" s="47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50"/>
      <c r="W22" s="43"/>
      <c r="X22" s="43"/>
    </row>
    <row r="23" spans="1:24" x14ac:dyDescent="0.25">
      <c r="A23" s="22" t="s">
        <v>26</v>
      </c>
      <c r="B23" s="22" t="s">
        <v>27</v>
      </c>
      <c r="C23" s="22" t="s">
        <v>28</v>
      </c>
      <c r="D23" s="22" t="s">
        <v>29</v>
      </c>
      <c r="E23" s="22" t="s">
        <v>27</v>
      </c>
      <c r="F23" s="22" t="s">
        <v>30</v>
      </c>
      <c r="G23" s="22" t="s">
        <v>28</v>
      </c>
      <c r="H23" s="22" t="s">
        <v>29</v>
      </c>
      <c r="I23" s="22" t="s">
        <v>31</v>
      </c>
      <c r="J23" s="23" t="s">
        <v>32</v>
      </c>
      <c r="K23" s="24" t="s">
        <v>32</v>
      </c>
      <c r="L23" s="25" t="s">
        <v>32</v>
      </c>
      <c r="M23" s="22" t="s">
        <v>33</v>
      </c>
      <c r="N23" s="22" t="s">
        <v>33</v>
      </c>
      <c r="O23" s="22" t="s">
        <v>33</v>
      </c>
      <c r="P23" s="22" t="s">
        <v>33</v>
      </c>
      <c r="Q23" s="22" t="s">
        <v>33</v>
      </c>
      <c r="R23" s="22" t="s">
        <v>33</v>
      </c>
      <c r="S23" s="22" t="s">
        <v>33</v>
      </c>
      <c r="T23" s="22" t="s">
        <v>33</v>
      </c>
      <c r="U23" s="26"/>
      <c r="V23" s="22" t="s">
        <v>26</v>
      </c>
      <c r="W23" s="22" t="s">
        <v>11</v>
      </c>
      <c r="X23" s="22" t="s">
        <v>34</v>
      </c>
    </row>
    <row r="24" spans="1:24" x14ac:dyDescent="0.25">
      <c r="A24" s="27">
        <v>44758</v>
      </c>
      <c r="B24" s="28">
        <v>45</v>
      </c>
      <c r="C24" s="28"/>
      <c r="D24" s="28"/>
      <c r="E24" s="28">
        <v>1</v>
      </c>
      <c r="F24" s="29">
        <v>280</v>
      </c>
      <c r="G24" s="28"/>
      <c r="H24" s="28">
        <v>70</v>
      </c>
      <c r="I24" s="28"/>
      <c r="J24" s="13"/>
      <c r="K24" s="34">
        <v>361.05900000000003</v>
      </c>
      <c r="L24" s="28">
        <v>1067</v>
      </c>
      <c r="M24" s="30">
        <v>10514.06</v>
      </c>
      <c r="N24" s="30"/>
      <c r="O24" s="30">
        <v>2013.64</v>
      </c>
      <c r="P24" s="33"/>
      <c r="Q24" s="30">
        <v>375</v>
      </c>
      <c r="R24" s="30"/>
      <c r="S24" s="30">
        <v>265</v>
      </c>
      <c r="T24" s="32">
        <f t="shared" ref="T24:T36" si="10">+B24*46.38+C24*27.83+D24*0.4638+E24*158.5+F24*25.5+G24*95+H24*1.59+I24*18.55+J24*0.52+K24*1.45+L24*1.75-M24-N24-O24-P24+Q24+R24+S24</f>
        <v>-1.4449999999442298E-2</v>
      </c>
      <c r="U24" s="51"/>
      <c r="V24" s="27">
        <f>+A24</f>
        <v>44758</v>
      </c>
      <c r="W24" s="28">
        <f t="shared" ref="W24:W36" si="11">SUM(E24*100+F24*20+G24*60+H24+I24*7+K24*1.1167+L24*1.1167)</f>
        <v>7364.7134852999998</v>
      </c>
      <c r="X24" s="28">
        <f t="shared" ref="X24:X36" si="12">SUM(B24*100+C24*60+D24+J24*1.1167)</f>
        <v>4500</v>
      </c>
    </row>
    <row r="25" spans="1:24" x14ac:dyDescent="0.25">
      <c r="A25" s="27">
        <v>44760</v>
      </c>
      <c r="B25" s="28">
        <v>154</v>
      </c>
      <c r="C25" s="28"/>
      <c r="D25" s="28"/>
      <c r="E25" s="28">
        <v>13</v>
      </c>
      <c r="F25" s="29">
        <v>347</v>
      </c>
      <c r="G25" s="28"/>
      <c r="H25" s="28">
        <v>40</v>
      </c>
      <c r="I25" s="28"/>
      <c r="J25" s="13">
        <v>1625</v>
      </c>
      <c r="K25" s="34">
        <v>763.20299999999997</v>
      </c>
      <c r="L25" s="52">
        <v>42211</v>
      </c>
      <c r="M25" s="30">
        <v>17310.28</v>
      </c>
      <c r="N25" s="30">
        <v>1858.32</v>
      </c>
      <c r="O25" s="30">
        <v>76511.520000000004</v>
      </c>
      <c r="P25" s="31">
        <v>46.38</v>
      </c>
      <c r="Q25" s="30">
        <v>280</v>
      </c>
      <c r="R25" s="30">
        <v>29.4</v>
      </c>
      <c r="S25" s="30">
        <v>1481.09</v>
      </c>
      <c r="T25" s="32">
        <f t="shared" si="10"/>
        <v>4.3499999876530637E-3</v>
      </c>
      <c r="U25" s="30"/>
      <c r="V25" s="27">
        <f t="shared" ref="V25:V36" si="13">+A25</f>
        <v>44760</v>
      </c>
      <c r="W25" s="28">
        <f t="shared" si="11"/>
        <v>56269.292490100001</v>
      </c>
      <c r="X25" s="28">
        <f t="shared" si="12"/>
        <v>17214.637500000001</v>
      </c>
    </row>
    <row r="26" spans="1:24" x14ac:dyDescent="0.25">
      <c r="A26" s="27">
        <v>44761</v>
      </c>
      <c r="B26" s="28">
        <v>240</v>
      </c>
      <c r="C26" s="28"/>
      <c r="D26" s="28"/>
      <c r="E26" s="28">
        <v>12</v>
      </c>
      <c r="F26" s="29">
        <v>287</v>
      </c>
      <c r="G26" s="28"/>
      <c r="H26" s="28">
        <v>10</v>
      </c>
      <c r="I26" s="28"/>
      <c r="J26" s="13">
        <f>3291+201</f>
        <v>3492</v>
      </c>
      <c r="K26" s="34">
        <v>783.97199999999998</v>
      </c>
      <c r="L26" s="52">
        <f>40996-201</f>
        <v>40795</v>
      </c>
      <c r="M26" s="30">
        <v>19442.63</v>
      </c>
      <c r="N26" s="30">
        <v>5374.72</v>
      </c>
      <c r="O26" s="30">
        <f>74669.38+201*0.52-201*1.75</f>
        <v>74422.150000000009</v>
      </c>
      <c r="P26" s="31">
        <v>106.86</v>
      </c>
      <c r="Q26" s="30">
        <v>1675</v>
      </c>
      <c r="R26" s="30">
        <v>31.5</v>
      </c>
      <c r="S26" s="30">
        <v>2928.41</v>
      </c>
      <c r="T26" s="32">
        <f t="shared" si="10"/>
        <v>-6.0000001667503966E-4</v>
      </c>
      <c r="U26" s="30"/>
      <c r="V26" s="27">
        <f t="shared" si="13"/>
        <v>44761</v>
      </c>
      <c r="W26" s="28">
        <f t="shared" si="11"/>
        <v>53381.238032399997</v>
      </c>
      <c r="X26" s="28">
        <f t="shared" si="12"/>
        <v>27899.5164</v>
      </c>
    </row>
    <row r="27" spans="1:24" x14ac:dyDescent="0.25">
      <c r="A27" s="27">
        <v>44762</v>
      </c>
      <c r="B27" s="28">
        <v>225</v>
      </c>
      <c r="C27" s="28"/>
      <c r="D27" s="28"/>
      <c r="E27" s="28">
        <v>14</v>
      </c>
      <c r="F27" s="29">
        <v>288</v>
      </c>
      <c r="G27" s="28"/>
      <c r="H27" s="28">
        <v>5</v>
      </c>
      <c r="I27" s="28"/>
      <c r="J27" s="13">
        <v>2055</v>
      </c>
      <c r="K27" s="6">
        <v>1362.96</v>
      </c>
      <c r="L27" s="52">
        <v>36425</v>
      </c>
      <c r="M27" s="30">
        <v>16528.95</v>
      </c>
      <c r="N27" s="30">
        <v>4825.6400000000003</v>
      </c>
      <c r="O27" s="30">
        <f>68409.63+127.5</f>
        <v>68537.13</v>
      </c>
      <c r="P27" s="33">
        <v>170.77</v>
      </c>
      <c r="Q27" s="30">
        <v>1205</v>
      </c>
      <c r="R27" s="30">
        <v>39.9</v>
      </c>
      <c r="S27" s="30">
        <v>2022.5</v>
      </c>
      <c r="T27" s="32">
        <f t="shared" si="10"/>
        <v>2.0000000031359377E-3</v>
      </c>
      <c r="U27" s="30"/>
      <c r="V27" s="27">
        <f t="shared" si="13"/>
        <v>44762</v>
      </c>
      <c r="W27" s="28">
        <f t="shared" si="11"/>
        <v>49362.814932000001</v>
      </c>
      <c r="X27" s="28">
        <f t="shared" si="12"/>
        <v>24794.818500000001</v>
      </c>
    </row>
    <row r="28" spans="1:24" x14ac:dyDescent="0.25">
      <c r="A28" s="27">
        <v>44763</v>
      </c>
      <c r="B28" s="28">
        <v>168</v>
      </c>
      <c r="C28" s="28"/>
      <c r="D28" s="28"/>
      <c r="E28" s="28">
        <v>12</v>
      </c>
      <c r="F28" s="29">
        <v>263</v>
      </c>
      <c r="G28" s="28"/>
      <c r="H28" s="28">
        <v>25</v>
      </c>
      <c r="I28" s="28"/>
      <c r="J28" s="13">
        <v>1654</v>
      </c>
      <c r="K28" s="34">
        <v>860.17</v>
      </c>
      <c r="L28" s="52">
        <v>33600</v>
      </c>
      <c r="M28" s="30">
        <v>16285.24</v>
      </c>
      <c r="N28" s="30">
        <v>3150.66</v>
      </c>
      <c r="O28" s="30">
        <v>60848.95</v>
      </c>
      <c r="P28" s="33">
        <v>23.19</v>
      </c>
      <c r="Q28" s="30">
        <v>955</v>
      </c>
      <c r="R28" s="30">
        <v>6.3</v>
      </c>
      <c r="S28" s="30">
        <v>1999.32</v>
      </c>
      <c r="T28" s="32">
        <f t="shared" si="10"/>
        <v>-3.4999999847968866E-3</v>
      </c>
      <c r="U28" s="30"/>
      <c r="V28" s="27">
        <f t="shared" si="13"/>
        <v>44763</v>
      </c>
      <c r="W28" s="28">
        <f t="shared" si="11"/>
        <v>44966.671839000002</v>
      </c>
      <c r="X28" s="28">
        <f t="shared" si="12"/>
        <v>18647.021799999999</v>
      </c>
    </row>
    <row r="29" spans="1:24" x14ac:dyDescent="0.25">
      <c r="A29" s="27">
        <v>44764</v>
      </c>
      <c r="B29" s="28">
        <v>235</v>
      </c>
      <c r="C29" s="28"/>
      <c r="D29" s="28"/>
      <c r="E29" s="28">
        <v>18</v>
      </c>
      <c r="F29" s="29">
        <v>349</v>
      </c>
      <c r="G29" s="28">
        <v>2</v>
      </c>
      <c r="H29" s="28">
        <v>30</v>
      </c>
      <c r="I29" s="28"/>
      <c r="J29" s="13">
        <v>418</v>
      </c>
      <c r="K29" s="34">
        <v>958.20899999999995</v>
      </c>
      <c r="L29" s="52">
        <v>34770</v>
      </c>
      <c r="M29" s="30">
        <v>18927.2</v>
      </c>
      <c r="N29" s="30">
        <v>4352.96</v>
      </c>
      <c r="O29" s="30">
        <v>63540.88</v>
      </c>
      <c r="P29" s="33">
        <v>185.52</v>
      </c>
      <c r="Q29" s="30">
        <v>590</v>
      </c>
      <c r="R29" s="30">
        <v>8.4</v>
      </c>
      <c r="S29" s="30">
        <v>1064.3900000000001</v>
      </c>
      <c r="T29" s="32">
        <f t="shared" si="10"/>
        <v>-6.9499999847266736E-3</v>
      </c>
      <c r="U29" s="30"/>
      <c r="V29" s="27">
        <f t="shared" si="13"/>
        <v>44764</v>
      </c>
      <c r="W29" s="28">
        <f t="shared" si="11"/>
        <v>48827.690990299998</v>
      </c>
      <c r="X29" s="28">
        <f t="shared" si="12"/>
        <v>23966.780599999998</v>
      </c>
    </row>
    <row r="30" spans="1:24" x14ac:dyDescent="0.25">
      <c r="A30" s="27">
        <v>44765</v>
      </c>
      <c r="B30" s="28">
        <v>56</v>
      </c>
      <c r="C30" s="28"/>
      <c r="D30" s="28"/>
      <c r="E30" s="28">
        <v>1</v>
      </c>
      <c r="F30" s="29">
        <v>383</v>
      </c>
      <c r="G30" s="28"/>
      <c r="H30" s="28">
        <v>70</v>
      </c>
      <c r="I30" s="28"/>
      <c r="J30" s="13"/>
      <c r="K30" s="34">
        <v>443.38400000000001</v>
      </c>
      <c r="L30" s="52"/>
      <c r="M30" s="30">
        <v>13225.96</v>
      </c>
      <c r="N30" s="30"/>
      <c r="O30" s="30">
        <v>303.02999999999997</v>
      </c>
      <c r="P30" s="33"/>
      <c r="Q30" s="30">
        <v>120</v>
      </c>
      <c r="R30" s="30"/>
      <c r="S30" s="30">
        <v>132.5</v>
      </c>
      <c r="T30" s="32">
        <f t="shared" si="10"/>
        <v>-3.1999999985146133E-3</v>
      </c>
      <c r="U30" s="30"/>
      <c r="V30" s="27">
        <f t="shared" si="13"/>
        <v>44765</v>
      </c>
      <c r="W30" s="28">
        <f t="shared" si="11"/>
        <v>8325.1269128000004</v>
      </c>
      <c r="X30" s="28">
        <f t="shared" si="12"/>
        <v>5600</v>
      </c>
    </row>
    <row r="31" spans="1:24" x14ac:dyDescent="0.25">
      <c r="A31" s="27">
        <v>44767</v>
      </c>
      <c r="B31" s="28">
        <v>192</v>
      </c>
      <c r="C31" s="28"/>
      <c r="D31" s="28"/>
      <c r="E31" s="28">
        <v>17</v>
      </c>
      <c r="F31" s="29">
        <v>394</v>
      </c>
      <c r="G31" s="28">
        <v>2</v>
      </c>
      <c r="H31" s="28">
        <v>10</v>
      </c>
      <c r="I31" s="28"/>
      <c r="J31" s="13">
        <v>1875</v>
      </c>
      <c r="K31" s="34">
        <v>1580.287</v>
      </c>
      <c r="L31" s="52">
        <v>44689</v>
      </c>
      <c r="M31" s="30">
        <v>19123.73</v>
      </c>
      <c r="N31" s="30">
        <v>4746.5</v>
      </c>
      <c r="O31" s="30">
        <v>81170.75</v>
      </c>
      <c r="P31" s="33">
        <f>295.28+30.54</f>
        <v>325.82</v>
      </c>
      <c r="Q31" s="30">
        <v>710</v>
      </c>
      <c r="R31" s="30">
        <v>33.6</v>
      </c>
      <c r="S31" s="30">
        <v>1298.67</v>
      </c>
      <c r="T31" s="32">
        <f t="shared" si="10"/>
        <v>-3.8499999907344318E-3</v>
      </c>
      <c r="U31" s="30"/>
      <c r="V31" s="27">
        <f t="shared" si="13"/>
        <v>44767</v>
      </c>
      <c r="W31" s="28">
        <f t="shared" si="11"/>
        <v>61378.912792899995</v>
      </c>
      <c r="X31" s="28">
        <f t="shared" si="12"/>
        <v>21293.8125</v>
      </c>
    </row>
    <row r="32" spans="1:24" x14ac:dyDescent="0.25">
      <c r="A32" s="27">
        <v>44768</v>
      </c>
      <c r="B32" s="28">
        <v>235</v>
      </c>
      <c r="C32" s="28"/>
      <c r="D32" s="28"/>
      <c r="E32" s="28">
        <v>14</v>
      </c>
      <c r="F32" s="7">
        <v>318</v>
      </c>
      <c r="G32" s="28"/>
      <c r="H32" s="28">
        <v>77</v>
      </c>
      <c r="I32" s="28"/>
      <c r="J32" s="13">
        <v>1494</v>
      </c>
      <c r="K32" s="34">
        <v>805.80499999999995</v>
      </c>
      <c r="L32" s="52">
        <v>46517</v>
      </c>
      <c r="M32" s="30">
        <v>20860.48</v>
      </c>
      <c r="N32" s="30">
        <v>4959.66</v>
      </c>
      <c r="O32" s="30">
        <v>84624.63</v>
      </c>
      <c r="P32" s="33">
        <v>218.39</v>
      </c>
      <c r="Q32" s="30">
        <v>840</v>
      </c>
      <c r="R32" s="30">
        <v>25.2</v>
      </c>
      <c r="S32" s="30">
        <v>5098.18</v>
      </c>
      <c r="T32" s="32">
        <f t="shared" si="10"/>
        <v>-2.7500000051077222E-3</v>
      </c>
      <c r="U32" s="30"/>
      <c r="V32" s="27">
        <f t="shared" si="13"/>
        <v>44768</v>
      </c>
      <c r="W32" s="28">
        <f t="shared" si="11"/>
        <v>60682.3763435</v>
      </c>
      <c r="X32" s="28">
        <f t="shared" si="12"/>
        <v>25168.3498</v>
      </c>
    </row>
    <row r="33" spans="1:24" x14ac:dyDescent="0.25">
      <c r="A33" s="27">
        <v>44769</v>
      </c>
      <c r="B33" s="28">
        <v>223</v>
      </c>
      <c r="C33" s="28"/>
      <c r="D33" s="28"/>
      <c r="E33" s="28">
        <v>19</v>
      </c>
      <c r="F33" s="29">
        <v>274</v>
      </c>
      <c r="G33" s="28"/>
      <c r="H33" s="28">
        <v>210</v>
      </c>
      <c r="I33" s="28"/>
      <c r="J33" s="13">
        <v>2934</v>
      </c>
      <c r="K33" s="34">
        <v>1020.004</v>
      </c>
      <c r="L33" s="52">
        <v>43395</v>
      </c>
      <c r="M33" s="30">
        <v>16711.97</v>
      </c>
      <c r="N33" s="30">
        <v>5088.78</v>
      </c>
      <c r="O33" s="30">
        <v>79590.81</v>
      </c>
      <c r="P33" s="33">
        <v>167.64</v>
      </c>
      <c r="Q33" s="30">
        <v>960</v>
      </c>
      <c r="R33" s="30">
        <v>42</v>
      </c>
      <c r="S33" s="30">
        <v>936.13</v>
      </c>
      <c r="T33" s="32">
        <f t="shared" si="10"/>
        <v>5.7999999938829205E-3</v>
      </c>
      <c r="U33" s="30"/>
      <c r="V33" s="27">
        <f t="shared" si="13"/>
        <v>44769</v>
      </c>
      <c r="W33" s="28">
        <f t="shared" si="11"/>
        <v>57188.234966799995</v>
      </c>
      <c r="X33" s="28">
        <f t="shared" si="12"/>
        <v>25576.397799999999</v>
      </c>
    </row>
    <row r="34" spans="1:24" x14ac:dyDescent="0.25">
      <c r="A34" s="27">
        <v>44770</v>
      </c>
      <c r="B34" s="28">
        <v>167</v>
      </c>
      <c r="C34" s="28"/>
      <c r="D34" s="28"/>
      <c r="E34" s="28">
        <v>10</v>
      </c>
      <c r="F34" s="29">
        <v>273</v>
      </c>
      <c r="G34" s="28"/>
      <c r="H34" s="28">
        <v>10</v>
      </c>
      <c r="I34" s="28"/>
      <c r="J34" s="98">
        <v>1818</v>
      </c>
      <c r="K34" s="99">
        <v>1122.2940000000001</v>
      </c>
      <c r="L34" s="100">
        <v>34680</v>
      </c>
      <c r="M34" s="30">
        <v>15046.05</v>
      </c>
      <c r="N34" s="30">
        <v>3249.84</v>
      </c>
      <c r="O34" s="30">
        <v>63367.95</v>
      </c>
      <c r="P34" s="101">
        <v>204.88</v>
      </c>
      <c r="Q34" s="30">
        <v>915</v>
      </c>
      <c r="R34" s="30">
        <v>2.1</v>
      </c>
      <c r="S34" s="30">
        <v>1381.08</v>
      </c>
      <c r="T34" s="32">
        <f t="shared" si="10"/>
        <v>6.3000000050124072E-3</v>
      </c>
      <c r="U34" s="30"/>
      <c r="V34" s="27">
        <f t="shared" si="13"/>
        <v>44770</v>
      </c>
      <c r="W34" s="28">
        <f t="shared" si="11"/>
        <v>46450.421709800001</v>
      </c>
      <c r="X34" s="28">
        <f t="shared" si="12"/>
        <v>18730.160599999999</v>
      </c>
    </row>
    <row r="35" spans="1:24" x14ac:dyDescent="0.25">
      <c r="A35" s="27">
        <v>44771</v>
      </c>
      <c r="B35" s="28">
        <v>203</v>
      </c>
      <c r="C35" s="28"/>
      <c r="D35" s="28"/>
      <c r="E35" s="28">
        <v>18</v>
      </c>
      <c r="F35" s="29">
        <v>390</v>
      </c>
      <c r="G35" s="28"/>
      <c r="H35" s="28">
        <v>70</v>
      </c>
      <c r="I35" s="28"/>
      <c r="J35" s="98">
        <v>4770</v>
      </c>
      <c r="K35" s="99">
        <v>1278.098</v>
      </c>
      <c r="L35" s="100">
        <v>32164</v>
      </c>
      <c r="M35" s="30">
        <v>20056.68</v>
      </c>
      <c r="N35" s="30">
        <v>4522.28</v>
      </c>
      <c r="O35" s="30">
        <v>60312.84</v>
      </c>
      <c r="P35" s="101">
        <v>92.76</v>
      </c>
      <c r="Q35" s="30">
        <v>585</v>
      </c>
      <c r="R35" s="30">
        <v>23.1</v>
      </c>
      <c r="S35" s="30">
        <v>1431.38</v>
      </c>
      <c r="T35" s="32">
        <f t="shared" si="10"/>
        <v>2.1000000040203304E-3</v>
      </c>
      <c r="U35" s="30"/>
      <c r="V35" s="27">
        <f t="shared" si="13"/>
        <v>44771</v>
      </c>
      <c r="W35" s="28">
        <f>SUM(E35*100+F35*20+G35*60+H35+I35*7+K35*1.1167+L35*1.1167)</f>
        <v>47014.790836600005</v>
      </c>
      <c r="X35" s="28">
        <f>SUM(B35*100+C35*60+D35+J35*1.1167)</f>
        <v>25626.659</v>
      </c>
    </row>
    <row r="36" spans="1:24" x14ac:dyDescent="0.25">
      <c r="A36" s="35">
        <v>44772</v>
      </c>
      <c r="B36" s="36">
        <v>56</v>
      </c>
      <c r="C36" s="36"/>
      <c r="D36" s="36">
        <v>20</v>
      </c>
      <c r="E36" s="36">
        <v>5</v>
      </c>
      <c r="F36" s="37">
        <v>366</v>
      </c>
      <c r="G36" s="36"/>
      <c r="H36" s="36">
        <v>55</v>
      </c>
      <c r="I36" s="36"/>
      <c r="J36" s="38"/>
      <c r="K36" s="39">
        <v>59.932000000000002</v>
      </c>
      <c r="L36" s="53"/>
      <c r="M36" s="40">
        <v>12851.03</v>
      </c>
      <c r="N36" s="40"/>
      <c r="O36" s="40">
        <v>317</v>
      </c>
      <c r="P36" s="54">
        <v>3.38</v>
      </c>
      <c r="Q36" s="40">
        <v>265</v>
      </c>
      <c r="R36" s="40"/>
      <c r="S36" s="40"/>
      <c r="T36" s="42">
        <f t="shared" si="10"/>
        <v>-2.5999999987789124E-3</v>
      </c>
      <c r="U36" s="40"/>
      <c r="V36" s="35">
        <f t="shared" si="13"/>
        <v>44772</v>
      </c>
      <c r="W36" s="36">
        <f t="shared" si="11"/>
        <v>7941.9260643999996</v>
      </c>
      <c r="X36" s="36">
        <f t="shared" si="12"/>
        <v>5620</v>
      </c>
    </row>
    <row r="37" spans="1:24" x14ac:dyDescent="0.25">
      <c r="A37" s="50" t="s">
        <v>36</v>
      </c>
      <c r="B37" s="43">
        <f>SUM(B24:B36)</f>
        <v>2199</v>
      </c>
      <c r="C37" s="43">
        <f t="shared" ref="C37:L37" si="14">SUM(C24:C36)</f>
        <v>0</v>
      </c>
      <c r="D37" s="43">
        <f t="shared" si="14"/>
        <v>20</v>
      </c>
      <c r="E37" s="43">
        <f t="shared" si="14"/>
        <v>154</v>
      </c>
      <c r="F37" s="43">
        <f t="shared" si="14"/>
        <v>4212</v>
      </c>
      <c r="G37" s="43">
        <f t="shared" si="14"/>
        <v>4</v>
      </c>
      <c r="H37" s="43">
        <f t="shared" si="14"/>
        <v>682</v>
      </c>
      <c r="I37" s="43">
        <f t="shared" si="14"/>
        <v>0</v>
      </c>
      <c r="J37" s="43">
        <f t="shared" si="14"/>
        <v>22135</v>
      </c>
      <c r="K37" s="94">
        <f t="shared" si="14"/>
        <v>11399.377</v>
      </c>
      <c r="L37" s="43">
        <f t="shared" si="14"/>
        <v>390313</v>
      </c>
      <c r="M37" s="43">
        <f>SUM(M24:M36)</f>
        <v>216884.26</v>
      </c>
      <c r="N37" s="43">
        <f>SUM(N24:N36)</f>
        <v>42129.36</v>
      </c>
      <c r="O37" s="43">
        <f>SUM(O24:O36)</f>
        <v>715561.27999999991</v>
      </c>
      <c r="P37" s="43">
        <f>SUM(P24:P36)</f>
        <v>1545.59</v>
      </c>
      <c r="Q37" s="43">
        <f>SUM(Q24:Q36)</f>
        <v>9475</v>
      </c>
      <c r="R37" s="43">
        <f t="shared" ref="R37:T37" si="15">SUM(R24:R35)</f>
        <v>241.49999999999997</v>
      </c>
      <c r="S37" s="43">
        <f t="shared" si="15"/>
        <v>20038.649999999998</v>
      </c>
      <c r="T37" s="43">
        <f t="shared" si="15"/>
        <v>-1.4749999986293005E-2</v>
      </c>
      <c r="U37" s="43"/>
      <c r="V37" s="43"/>
      <c r="W37" s="43">
        <f>SUM(W24:W36)</f>
        <v>549154.2113959</v>
      </c>
      <c r="X37" s="43">
        <f>SUM(X24:X36)</f>
        <v>244638.1545</v>
      </c>
    </row>
    <row r="38" spans="1:24" x14ac:dyDescent="0.25">
      <c r="A38" s="55" t="s">
        <v>37</v>
      </c>
      <c r="B38" s="56">
        <f>(B37*100)</f>
        <v>219900</v>
      </c>
      <c r="C38" s="56">
        <f>(C37*60)</f>
        <v>0</v>
      </c>
      <c r="D38" s="56">
        <f>(D37)</f>
        <v>20</v>
      </c>
      <c r="E38" s="56">
        <f>(E37*100)</f>
        <v>15400</v>
      </c>
      <c r="F38" s="56">
        <f>(F37*20)</f>
        <v>84240</v>
      </c>
      <c r="G38" s="56">
        <f>(G37*60)</f>
        <v>240</v>
      </c>
      <c r="H38" s="56">
        <f>(H37)</f>
        <v>682</v>
      </c>
      <c r="I38" s="56">
        <f>+I37*7</f>
        <v>0</v>
      </c>
      <c r="J38" s="57">
        <f>(J37*1.1167)</f>
        <v>24718.154500000001</v>
      </c>
      <c r="K38" s="58">
        <f>(K37*1.1167)</f>
        <v>12729.684295900001</v>
      </c>
      <c r="L38" s="59">
        <f>(L37*1.1167)</f>
        <v>435862.52710000001</v>
      </c>
      <c r="M38" s="60"/>
      <c r="N38" s="60"/>
      <c r="O38" s="60"/>
      <c r="P38" s="60"/>
      <c r="Q38" s="60"/>
      <c r="R38" s="60"/>
      <c r="S38" s="60"/>
      <c r="T38" s="60"/>
      <c r="U38" s="56"/>
      <c r="V38" s="61" t="s">
        <v>35</v>
      </c>
      <c r="W38" s="56">
        <f>+L46+L47+L48+L49-W37</f>
        <v>0</v>
      </c>
      <c r="X38" s="56">
        <f>+L45-X37</f>
        <v>0</v>
      </c>
    </row>
    <row r="39" spans="1:24" ht="26.25" x14ac:dyDescent="0.25">
      <c r="A39" s="62" t="s">
        <v>38</v>
      </c>
      <c r="B39" s="43">
        <f t="shared" ref="B39:T39" si="16">(B20+B37)</f>
        <v>4878</v>
      </c>
      <c r="C39" s="43">
        <f t="shared" si="16"/>
        <v>0</v>
      </c>
      <c r="D39" s="43">
        <f t="shared" si="16"/>
        <v>100</v>
      </c>
      <c r="E39" s="43">
        <f t="shared" si="16"/>
        <v>317</v>
      </c>
      <c r="F39" s="43">
        <f t="shared" si="16"/>
        <v>8500</v>
      </c>
      <c r="G39" s="43">
        <f t="shared" si="16"/>
        <v>9</v>
      </c>
      <c r="H39" s="43">
        <f t="shared" si="16"/>
        <v>1522</v>
      </c>
      <c r="I39" s="43">
        <f t="shared" si="16"/>
        <v>1</v>
      </c>
      <c r="J39" s="43">
        <f t="shared" si="16"/>
        <v>48283</v>
      </c>
      <c r="K39" s="45">
        <f t="shared" si="16"/>
        <v>22177.281000000003</v>
      </c>
      <c r="L39" s="43">
        <f t="shared" si="16"/>
        <v>811899</v>
      </c>
      <c r="M39" s="43">
        <f t="shared" si="16"/>
        <v>444992.53</v>
      </c>
      <c r="N39" s="43">
        <f t="shared" si="16"/>
        <v>100414.59000000001</v>
      </c>
      <c r="O39" s="43">
        <f t="shared" si="16"/>
        <v>1488253.5299999998</v>
      </c>
      <c r="P39" s="43">
        <f t="shared" si="16"/>
        <v>3418.3500000000004</v>
      </c>
      <c r="Q39" s="43">
        <f t="shared" si="16"/>
        <v>17045</v>
      </c>
      <c r="R39" s="43">
        <f t="shared" si="16"/>
        <v>525</v>
      </c>
      <c r="S39" s="43">
        <f t="shared" si="16"/>
        <v>44845.440000000002</v>
      </c>
      <c r="T39" s="43">
        <f t="shared" si="16"/>
        <v>-3.9949999980947837E-2</v>
      </c>
      <c r="U39" s="43"/>
      <c r="V39" s="43"/>
      <c r="W39" s="43">
        <f>(W20+W37)</f>
        <v>1135181.9829926998</v>
      </c>
      <c r="X39" s="43">
        <f>(X20+X37)</f>
        <v>541817.62609999999</v>
      </c>
    </row>
    <row r="40" spans="1:24" x14ac:dyDescent="0.25">
      <c r="A40" s="55" t="s">
        <v>37</v>
      </c>
      <c r="B40" s="56">
        <f>(B39*100)</f>
        <v>487800</v>
      </c>
      <c r="C40" s="56">
        <f>(C39*60)</f>
        <v>0</v>
      </c>
      <c r="D40" s="56">
        <f>(D39)</f>
        <v>100</v>
      </c>
      <c r="E40" s="56">
        <f>(E39*100)</f>
        <v>31700</v>
      </c>
      <c r="F40" s="63">
        <f>(F39*20)</f>
        <v>170000</v>
      </c>
      <c r="G40" s="56">
        <f>(G39*60)</f>
        <v>540</v>
      </c>
      <c r="H40" s="56">
        <f>(H39)</f>
        <v>1522</v>
      </c>
      <c r="I40" s="56">
        <f>+I39*7</f>
        <v>7</v>
      </c>
      <c r="J40" s="57">
        <f>(J39*1.1167)</f>
        <v>53917.626100000001</v>
      </c>
      <c r="K40" s="58">
        <f>(K39*1.1167)</f>
        <v>24765.369692700002</v>
      </c>
      <c r="L40" s="59">
        <f>(L39*1.1167)</f>
        <v>906647.61329999997</v>
      </c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56">
        <f>+D54+D55+D56+D57-W39</f>
        <v>0</v>
      </c>
      <c r="X40" s="56">
        <f>+D53-X39</f>
        <v>0</v>
      </c>
    </row>
    <row r="41" spans="1:24" x14ac:dyDescent="0.25">
      <c r="A41" s="51"/>
      <c r="B41" s="51"/>
      <c r="C41" s="51"/>
      <c r="D41" s="51"/>
      <c r="E41" s="51"/>
      <c r="F41" s="64"/>
      <c r="G41" s="51"/>
      <c r="H41" s="51"/>
      <c r="I41" s="51"/>
      <c r="J41" s="13"/>
      <c r="K41" s="65"/>
      <c r="L41" s="66"/>
      <c r="M41" s="67"/>
      <c r="N41" s="67"/>
      <c r="O41" s="67"/>
      <c r="P41" s="67"/>
      <c r="Q41" s="67"/>
      <c r="R41" s="67"/>
      <c r="S41" s="67"/>
      <c r="T41" s="67"/>
      <c r="U41" s="1"/>
      <c r="V41" s="1"/>
      <c r="W41" s="1"/>
      <c r="X41" s="1"/>
    </row>
    <row r="42" spans="1:24" x14ac:dyDescent="0.25">
      <c r="A42" s="51"/>
      <c r="B42" s="51"/>
      <c r="C42" s="51"/>
      <c r="D42" s="51"/>
      <c r="E42" s="51"/>
      <c r="F42" s="64"/>
      <c r="G42" s="51"/>
      <c r="H42" s="51"/>
      <c r="I42" s="51"/>
      <c r="J42" s="13"/>
      <c r="K42" s="65"/>
      <c r="L42" s="66"/>
      <c r="M42" s="67"/>
      <c r="N42" s="67"/>
      <c r="O42" s="67"/>
      <c r="P42" s="67"/>
      <c r="Q42" s="67"/>
      <c r="R42" s="67"/>
      <c r="S42" s="67"/>
      <c r="T42" s="67"/>
      <c r="U42" s="1"/>
      <c r="V42" s="1"/>
      <c r="W42" s="1"/>
      <c r="X42" s="1"/>
    </row>
    <row r="43" spans="1:24" x14ac:dyDescent="0.25">
      <c r="A43" s="51"/>
      <c r="B43" s="51"/>
      <c r="C43" s="51"/>
      <c r="D43" s="51"/>
      <c r="E43" s="51"/>
      <c r="F43" s="64"/>
      <c r="G43" s="51"/>
      <c r="H43" s="51"/>
      <c r="I43" s="51"/>
      <c r="J43" s="13"/>
      <c r="K43" s="65"/>
      <c r="L43" s="66"/>
      <c r="M43" s="67"/>
      <c r="N43" s="67"/>
      <c r="O43" s="67"/>
      <c r="P43" s="67"/>
      <c r="Q43" s="67"/>
      <c r="R43" s="67"/>
      <c r="S43" s="67"/>
      <c r="T43" s="67"/>
      <c r="U43" s="1"/>
      <c r="V43" s="1"/>
      <c r="W43" s="1"/>
      <c r="X43" s="1"/>
    </row>
    <row r="44" spans="1:24" x14ac:dyDescent="0.25">
      <c r="A44" s="27"/>
      <c r="B44" s="68" t="s">
        <v>39</v>
      </c>
      <c r="C44" s="56"/>
      <c r="D44" s="56"/>
      <c r="E44" s="56"/>
      <c r="F44" s="43"/>
      <c r="G44" s="43"/>
      <c r="H44" s="43"/>
      <c r="I44" s="43"/>
      <c r="J44" s="57" t="s">
        <v>40</v>
      </c>
      <c r="K44" s="58"/>
      <c r="L44" s="59"/>
      <c r="M44" s="60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27"/>
      <c r="B45" s="69" t="s">
        <v>41</v>
      </c>
      <c r="C45" s="43"/>
      <c r="D45" s="43">
        <f>SUM(B21:D21)+J21</f>
        <v>297179.47159999999</v>
      </c>
      <c r="E45" s="70" t="s">
        <v>42</v>
      </c>
      <c r="F45" s="70"/>
      <c r="G45" s="43"/>
      <c r="H45" s="43"/>
      <c r="I45" s="43"/>
      <c r="J45" s="44" t="s">
        <v>41</v>
      </c>
      <c r="K45" s="47"/>
      <c r="L45" s="48">
        <f>SUM(B38:D38)+J38</f>
        <v>244638.1545</v>
      </c>
      <c r="M45" s="2" t="s">
        <v>42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27"/>
      <c r="B46" s="69" t="s">
        <v>43</v>
      </c>
      <c r="C46" s="43"/>
      <c r="D46" s="43">
        <f>F21</f>
        <v>85760</v>
      </c>
      <c r="E46" s="70" t="s">
        <v>42</v>
      </c>
      <c r="F46" s="70"/>
      <c r="G46" s="43"/>
      <c r="H46" s="43"/>
      <c r="I46" s="43"/>
      <c r="J46" s="71" t="s">
        <v>43</v>
      </c>
      <c r="K46" s="47"/>
      <c r="L46" s="48">
        <f>F38</f>
        <v>84240</v>
      </c>
      <c r="M46" s="2" t="s">
        <v>42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27"/>
      <c r="B47" s="69" t="s">
        <v>44</v>
      </c>
      <c r="C47" s="43"/>
      <c r="D47" s="43">
        <f>SUM(E21,G21,H21,I21)</f>
        <v>17447</v>
      </c>
      <c r="E47" s="70" t="s">
        <v>42</v>
      </c>
      <c r="F47" s="70"/>
      <c r="G47" s="43"/>
      <c r="H47" s="43"/>
      <c r="I47" s="43"/>
      <c r="J47" s="44" t="s">
        <v>44</v>
      </c>
      <c r="K47" s="47"/>
      <c r="L47" s="48">
        <f>SUM(E38:I38)-F38</f>
        <v>16322</v>
      </c>
      <c r="M47" s="2" t="s">
        <v>42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27"/>
      <c r="B48" s="69" t="s">
        <v>45</v>
      </c>
      <c r="C48" s="43"/>
      <c r="D48" s="94">
        <f>+K21</f>
        <v>12035.685396800003</v>
      </c>
      <c r="E48" s="70" t="s">
        <v>42</v>
      </c>
      <c r="F48" s="70"/>
      <c r="G48" s="43"/>
      <c r="H48" s="43"/>
      <c r="I48" s="43"/>
      <c r="J48" s="71" t="s">
        <v>45</v>
      </c>
      <c r="K48" s="47"/>
      <c r="L48" s="48">
        <f>+K38</f>
        <v>12729.684295900001</v>
      </c>
      <c r="M48" s="2" t="s">
        <v>42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27"/>
      <c r="B49" s="72" t="s">
        <v>46</v>
      </c>
      <c r="C49" s="56"/>
      <c r="D49" s="56">
        <f>+L21</f>
        <v>470785.08620000002</v>
      </c>
      <c r="E49" s="73" t="s">
        <v>42</v>
      </c>
      <c r="F49" s="73"/>
      <c r="G49" s="43"/>
      <c r="H49" s="43"/>
      <c r="I49" s="43"/>
      <c r="J49" s="57" t="s">
        <v>46</v>
      </c>
      <c r="K49" s="58"/>
      <c r="L49" s="59">
        <f>+L38</f>
        <v>435862.52710000001</v>
      </c>
      <c r="M49" s="74" t="s">
        <v>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27"/>
      <c r="B50" s="69"/>
      <c r="C50" s="43"/>
      <c r="D50" s="43">
        <f>SUM(D45:D49)</f>
        <v>883207.2431968</v>
      </c>
      <c r="E50" s="70" t="s">
        <v>42</v>
      </c>
      <c r="F50" s="70"/>
      <c r="G50" s="43"/>
      <c r="H50" s="43"/>
      <c r="I50" s="43"/>
      <c r="J50" s="75"/>
      <c r="K50" s="76"/>
      <c r="L50" s="77">
        <f>SUM(L45:L49)</f>
        <v>793792.36589589994</v>
      </c>
      <c r="M50" s="2" t="s">
        <v>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27"/>
      <c r="B51" s="69"/>
      <c r="C51" s="43"/>
      <c r="D51" s="43"/>
      <c r="E51" s="70"/>
      <c r="F51" s="70"/>
      <c r="G51" s="43"/>
      <c r="H51" s="43"/>
      <c r="I51" s="43"/>
      <c r="J51" s="75"/>
      <c r="K51" s="76"/>
      <c r="L51" s="77"/>
      <c r="M51" s="2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thickBot="1" x14ac:dyDescent="0.3">
      <c r="A52" s="27"/>
      <c r="B52" s="78"/>
      <c r="C52" s="78"/>
      <c r="D52" s="79" t="s">
        <v>47</v>
      </c>
      <c r="E52" s="78"/>
      <c r="F52" s="78"/>
      <c r="G52" s="78"/>
      <c r="H52" s="78"/>
      <c r="I52" s="78"/>
      <c r="J52" s="80"/>
      <c r="K52" s="47"/>
      <c r="L52" s="48"/>
      <c r="M52" s="4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27"/>
      <c r="B53" s="81" t="s">
        <v>41</v>
      </c>
      <c r="C53" s="43"/>
      <c r="D53" s="43">
        <f>+D45+L45</f>
        <v>541817.62609999999</v>
      </c>
      <c r="E53" s="70" t="s">
        <v>42</v>
      </c>
      <c r="F53" s="70" t="s">
        <v>48</v>
      </c>
      <c r="G53" s="82">
        <f>D5</f>
        <v>0.46379999999999999</v>
      </c>
      <c r="H53" s="70" t="s">
        <v>33</v>
      </c>
      <c r="I53" s="70"/>
      <c r="J53" s="44">
        <f>D53*G53</f>
        <v>251295.01498517999</v>
      </c>
      <c r="K53" s="47">
        <f>+D53-X39</f>
        <v>0</v>
      </c>
      <c r="L53" s="48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27"/>
      <c r="B54" s="69" t="s">
        <v>43</v>
      </c>
      <c r="C54" s="43"/>
      <c r="D54" s="43">
        <f>D46+L46</f>
        <v>170000</v>
      </c>
      <c r="E54" s="70" t="s">
        <v>42</v>
      </c>
      <c r="F54" s="70" t="s">
        <v>48</v>
      </c>
      <c r="G54" s="83">
        <f>F5/20</f>
        <v>1.2749999999999999</v>
      </c>
      <c r="H54" s="70" t="s">
        <v>33</v>
      </c>
      <c r="I54" s="70"/>
      <c r="J54" s="44">
        <f>D54*G54</f>
        <v>216749.99999999997</v>
      </c>
      <c r="K54" s="47">
        <f>+D54+D55+D56+D57-W39</f>
        <v>0</v>
      </c>
      <c r="L54" s="48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81" t="s">
        <v>44</v>
      </c>
      <c r="C55" s="43"/>
      <c r="D55" s="43">
        <f>+D47+L47</f>
        <v>33769</v>
      </c>
      <c r="E55" s="70" t="s">
        <v>42</v>
      </c>
      <c r="F55" s="70" t="s">
        <v>48</v>
      </c>
      <c r="G55" s="83">
        <f>E5/100</f>
        <v>1.585</v>
      </c>
      <c r="H55" s="70" t="s">
        <v>33</v>
      </c>
      <c r="I55" s="70"/>
      <c r="J55" s="75">
        <f>D55*G55</f>
        <v>53523.864999999998</v>
      </c>
      <c r="K55" s="47"/>
      <c r="L55" s="48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69" t="s">
        <v>45</v>
      </c>
      <c r="C56" s="43"/>
      <c r="D56" s="43">
        <f>+D48+L48</f>
        <v>24765.369692700006</v>
      </c>
      <c r="E56" s="70" t="s">
        <v>42</v>
      </c>
      <c r="F56" s="70" t="s">
        <v>48</v>
      </c>
      <c r="G56" s="83">
        <f>K5/1.1167</f>
        <v>1.3880182681113997</v>
      </c>
      <c r="H56" s="70" t="s">
        <v>33</v>
      </c>
      <c r="I56" s="70"/>
      <c r="J56" s="75">
        <f>+D56*G56</f>
        <v>34374.785550000008</v>
      </c>
      <c r="K56" s="47"/>
      <c r="L56" s="48"/>
      <c r="M56" s="4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thickBot="1" x14ac:dyDescent="0.3">
      <c r="A57" s="27"/>
      <c r="B57" s="79" t="s">
        <v>46</v>
      </c>
      <c r="C57" s="78"/>
      <c r="D57" s="78">
        <f>+D49+L49</f>
        <v>906647.61330000008</v>
      </c>
      <c r="E57" s="84" t="s">
        <v>42</v>
      </c>
      <c r="F57" s="84" t="s">
        <v>48</v>
      </c>
      <c r="G57" s="85">
        <f>L5/1.1167</f>
        <v>1.5671173994806125</v>
      </c>
      <c r="H57" s="84" t="s">
        <v>33</v>
      </c>
      <c r="I57" s="84"/>
      <c r="J57" s="80">
        <f>D57*G57</f>
        <v>1420823.25</v>
      </c>
      <c r="K57" s="47"/>
      <c r="L57" s="48"/>
      <c r="M57" s="4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27"/>
      <c r="B58" s="81"/>
      <c r="C58" s="43"/>
      <c r="D58" s="43">
        <f>SUM(D53:D57)</f>
        <v>1676999.6090927001</v>
      </c>
      <c r="E58" s="70"/>
      <c r="F58" s="70"/>
      <c r="G58" s="83"/>
      <c r="H58" s="70"/>
      <c r="I58" s="70"/>
      <c r="J58" s="75">
        <f>SUM(J53:J57)</f>
        <v>1976766.9155351799</v>
      </c>
      <c r="K58" s="47"/>
      <c r="L58" s="48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27"/>
      <c r="B59" s="81"/>
      <c r="C59" s="43"/>
      <c r="D59" s="43">
        <f>+D58-W39-X39</f>
        <v>0</v>
      </c>
      <c r="E59" s="70"/>
      <c r="F59" s="70"/>
      <c r="G59" s="83"/>
      <c r="H59" s="70"/>
      <c r="I59" s="70"/>
      <c r="J59" s="75"/>
      <c r="K59" s="47"/>
      <c r="L59" s="48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J60" s="86"/>
    </row>
  </sheetData>
  <pageMargins left="0.2" right="0.17" top="0.49" bottom="0.33" header="0.24" footer="0.17"/>
  <pageSetup scale="5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32-40E0-46C6-B247-ED4C4ACC41BB}">
  <dimension ref="A1:X61"/>
  <sheetViews>
    <sheetView workbookViewId="0">
      <selection activeCell="K6" sqref="K6"/>
    </sheetView>
  </sheetViews>
  <sheetFormatPr defaultRowHeight="15" x14ac:dyDescent="0.25"/>
  <cols>
    <col min="1" max="1" width="14" customWidth="1"/>
    <col min="2" max="2" width="10.42578125" customWidth="1"/>
    <col min="4" max="4" width="11.2851562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6.85546875" customWidth="1"/>
    <col min="10" max="10" width="13.5703125" customWidth="1"/>
    <col min="11" max="11" width="15.5703125" customWidth="1"/>
    <col min="12" max="12" width="13.42578125" customWidth="1"/>
    <col min="13" max="13" width="16" customWidth="1"/>
    <col min="14" max="14" width="14.85546875" customWidth="1"/>
    <col min="15" max="15" width="15.140625" customWidth="1"/>
    <col min="16" max="16" width="14" customWidth="1"/>
    <col min="17" max="17" width="13.85546875" customWidth="1"/>
    <col min="18" max="18" width="10.140625" customWidth="1"/>
    <col min="19" max="19" width="14" customWidth="1"/>
    <col min="20" max="20" width="8.710937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>
        <v>44774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158.5</v>
      </c>
      <c r="F5" s="18">
        <v>25.5</v>
      </c>
      <c r="G5" s="18">
        <v>95</v>
      </c>
      <c r="H5" s="87">
        <v>1.59</v>
      </c>
      <c r="I5" s="17">
        <v>18.55</v>
      </c>
      <c r="J5" s="88">
        <v>0.52</v>
      </c>
      <c r="K5" s="89">
        <v>1.55</v>
      </c>
      <c r="L5" s="90">
        <v>1.75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44774</v>
      </c>
      <c r="B7" s="28">
        <v>188</v>
      </c>
      <c r="C7" s="28"/>
      <c r="D7" s="28"/>
      <c r="E7" s="28">
        <v>8</v>
      </c>
      <c r="F7" s="29">
        <v>367</v>
      </c>
      <c r="G7" s="28"/>
      <c r="H7" s="28">
        <v>30</v>
      </c>
      <c r="I7" s="28"/>
      <c r="J7" s="13">
        <v>961</v>
      </c>
      <c r="K7" s="6">
        <v>1006.928</v>
      </c>
      <c r="L7" s="28">
        <v>49811</v>
      </c>
      <c r="M7" s="30">
        <v>16944.78</v>
      </c>
      <c r="N7" s="30">
        <v>3516.22</v>
      </c>
      <c r="O7" s="30">
        <v>89089.72</v>
      </c>
      <c r="P7" s="31">
        <v>233.46</v>
      </c>
      <c r="Q7" s="30">
        <v>560</v>
      </c>
      <c r="R7" s="30">
        <v>18.899999999999999</v>
      </c>
      <c r="S7" s="30">
        <v>682.62</v>
      </c>
      <c r="T7" s="32">
        <f t="shared" ref="T7:T19" si="0">+B7*46.38+C7*27.83+D7*0.4638+E7*158.5+F7*25.5+G7*95+H7*1.59+I7*18.55+J7*0.52+K7*1.45+L7*1.75-M7-N7-O7-P7+Q7+R7+S7</f>
        <v>-4.4000000029882358E-3</v>
      </c>
      <c r="U7" s="1"/>
      <c r="V7" s="27">
        <f>+A7</f>
        <v>44774</v>
      </c>
      <c r="W7" s="28">
        <f>SUM(E7*100+F7*20+G7*60+H7+I7*7+K7*1.1167+L7*1.1167)</f>
        <v>64918.380197600003</v>
      </c>
      <c r="X7" s="28">
        <f t="shared" ref="X7:X19" si="1">SUM(B7*100+C7*60+D7+J7*1.1167)</f>
        <v>19873.148700000002</v>
      </c>
    </row>
    <row r="8" spans="1:24" x14ac:dyDescent="0.25">
      <c r="A8" s="27">
        <v>44775</v>
      </c>
      <c r="B8" s="28">
        <v>240</v>
      </c>
      <c r="C8" s="28"/>
      <c r="D8" s="28"/>
      <c r="E8" s="28">
        <v>10</v>
      </c>
      <c r="F8" s="29">
        <v>329</v>
      </c>
      <c r="G8" s="28">
        <v>3</v>
      </c>
      <c r="H8" s="28">
        <v>15</v>
      </c>
      <c r="I8" s="28"/>
      <c r="J8" s="13">
        <v>300</v>
      </c>
      <c r="K8" s="6">
        <v>739.23699999999997</v>
      </c>
      <c r="L8" s="28">
        <v>41776</v>
      </c>
      <c r="M8" s="30">
        <v>18965.25</v>
      </c>
      <c r="N8" s="30">
        <v>4736.78</v>
      </c>
      <c r="O8" s="30">
        <v>73836.39</v>
      </c>
      <c r="P8" s="31">
        <v>278.27999999999997</v>
      </c>
      <c r="Q8" s="30">
        <v>945</v>
      </c>
      <c r="R8" s="30">
        <v>74.2</v>
      </c>
      <c r="S8" s="30">
        <v>1047.06</v>
      </c>
      <c r="T8" s="32">
        <f t="shared" si="0"/>
        <v>3.6500000030628144E-3</v>
      </c>
      <c r="U8" s="1"/>
      <c r="V8" s="27">
        <f t="shared" ref="V8:V19" si="2">+A8</f>
        <v>44775</v>
      </c>
      <c r="W8" s="28">
        <f t="shared" ref="W8:W19" si="3">SUM(E8*100+F8*20+G8*60+H8+I8*7+K8*1.1167+L8*1.1167)</f>
        <v>55251.765157900001</v>
      </c>
      <c r="X8" s="28">
        <f t="shared" si="1"/>
        <v>24335.01</v>
      </c>
    </row>
    <row r="9" spans="1:24" x14ac:dyDescent="0.25">
      <c r="A9" s="27">
        <v>44776</v>
      </c>
      <c r="B9" s="28">
        <v>234</v>
      </c>
      <c r="C9" s="28"/>
      <c r="D9" s="28"/>
      <c r="E9" s="28">
        <v>15</v>
      </c>
      <c r="F9" s="29">
        <v>308</v>
      </c>
      <c r="G9" s="28"/>
      <c r="H9" s="28"/>
      <c r="I9" s="28"/>
      <c r="J9" s="13">
        <f>2476+1042</f>
        <v>3518</v>
      </c>
      <c r="K9" s="6">
        <v>442.601</v>
      </c>
      <c r="L9" s="28">
        <f>38629-1042</f>
        <v>37587</v>
      </c>
      <c r="M9" s="30">
        <v>17046.490000000002</v>
      </c>
      <c r="N9" s="30">
        <v>4381.42</v>
      </c>
      <c r="O9" s="30">
        <f>70837.85+(1042*0.52)-(1042*1.75)</f>
        <v>69556.19</v>
      </c>
      <c r="P9" s="33">
        <v>109.76</v>
      </c>
      <c r="Q9" s="30">
        <v>950</v>
      </c>
      <c r="R9" s="30">
        <v>33.6</v>
      </c>
      <c r="S9" s="30">
        <v>777.45</v>
      </c>
      <c r="T9" s="32">
        <f t="shared" si="0"/>
        <v>-8.5500000067213477E-3</v>
      </c>
      <c r="U9" s="1"/>
      <c r="V9" s="27">
        <f t="shared" si="2"/>
        <v>44776</v>
      </c>
      <c r="W9" s="28">
        <f t="shared" si="3"/>
        <v>50127.655436699999</v>
      </c>
      <c r="X9" s="28">
        <f t="shared" si="1"/>
        <v>27328.550599999999</v>
      </c>
    </row>
    <row r="10" spans="1:24" x14ac:dyDescent="0.25">
      <c r="A10" s="27">
        <v>44777</v>
      </c>
      <c r="B10" s="28">
        <v>221</v>
      </c>
      <c r="C10" s="28"/>
      <c r="D10" s="28">
        <v>20</v>
      </c>
      <c r="E10" s="28">
        <v>14</v>
      </c>
      <c r="F10" s="29">
        <v>282</v>
      </c>
      <c r="G10" s="28"/>
      <c r="H10" s="28"/>
      <c r="I10" s="28"/>
      <c r="J10" s="13">
        <v>1195</v>
      </c>
      <c r="K10" s="34">
        <v>1266.3520000000001</v>
      </c>
      <c r="L10" s="28">
        <v>34777</v>
      </c>
      <c r="M10" s="30">
        <v>16670.03</v>
      </c>
      <c r="N10" s="30">
        <v>3776.78</v>
      </c>
      <c r="O10" s="30">
        <v>63375.29</v>
      </c>
      <c r="P10" s="31">
        <v>142.52000000000001</v>
      </c>
      <c r="Q10" s="30">
        <v>305</v>
      </c>
      <c r="R10" s="30">
        <v>16.8</v>
      </c>
      <c r="S10" s="30">
        <v>656.2</v>
      </c>
      <c r="T10" s="32">
        <f t="shared" si="0"/>
        <v>-3.5999999995510734E-3</v>
      </c>
      <c r="U10" s="1"/>
      <c r="V10" s="27">
        <f t="shared" si="2"/>
        <v>44777</v>
      </c>
      <c r="W10" s="28">
        <f t="shared" si="3"/>
        <v>47289.611178399995</v>
      </c>
      <c r="X10" s="28">
        <f t="shared" si="1"/>
        <v>23454.4565</v>
      </c>
    </row>
    <row r="11" spans="1:24" x14ac:dyDescent="0.25">
      <c r="A11" s="27">
        <v>44778</v>
      </c>
      <c r="B11" s="28">
        <v>216</v>
      </c>
      <c r="C11" s="28"/>
      <c r="D11" s="28"/>
      <c r="E11" s="28">
        <v>18</v>
      </c>
      <c r="F11" s="29">
        <v>398</v>
      </c>
      <c r="G11" s="28"/>
      <c r="H11" s="28">
        <v>40</v>
      </c>
      <c r="I11" s="28"/>
      <c r="J11" s="13">
        <v>859</v>
      </c>
      <c r="K11" s="34">
        <v>942.61300000000006</v>
      </c>
      <c r="L11" s="28">
        <v>35173</v>
      </c>
      <c r="M11" s="30">
        <v>19701.71</v>
      </c>
      <c r="N11" s="30">
        <v>4811.82</v>
      </c>
      <c r="O11" s="30">
        <v>63663.15</v>
      </c>
      <c r="P11" s="33">
        <v>46.38</v>
      </c>
      <c r="Q11" s="30">
        <v>160</v>
      </c>
      <c r="R11" s="30">
        <v>12.6</v>
      </c>
      <c r="S11" s="30">
        <v>1600.56</v>
      </c>
      <c r="T11" s="32">
        <f t="shared" si="0"/>
        <v>-1.1499999955049134E-3</v>
      </c>
      <c r="U11" s="1"/>
      <c r="V11" s="27">
        <f t="shared" si="2"/>
        <v>44778</v>
      </c>
      <c r="W11" s="28">
        <f t="shared" si="3"/>
        <v>50130.305037099999</v>
      </c>
      <c r="X11" s="28">
        <f t="shared" si="1"/>
        <v>22559.245299999999</v>
      </c>
    </row>
    <row r="12" spans="1:24" x14ac:dyDescent="0.25">
      <c r="A12" s="27">
        <v>44779</v>
      </c>
      <c r="B12" s="28">
        <v>58</v>
      </c>
      <c r="C12" s="28"/>
      <c r="D12" s="28"/>
      <c r="E12" s="28">
        <v>1</v>
      </c>
      <c r="F12" s="29">
        <v>378</v>
      </c>
      <c r="G12" s="28"/>
      <c r="H12" s="28">
        <v>80</v>
      </c>
      <c r="I12" s="28"/>
      <c r="J12" s="13">
        <v>1394</v>
      </c>
      <c r="K12" s="34">
        <v>703.57399999999996</v>
      </c>
      <c r="L12" s="28">
        <v>1360</v>
      </c>
      <c r="M12" s="30">
        <v>14005</v>
      </c>
      <c r="N12" s="30"/>
      <c r="O12" s="30">
        <v>3171.2</v>
      </c>
      <c r="P12" s="31"/>
      <c r="Q12" s="30">
        <v>20</v>
      </c>
      <c r="R12" s="30">
        <v>18.899999999999999</v>
      </c>
      <c r="S12" s="30">
        <v>397.5</v>
      </c>
      <c r="T12" s="32">
        <f t="shared" si="0"/>
        <v>2.3000000031743184E-3</v>
      </c>
      <c r="U12" s="1"/>
      <c r="V12" s="27">
        <f t="shared" si="2"/>
        <v>44779</v>
      </c>
      <c r="W12" s="28">
        <f t="shared" si="3"/>
        <v>10044.3930858</v>
      </c>
      <c r="X12" s="28">
        <f t="shared" si="1"/>
        <v>7356.6797999999999</v>
      </c>
    </row>
    <row r="13" spans="1:24" x14ac:dyDescent="0.25">
      <c r="A13" s="27">
        <v>44781</v>
      </c>
      <c r="B13" s="28">
        <v>198</v>
      </c>
      <c r="C13" s="28"/>
      <c r="D13" s="28"/>
      <c r="E13" s="28">
        <v>9</v>
      </c>
      <c r="F13" s="29">
        <v>380</v>
      </c>
      <c r="G13" s="28"/>
      <c r="H13" s="28">
        <v>5</v>
      </c>
      <c r="I13" s="28"/>
      <c r="J13" s="13">
        <v>1266</v>
      </c>
      <c r="K13" s="34">
        <v>924.38099999999997</v>
      </c>
      <c r="L13" s="28">
        <v>42663</v>
      </c>
      <c r="M13" s="30">
        <v>19359.37</v>
      </c>
      <c r="N13" s="30">
        <v>4554.34</v>
      </c>
      <c r="O13" s="30">
        <v>78241.440000000002</v>
      </c>
      <c r="P13" s="31">
        <v>101.61</v>
      </c>
      <c r="Q13" s="30">
        <v>2170</v>
      </c>
      <c r="R13" s="30">
        <v>25.2</v>
      </c>
      <c r="S13" s="30">
        <v>3094.94</v>
      </c>
      <c r="T13" s="32">
        <f t="shared" si="0"/>
        <v>-7.5499999934436346E-3</v>
      </c>
      <c r="U13" s="1"/>
      <c r="V13" s="27">
        <f t="shared" si="2"/>
        <v>44781</v>
      </c>
      <c r="W13" s="28">
        <f t="shared" si="3"/>
        <v>57179.028362700003</v>
      </c>
      <c r="X13" s="28">
        <f t="shared" si="1"/>
        <v>21213.742200000001</v>
      </c>
    </row>
    <row r="14" spans="1:24" x14ac:dyDescent="0.25">
      <c r="A14" s="27">
        <v>44782</v>
      </c>
      <c r="B14" s="28">
        <v>232</v>
      </c>
      <c r="C14" s="28"/>
      <c r="D14" s="28"/>
      <c r="E14" s="28">
        <v>15</v>
      </c>
      <c r="F14" s="29">
        <v>300</v>
      </c>
      <c r="G14" s="28"/>
      <c r="H14" s="28">
        <v>120</v>
      </c>
      <c r="I14" s="28"/>
      <c r="J14" s="13">
        <v>2773</v>
      </c>
      <c r="K14" s="34">
        <v>742.18600000000004</v>
      </c>
      <c r="L14" s="28">
        <f>41681+400</f>
        <v>42081</v>
      </c>
      <c r="M14" s="30">
        <v>17820.97</v>
      </c>
      <c r="N14" s="30">
        <v>5460.4</v>
      </c>
      <c r="O14" s="30">
        <f>75462.57+700+178.5</f>
        <v>76341.070000000007</v>
      </c>
      <c r="P14" s="31">
        <v>126.76</v>
      </c>
      <c r="Q14" s="30">
        <v>1445</v>
      </c>
      <c r="R14" s="30">
        <v>2.1</v>
      </c>
      <c r="S14" s="30">
        <v>1163.76</v>
      </c>
      <c r="T14" s="32">
        <f t="shared" si="0"/>
        <v>-3.000000058364094E-4</v>
      </c>
      <c r="U14" s="1"/>
      <c r="V14" s="27">
        <f t="shared" si="2"/>
        <v>44782</v>
      </c>
      <c r="W14" s="28">
        <f t="shared" si="3"/>
        <v>55440.651806200003</v>
      </c>
      <c r="X14" s="28">
        <f t="shared" si="1"/>
        <v>26296.609100000001</v>
      </c>
    </row>
    <row r="15" spans="1:24" x14ac:dyDescent="0.25">
      <c r="A15" s="27">
        <v>44783</v>
      </c>
      <c r="B15" s="28">
        <v>234</v>
      </c>
      <c r="C15" s="28"/>
      <c r="D15" s="28"/>
      <c r="E15" s="28">
        <v>15</v>
      </c>
      <c r="F15" s="29">
        <v>247</v>
      </c>
      <c r="G15" s="28"/>
      <c r="H15" s="28">
        <v>20</v>
      </c>
      <c r="I15" s="28"/>
      <c r="J15" s="13">
        <v>5753</v>
      </c>
      <c r="K15" s="34">
        <v>833.84100000000001</v>
      </c>
      <c r="L15" s="28">
        <v>41452</v>
      </c>
      <c r="M15" s="30">
        <v>17124.91</v>
      </c>
      <c r="N15" s="30">
        <v>5731.3</v>
      </c>
      <c r="O15" s="30">
        <v>76375.02</v>
      </c>
      <c r="P15" s="31">
        <v>98.76</v>
      </c>
      <c r="Q15" s="30">
        <v>1150</v>
      </c>
      <c r="R15" s="30">
        <v>46.2</v>
      </c>
      <c r="S15" s="30">
        <v>1831.43</v>
      </c>
      <c r="T15" s="32">
        <f t="shared" si="0"/>
        <v>-1.0550000016337435E-2</v>
      </c>
      <c r="U15" s="1"/>
      <c r="V15" s="27">
        <f t="shared" si="2"/>
        <v>44783</v>
      </c>
      <c r="W15" s="28">
        <f t="shared" si="3"/>
        <v>53680.598644700003</v>
      </c>
      <c r="X15" s="28">
        <f t="shared" si="1"/>
        <v>29824.375100000001</v>
      </c>
    </row>
    <row r="16" spans="1:24" x14ac:dyDescent="0.25">
      <c r="A16" s="27">
        <v>44784</v>
      </c>
      <c r="B16" s="28">
        <v>229</v>
      </c>
      <c r="C16" s="28"/>
      <c r="D16" s="28"/>
      <c r="E16" s="28">
        <v>12</v>
      </c>
      <c r="F16" s="29">
        <v>241</v>
      </c>
      <c r="G16" s="28"/>
      <c r="H16" s="28">
        <v>239</v>
      </c>
      <c r="I16" s="28"/>
      <c r="J16" s="13">
        <v>1598</v>
      </c>
      <c r="K16" s="34">
        <v>582.57600000000002</v>
      </c>
      <c r="L16" s="28">
        <v>32048</v>
      </c>
      <c r="M16" s="30">
        <v>15498.66</v>
      </c>
      <c r="N16" s="30">
        <v>4253.79</v>
      </c>
      <c r="O16" s="30">
        <v>59411.55</v>
      </c>
      <c r="P16" s="31">
        <v>139.13999999999999</v>
      </c>
      <c r="Q16" s="30">
        <v>1080</v>
      </c>
      <c r="R16" s="30">
        <v>25.2</v>
      </c>
      <c r="S16" s="30">
        <v>1389.71</v>
      </c>
      <c r="T16" s="32">
        <f t="shared" si="0"/>
        <v>-4.8000000062984327E-3</v>
      </c>
      <c r="U16" s="1"/>
      <c r="V16" s="27">
        <f t="shared" si="2"/>
        <v>44784</v>
      </c>
      <c r="W16" s="28">
        <f t="shared" si="3"/>
        <v>42697.564219200001</v>
      </c>
      <c r="X16" s="28">
        <f t="shared" si="1"/>
        <v>24684.4866</v>
      </c>
    </row>
    <row r="17" spans="1:24" x14ac:dyDescent="0.25">
      <c r="A17" s="27">
        <v>44785</v>
      </c>
      <c r="B17" s="28">
        <v>214</v>
      </c>
      <c r="C17" s="28"/>
      <c r="D17" s="28"/>
      <c r="E17" s="28">
        <v>21</v>
      </c>
      <c r="F17" s="29">
        <v>305</v>
      </c>
      <c r="G17" s="28">
        <v>3</v>
      </c>
      <c r="H17" s="28">
        <v>40</v>
      </c>
      <c r="I17" s="28"/>
      <c r="J17" s="13">
        <v>1855</v>
      </c>
      <c r="K17" s="34">
        <v>1250.058</v>
      </c>
      <c r="L17" s="28">
        <v>36799</v>
      </c>
      <c r="M17" s="30">
        <v>16541</v>
      </c>
      <c r="N17" s="30">
        <v>5765.98</v>
      </c>
      <c r="O17" s="30">
        <v>67805.59</v>
      </c>
      <c r="P17" s="31">
        <v>115.95</v>
      </c>
      <c r="Q17" s="30">
        <v>405</v>
      </c>
      <c r="R17" s="30">
        <v>33.6</v>
      </c>
      <c r="S17" s="30">
        <v>1234.56</v>
      </c>
      <c r="T17" s="32">
        <f t="shared" si="0"/>
        <v>-5.8999999957904947E-3</v>
      </c>
      <c r="U17" s="1"/>
      <c r="V17" s="27">
        <f t="shared" si="2"/>
        <v>44785</v>
      </c>
      <c r="W17" s="28">
        <f t="shared" ref="W17" si="4">SUM(E17*100+F17*20+G17*60+H17+I17*7+K17*1.1167+L17*1.1167)</f>
        <v>50909.3830686</v>
      </c>
      <c r="X17" s="28">
        <f t="shared" si="1"/>
        <v>23471.478500000001</v>
      </c>
    </row>
    <row r="18" spans="1:24" x14ac:dyDescent="0.25">
      <c r="A18" s="27">
        <v>44786</v>
      </c>
      <c r="B18" s="28">
        <v>44</v>
      </c>
      <c r="C18" s="28"/>
      <c r="D18" s="28"/>
      <c r="E18" s="28">
        <v>3</v>
      </c>
      <c r="F18" s="29">
        <v>295</v>
      </c>
      <c r="G18" s="28"/>
      <c r="H18" s="28">
        <v>55</v>
      </c>
      <c r="I18" s="28"/>
      <c r="J18" s="13"/>
      <c r="K18" s="34">
        <v>375.55099999999999</v>
      </c>
      <c r="L18" s="28">
        <v>6100</v>
      </c>
      <c r="M18" s="30">
        <v>10556.45</v>
      </c>
      <c r="N18" s="30"/>
      <c r="O18" s="30">
        <v>11002.04</v>
      </c>
      <c r="P18" s="31">
        <v>46.38</v>
      </c>
      <c r="Q18" s="30">
        <v>140</v>
      </c>
      <c r="R18" s="30"/>
      <c r="S18" s="30">
        <v>119.14</v>
      </c>
      <c r="T18" s="32">
        <f t="shared" si="0"/>
        <v>-1.1049999999372062E-2</v>
      </c>
      <c r="U18" s="1"/>
      <c r="V18" s="27">
        <f t="shared" si="2"/>
        <v>44786</v>
      </c>
      <c r="W18" s="28">
        <f t="shared" si="3"/>
        <v>13486.247801699999</v>
      </c>
      <c r="X18" s="28">
        <f t="shared" si="1"/>
        <v>4400</v>
      </c>
    </row>
    <row r="19" spans="1:24" x14ac:dyDescent="0.25">
      <c r="A19" s="35">
        <v>44788</v>
      </c>
      <c r="B19" s="36">
        <v>182</v>
      </c>
      <c r="C19" s="36"/>
      <c r="D19" s="36">
        <v>20</v>
      </c>
      <c r="E19" s="36">
        <v>6</v>
      </c>
      <c r="F19" s="37">
        <v>360</v>
      </c>
      <c r="G19" s="36"/>
      <c r="H19" s="36">
        <v>5</v>
      </c>
      <c r="I19" s="36"/>
      <c r="J19" s="38">
        <v>1522</v>
      </c>
      <c r="K19" s="39">
        <v>1172.105</v>
      </c>
      <c r="L19" s="36">
        <f>47037-1</f>
        <v>47036</v>
      </c>
      <c r="M19" s="40">
        <v>16603.86</v>
      </c>
      <c r="N19" s="40">
        <v>2439.9499999999998</v>
      </c>
      <c r="O19" s="40">
        <f>85669.75+0.52-1.75+2.1</f>
        <v>85670.62000000001</v>
      </c>
      <c r="P19" s="41">
        <v>89.95</v>
      </c>
      <c r="Q19" s="40">
        <v>1195</v>
      </c>
      <c r="R19" s="40">
        <v>25.2</v>
      </c>
      <c r="S19" s="40">
        <v>190.8</v>
      </c>
      <c r="T19" s="42">
        <f t="shared" si="0"/>
        <v>-1.7499999987649062E-3</v>
      </c>
      <c r="U19" s="16"/>
      <c r="V19" s="35">
        <f t="shared" si="2"/>
        <v>44788</v>
      </c>
      <c r="W19" s="36">
        <f t="shared" si="3"/>
        <v>61638.990853500007</v>
      </c>
      <c r="X19" s="36">
        <f t="shared" si="1"/>
        <v>19919.617399999999</v>
      </c>
    </row>
    <row r="20" spans="1:24" x14ac:dyDescent="0.25">
      <c r="A20" s="27"/>
      <c r="B20" s="43">
        <f>SUM(B7:B19)</f>
        <v>2490</v>
      </c>
      <c r="C20" s="43">
        <f t="shared" ref="C20:T20" si="5">SUM(C7:C19)</f>
        <v>0</v>
      </c>
      <c r="D20" s="43">
        <f t="shared" si="5"/>
        <v>40</v>
      </c>
      <c r="E20" s="43">
        <f t="shared" si="5"/>
        <v>147</v>
      </c>
      <c r="F20" s="43">
        <f t="shared" si="5"/>
        <v>4190</v>
      </c>
      <c r="G20" s="43">
        <f t="shared" si="5"/>
        <v>6</v>
      </c>
      <c r="H20" s="43">
        <f t="shared" si="5"/>
        <v>649</v>
      </c>
      <c r="I20" s="43">
        <f t="shared" si="5"/>
        <v>0</v>
      </c>
      <c r="J20" s="43">
        <f t="shared" si="5"/>
        <v>22994</v>
      </c>
      <c r="K20" s="94">
        <f t="shared" si="5"/>
        <v>10982.003000000001</v>
      </c>
      <c r="L20" s="43">
        <f t="shared" si="5"/>
        <v>448663</v>
      </c>
      <c r="M20" s="45">
        <f t="shared" si="5"/>
        <v>216838.48000000004</v>
      </c>
      <c r="N20" s="45">
        <f t="shared" si="5"/>
        <v>49428.78</v>
      </c>
      <c r="O20" s="45">
        <f t="shared" si="5"/>
        <v>817539.27</v>
      </c>
      <c r="P20" s="45">
        <f t="shared" si="5"/>
        <v>1528.9500000000003</v>
      </c>
      <c r="Q20" s="45">
        <f t="shared" si="5"/>
        <v>10525</v>
      </c>
      <c r="R20" s="45">
        <f t="shared" si="5"/>
        <v>332.5</v>
      </c>
      <c r="S20" s="45">
        <f t="shared" si="5"/>
        <v>14185.729999999998</v>
      </c>
      <c r="T20" s="45">
        <f t="shared" si="5"/>
        <v>-5.3650000014371813E-2</v>
      </c>
      <c r="U20" s="43"/>
      <c r="V20" s="43"/>
      <c r="W20" s="43">
        <f>SUM(W7:W19)</f>
        <v>612794.57485009998</v>
      </c>
      <c r="X20" s="43">
        <f>SUM(X7:X19)</f>
        <v>274717.39980000001</v>
      </c>
    </row>
    <row r="21" spans="1:24" x14ac:dyDescent="0.25">
      <c r="A21" s="27"/>
      <c r="B21" s="43">
        <f>(B20*100)</f>
        <v>249000</v>
      </c>
      <c r="C21" s="43">
        <f>(C20*60)</f>
        <v>0</v>
      </c>
      <c r="D21" s="43">
        <f>(D20)</f>
        <v>40</v>
      </c>
      <c r="E21" s="43">
        <f>(E20*100)</f>
        <v>14700</v>
      </c>
      <c r="F21" s="46">
        <f>(F20*20)</f>
        <v>83800</v>
      </c>
      <c r="G21" s="43">
        <f>(G20*60)</f>
        <v>360</v>
      </c>
      <c r="H21" s="43">
        <f>(H20)</f>
        <v>649</v>
      </c>
      <c r="I21" s="43">
        <f>+I20*7</f>
        <v>0</v>
      </c>
      <c r="J21" s="44">
        <f>(J20*1.1167)</f>
        <v>25677.399799999999</v>
      </c>
      <c r="K21" s="47">
        <f>(K20*1.1167)</f>
        <v>12263.602750100001</v>
      </c>
      <c r="L21" s="48">
        <f>(L20*1.1167)</f>
        <v>501021.97210000001</v>
      </c>
      <c r="M21" s="49"/>
      <c r="N21" s="49"/>
      <c r="O21" s="49"/>
      <c r="P21" s="49"/>
      <c r="Q21" s="49"/>
      <c r="R21" s="49"/>
      <c r="S21" s="49"/>
      <c r="T21" s="49"/>
      <c r="U21" s="49"/>
      <c r="V21" s="50" t="s">
        <v>35</v>
      </c>
      <c r="W21" s="43">
        <f>+D47+D48+D49+D50-W20</f>
        <v>0</v>
      </c>
      <c r="X21" s="43">
        <f>+D46-X20</f>
        <v>0</v>
      </c>
    </row>
    <row r="22" spans="1:24" x14ac:dyDescent="0.25">
      <c r="A22" s="27"/>
      <c r="B22" s="43"/>
      <c r="C22" s="43"/>
      <c r="D22" s="43"/>
      <c r="E22" s="43"/>
      <c r="F22" s="46"/>
      <c r="G22" s="43"/>
      <c r="H22" s="43"/>
      <c r="I22" s="43"/>
      <c r="J22" s="44"/>
      <c r="K22" s="47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50"/>
      <c r="W22" s="43"/>
      <c r="X22" s="43"/>
    </row>
    <row r="23" spans="1:24" x14ac:dyDescent="0.25">
      <c r="A23" s="22" t="s">
        <v>26</v>
      </c>
      <c r="B23" s="22" t="s">
        <v>27</v>
      </c>
      <c r="C23" s="22" t="s">
        <v>28</v>
      </c>
      <c r="D23" s="22" t="s">
        <v>29</v>
      </c>
      <c r="E23" s="22" t="s">
        <v>27</v>
      </c>
      <c r="F23" s="22" t="s">
        <v>30</v>
      </c>
      <c r="G23" s="22" t="s">
        <v>28</v>
      </c>
      <c r="H23" s="22" t="s">
        <v>29</v>
      </c>
      <c r="I23" s="22" t="s">
        <v>31</v>
      </c>
      <c r="J23" s="23" t="s">
        <v>32</v>
      </c>
      <c r="K23" s="24" t="s">
        <v>32</v>
      </c>
      <c r="L23" s="25" t="s">
        <v>32</v>
      </c>
      <c r="M23" s="22" t="s">
        <v>33</v>
      </c>
      <c r="N23" s="22" t="s">
        <v>33</v>
      </c>
      <c r="O23" s="22" t="s">
        <v>33</v>
      </c>
      <c r="P23" s="22" t="s">
        <v>33</v>
      </c>
      <c r="Q23" s="22" t="s">
        <v>33</v>
      </c>
      <c r="R23" s="22" t="s">
        <v>33</v>
      </c>
      <c r="S23" s="22" t="s">
        <v>33</v>
      </c>
      <c r="T23" s="22" t="s">
        <v>33</v>
      </c>
      <c r="U23" s="26"/>
      <c r="V23" s="22" t="s">
        <v>26</v>
      </c>
      <c r="W23" s="22" t="s">
        <v>11</v>
      </c>
      <c r="X23" s="22" t="s">
        <v>34</v>
      </c>
    </row>
    <row r="24" spans="1:24" x14ac:dyDescent="0.25">
      <c r="A24" s="27">
        <v>44789</v>
      </c>
      <c r="B24" s="28">
        <v>244</v>
      </c>
      <c r="C24" s="28"/>
      <c r="D24" s="28">
        <v>20</v>
      </c>
      <c r="E24" s="28">
        <v>21</v>
      </c>
      <c r="F24" s="29">
        <v>294</v>
      </c>
      <c r="G24" s="28"/>
      <c r="H24" s="28">
        <v>100</v>
      </c>
      <c r="I24" s="28"/>
      <c r="J24" s="13">
        <v>1969</v>
      </c>
      <c r="K24" s="34">
        <v>1541.0160000000001</v>
      </c>
      <c r="L24" s="28">
        <v>35805</v>
      </c>
      <c r="M24" s="30">
        <v>19311.02</v>
      </c>
      <c r="N24" s="30">
        <v>4929.68</v>
      </c>
      <c r="O24" s="30">
        <v>65769.84</v>
      </c>
      <c r="P24" s="33">
        <v>156.13999999999999</v>
      </c>
      <c r="Q24" s="30">
        <v>935</v>
      </c>
      <c r="R24" s="30">
        <v>29.4</v>
      </c>
      <c r="S24" s="30">
        <v>974.67</v>
      </c>
      <c r="T24" s="32">
        <f t="shared" ref="T24:T37" si="6">+B24*46.38+C24*27.83+D24*0.4638+E24*158.5+F24*25.5+G24*95+H24*1.59+I24*18.55+J24*0.52+K24*1.45+L24*1.75-M24-N24-O24-P24+Q24+R24+S24</f>
        <v>-1.0800000003882815E-2</v>
      </c>
      <c r="U24" s="51"/>
      <c r="V24" s="27">
        <f>+A24</f>
        <v>44789</v>
      </c>
      <c r="W24" s="28">
        <f t="shared" ref="W24:W37" si="7">SUM(E24*100+F24*20+G24*60+H24+I24*7+K24*1.1167+L24*1.1167)</f>
        <v>49784.296067200004</v>
      </c>
      <c r="X24" s="28">
        <f t="shared" ref="X24:X37" si="8">SUM(B24*100+C24*60+D24+J24*1.1167)</f>
        <v>26618.782299999999</v>
      </c>
    </row>
    <row r="25" spans="1:24" x14ac:dyDescent="0.25">
      <c r="A25" s="27">
        <v>44790</v>
      </c>
      <c r="B25" s="28">
        <v>160</v>
      </c>
      <c r="C25" s="28"/>
      <c r="D25" s="28"/>
      <c r="E25" s="28">
        <v>10</v>
      </c>
      <c r="F25" s="29">
        <v>250</v>
      </c>
      <c r="G25" s="28"/>
      <c r="H25" s="28">
        <v>10</v>
      </c>
      <c r="I25" s="28"/>
      <c r="J25" s="13">
        <v>2111</v>
      </c>
      <c r="K25" s="34">
        <v>654.03200000000004</v>
      </c>
      <c r="L25" s="52">
        <v>36081</v>
      </c>
      <c r="M25" s="30">
        <v>12242.87</v>
      </c>
      <c r="N25" s="30">
        <v>3645.44</v>
      </c>
      <c r="O25" s="30">
        <v>66044.12</v>
      </c>
      <c r="P25" s="31">
        <v>46.38</v>
      </c>
      <c r="Q25" s="30">
        <v>795</v>
      </c>
      <c r="R25" s="30">
        <v>35.700000000000003</v>
      </c>
      <c r="S25" s="30">
        <v>563.59</v>
      </c>
      <c r="T25" s="32">
        <f t="shared" si="6"/>
        <v>-3.5999999998921339E-3</v>
      </c>
      <c r="U25" s="30"/>
      <c r="V25" s="27">
        <f t="shared" ref="V25:V37" si="9">+A25</f>
        <v>44790</v>
      </c>
      <c r="W25" s="28">
        <f t="shared" si="7"/>
        <v>47032.010234399997</v>
      </c>
      <c r="X25" s="28">
        <f t="shared" si="8"/>
        <v>18357.3537</v>
      </c>
    </row>
    <row r="26" spans="1:24" x14ac:dyDescent="0.25">
      <c r="A26" s="27">
        <v>44791</v>
      </c>
      <c r="B26" s="28">
        <v>163</v>
      </c>
      <c r="C26" s="28"/>
      <c r="D26" s="28"/>
      <c r="E26" s="28">
        <v>17</v>
      </c>
      <c r="F26" s="29">
        <v>263</v>
      </c>
      <c r="G26" s="28"/>
      <c r="H26" s="28"/>
      <c r="I26" s="28"/>
      <c r="J26" s="13">
        <v>1344</v>
      </c>
      <c r="K26" s="34">
        <v>708.07500000000005</v>
      </c>
      <c r="L26" s="52">
        <v>35764</v>
      </c>
      <c r="M26" s="30">
        <v>15737.96</v>
      </c>
      <c r="N26" s="30">
        <v>3524.1</v>
      </c>
      <c r="O26" s="30">
        <v>65260.44</v>
      </c>
      <c r="P26" s="31"/>
      <c r="Q26" s="30">
        <v>425</v>
      </c>
      <c r="R26" s="30">
        <v>4.2</v>
      </c>
      <c r="S26" s="30">
        <v>2819.77</v>
      </c>
      <c r="T26" s="32">
        <f t="shared" si="6"/>
        <v>-1.2500000025283953E-3</v>
      </c>
      <c r="U26" s="30"/>
      <c r="V26" s="27">
        <f t="shared" si="9"/>
        <v>44791</v>
      </c>
      <c r="W26" s="28">
        <f t="shared" si="7"/>
        <v>47688.366152499999</v>
      </c>
      <c r="X26" s="28">
        <f t="shared" si="8"/>
        <v>17800.844799999999</v>
      </c>
    </row>
    <row r="27" spans="1:24" x14ac:dyDescent="0.25">
      <c r="A27" s="27">
        <v>44792</v>
      </c>
      <c r="B27" s="28">
        <v>197</v>
      </c>
      <c r="C27" s="28"/>
      <c r="D27" s="28"/>
      <c r="E27" s="28">
        <v>20</v>
      </c>
      <c r="F27" s="29">
        <v>309</v>
      </c>
      <c r="G27" s="28"/>
      <c r="H27" s="28">
        <v>110</v>
      </c>
      <c r="I27" s="28"/>
      <c r="J27" s="13">
        <v>1899</v>
      </c>
      <c r="K27" s="6">
        <v>688.98599999999999</v>
      </c>
      <c r="L27" s="52">
        <v>30013</v>
      </c>
      <c r="M27" s="30">
        <v>18021.87</v>
      </c>
      <c r="N27" s="30">
        <v>3941.98</v>
      </c>
      <c r="O27" s="30">
        <v>55192.3</v>
      </c>
      <c r="P27" s="33">
        <v>26.18</v>
      </c>
      <c r="Q27" s="30">
        <v>285</v>
      </c>
      <c r="R27" s="30">
        <v>14.7</v>
      </c>
      <c r="S27" s="30">
        <v>2012.12</v>
      </c>
      <c r="T27" s="32">
        <f t="shared" si="6"/>
        <v>9.700000003022069E-3</v>
      </c>
      <c r="U27" s="30"/>
      <c r="V27" s="27">
        <f t="shared" si="9"/>
        <v>44792</v>
      </c>
      <c r="W27" s="28">
        <f t="shared" si="7"/>
        <v>42574.907766199998</v>
      </c>
      <c r="X27" s="28">
        <f t="shared" si="8"/>
        <v>21820.613300000001</v>
      </c>
    </row>
    <row r="28" spans="1:24" x14ac:dyDescent="0.25">
      <c r="A28" s="27">
        <v>44793</v>
      </c>
      <c r="B28" s="28">
        <v>54</v>
      </c>
      <c r="C28" s="28"/>
      <c r="D28" s="28">
        <v>20</v>
      </c>
      <c r="E28" s="28">
        <v>2</v>
      </c>
      <c r="F28" s="29">
        <v>296</v>
      </c>
      <c r="G28" s="28"/>
      <c r="H28" s="28">
        <v>40</v>
      </c>
      <c r="I28" s="28"/>
      <c r="J28" s="13"/>
      <c r="K28" s="34">
        <v>273.56400000000002</v>
      </c>
      <c r="L28" s="52">
        <v>500</v>
      </c>
      <c r="M28" s="30">
        <v>10692.5</v>
      </c>
      <c r="N28" s="30"/>
      <c r="O28" s="30">
        <v>1036.57</v>
      </c>
      <c r="P28" s="33"/>
      <c r="Q28" s="30">
        <v>15</v>
      </c>
      <c r="R28" s="30"/>
      <c r="S28" s="30"/>
      <c r="T28" s="32">
        <f t="shared" si="6"/>
        <v>-6.2000000000352884E-3</v>
      </c>
      <c r="U28" s="30"/>
      <c r="V28" s="27">
        <f t="shared" si="9"/>
        <v>44793</v>
      </c>
      <c r="W28" s="28">
        <f t="shared" si="7"/>
        <v>7023.8389188000001</v>
      </c>
      <c r="X28" s="28">
        <f t="shared" si="8"/>
        <v>5420</v>
      </c>
    </row>
    <row r="29" spans="1:24" x14ac:dyDescent="0.25">
      <c r="A29" s="27">
        <v>44795</v>
      </c>
      <c r="B29" s="28">
        <v>190</v>
      </c>
      <c r="C29" s="28"/>
      <c r="D29" s="28">
        <v>20</v>
      </c>
      <c r="E29" s="28">
        <v>14</v>
      </c>
      <c r="F29" s="29">
        <v>362</v>
      </c>
      <c r="G29" s="28">
        <v>3</v>
      </c>
      <c r="H29" s="28">
        <v>95</v>
      </c>
      <c r="I29" s="28"/>
      <c r="J29" s="13">
        <v>716</v>
      </c>
      <c r="K29" s="34">
        <v>1251.5719999999999</v>
      </c>
      <c r="L29" s="52">
        <v>36242</v>
      </c>
      <c r="M29" s="30">
        <v>20205.240000000002</v>
      </c>
      <c r="N29" s="30">
        <v>3404.12</v>
      </c>
      <c r="O29" s="30">
        <v>68254.42</v>
      </c>
      <c r="P29" s="33">
        <v>347.4</v>
      </c>
      <c r="Q29" s="30">
        <v>1050</v>
      </c>
      <c r="R29" s="30">
        <v>10.5</v>
      </c>
      <c r="S29" s="30">
        <v>4832.55</v>
      </c>
      <c r="T29" s="32">
        <f t="shared" si="6"/>
        <v>-4.6000000011190423E-3</v>
      </c>
      <c r="U29" s="30"/>
      <c r="V29" s="27">
        <f t="shared" si="9"/>
        <v>44795</v>
      </c>
      <c r="W29" s="28">
        <f t="shared" si="7"/>
        <v>50784.071852400004</v>
      </c>
      <c r="X29" s="28">
        <f t="shared" si="8"/>
        <v>19819.557199999999</v>
      </c>
    </row>
    <row r="30" spans="1:24" x14ac:dyDescent="0.25">
      <c r="A30" s="27">
        <v>44796</v>
      </c>
      <c r="B30" s="28">
        <v>162</v>
      </c>
      <c r="C30" s="28">
        <v>1</v>
      </c>
      <c r="D30" s="28"/>
      <c r="E30" s="28">
        <v>8</v>
      </c>
      <c r="F30" s="29">
        <v>192</v>
      </c>
      <c r="G30" s="28"/>
      <c r="H30" s="28">
        <v>195</v>
      </c>
      <c r="I30" s="28"/>
      <c r="J30" s="13">
        <v>2040</v>
      </c>
      <c r="K30" s="34">
        <v>537.19299999999998</v>
      </c>
      <c r="L30" s="52">
        <v>36329</v>
      </c>
      <c r="M30" s="30">
        <v>11394.41</v>
      </c>
      <c r="N30" s="30">
        <v>4254.5600000000004</v>
      </c>
      <c r="O30" s="30">
        <v>65123.42</v>
      </c>
      <c r="P30" s="33">
        <v>626.89</v>
      </c>
      <c r="Q30" s="30">
        <v>1295</v>
      </c>
      <c r="R30" s="30">
        <v>33.6</v>
      </c>
      <c r="S30" s="30">
        <v>639.76</v>
      </c>
      <c r="T30" s="32">
        <f t="shared" si="6"/>
        <v>-1.4999999359588401E-4</v>
      </c>
      <c r="U30" s="30"/>
      <c r="V30" s="27">
        <f t="shared" si="9"/>
        <v>44796</v>
      </c>
      <c r="W30" s="28">
        <f t="shared" si="7"/>
        <v>46003.477723100004</v>
      </c>
      <c r="X30" s="28">
        <f t="shared" si="8"/>
        <v>18538.067999999999</v>
      </c>
    </row>
    <row r="31" spans="1:24" x14ac:dyDescent="0.25">
      <c r="A31" s="27">
        <v>44797</v>
      </c>
      <c r="B31" s="28">
        <v>209</v>
      </c>
      <c r="C31" s="28"/>
      <c r="D31" s="28"/>
      <c r="E31" s="28">
        <v>27</v>
      </c>
      <c r="F31" s="29">
        <v>315</v>
      </c>
      <c r="G31" s="28"/>
      <c r="H31" s="28">
        <v>5</v>
      </c>
      <c r="I31" s="28"/>
      <c r="J31" s="13">
        <v>3200</v>
      </c>
      <c r="K31" s="34">
        <v>797.48</v>
      </c>
      <c r="L31" s="52">
        <v>40164</v>
      </c>
      <c r="M31" s="30">
        <v>17300.400000000001</v>
      </c>
      <c r="N31" s="30">
        <v>5059.3999999999996</v>
      </c>
      <c r="O31" s="30">
        <v>73758.539999999994</v>
      </c>
      <c r="P31" s="33">
        <v>214.76</v>
      </c>
      <c r="Q31" s="30">
        <v>850</v>
      </c>
      <c r="R31" s="30">
        <v>60.9</v>
      </c>
      <c r="S31" s="30">
        <v>301.48</v>
      </c>
      <c r="T31" s="32">
        <f t="shared" si="6"/>
        <v>-3.9999999961537469E-3</v>
      </c>
      <c r="U31" s="30"/>
      <c r="V31" s="27">
        <f t="shared" si="9"/>
        <v>44797</v>
      </c>
      <c r="W31" s="28">
        <f t="shared" si="7"/>
        <v>54746.684716000003</v>
      </c>
      <c r="X31" s="28">
        <f t="shared" si="8"/>
        <v>24473.439999999999</v>
      </c>
    </row>
    <row r="32" spans="1:24" x14ac:dyDescent="0.25">
      <c r="A32" s="27">
        <v>44798</v>
      </c>
      <c r="B32" s="28">
        <v>228</v>
      </c>
      <c r="C32" s="28"/>
      <c r="D32" s="28"/>
      <c r="E32" s="28">
        <v>16</v>
      </c>
      <c r="F32" s="7">
        <v>314</v>
      </c>
      <c r="G32" s="28"/>
      <c r="H32" s="28">
        <v>75</v>
      </c>
      <c r="I32" s="28"/>
      <c r="J32" s="13">
        <v>1307</v>
      </c>
      <c r="K32" s="34">
        <v>1187.518</v>
      </c>
      <c r="L32" s="52">
        <v>28011</v>
      </c>
      <c r="M32" s="30">
        <v>17590.259999999998</v>
      </c>
      <c r="N32" s="30">
        <v>5512.42</v>
      </c>
      <c r="O32" s="30">
        <v>51142.33</v>
      </c>
      <c r="P32" s="33">
        <v>319.58999999999997</v>
      </c>
      <c r="Q32" s="30">
        <v>1295</v>
      </c>
      <c r="R32" s="30">
        <v>10.5</v>
      </c>
      <c r="S32" s="30">
        <v>601.41</v>
      </c>
      <c r="T32" s="32">
        <f t="shared" si="6"/>
        <v>-8.8999999931047569E-3</v>
      </c>
      <c r="U32" s="30"/>
      <c r="V32" s="27">
        <f t="shared" si="9"/>
        <v>44798</v>
      </c>
      <c r="W32" s="28">
        <f t="shared" si="7"/>
        <v>40560.9850506</v>
      </c>
      <c r="X32" s="28">
        <f t="shared" si="8"/>
        <v>24259.526900000001</v>
      </c>
    </row>
    <row r="33" spans="1:24" x14ac:dyDescent="0.25">
      <c r="A33" s="27">
        <v>44799</v>
      </c>
      <c r="B33" s="28">
        <v>182</v>
      </c>
      <c r="C33" s="28"/>
      <c r="D33" s="28"/>
      <c r="E33" s="28">
        <v>30</v>
      </c>
      <c r="F33" s="29">
        <v>354</v>
      </c>
      <c r="G33" s="28"/>
      <c r="H33" s="28">
        <v>70</v>
      </c>
      <c r="I33" s="28"/>
      <c r="J33" s="13">
        <v>3092</v>
      </c>
      <c r="K33" s="34">
        <v>1076.8599999999999</v>
      </c>
      <c r="L33" s="52">
        <v>41758</v>
      </c>
      <c r="M33" s="30">
        <v>18692.009999999998</v>
      </c>
      <c r="N33" s="30">
        <v>4276.3500000000004</v>
      </c>
      <c r="O33" s="30">
        <v>77862.3</v>
      </c>
      <c r="P33" s="33"/>
      <c r="Q33" s="30">
        <v>440</v>
      </c>
      <c r="R33" s="30">
        <v>23.1</v>
      </c>
      <c r="S33" s="30">
        <v>1787.31</v>
      </c>
      <c r="T33" s="32">
        <f t="shared" si="6"/>
        <v>-3.0000000006111804E-3</v>
      </c>
      <c r="U33" s="30"/>
      <c r="V33" s="27">
        <f t="shared" si="9"/>
        <v>44799</v>
      </c>
      <c r="W33" s="28">
        <f t="shared" si="7"/>
        <v>57983.688162000006</v>
      </c>
      <c r="X33" s="28">
        <f t="shared" si="8"/>
        <v>21652.8364</v>
      </c>
    </row>
    <row r="34" spans="1:24" x14ac:dyDescent="0.25">
      <c r="A34" s="27">
        <v>44800</v>
      </c>
      <c r="B34" s="28">
        <v>70</v>
      </c>
      <c r="C34" s="28"/>
      <c r="D34" s="28"/>
      <c r="E34" s="28"/>
      <c r="F34" s="29">
        <v>394</v>
      </c>
      <c r="G34" s="28"/>
      <c r="H34" s="28">
        <v>90</v>
      </c>
      <c r="I34" s="28"/>
      <c r="J34" s="98"/>
      <c r="K34" s="99">
        <v>126.828</v>
      </c>
      <c r="L34" s="100"/>
      <c r="M34" s="30">
        <v>13594.22</v>
      </c>
      <c r="N34" s="30"/>
      <c r="O34" s="30">
        <v>46.38</v>
      </c>
      <c r="P34" s="101"/>
      <c r="Q34" s="30">
        <v>20</v>
      </c>
      <c r="R34" s="30"/>
      <c r="S34" s="30"/>
      <c r="T34" s="32">
        <f t="shared" si="6"/>
        <v>6.0000000222970584E-4</v>
      </c>
      <c r="U34" s="30"/>
      <c r="V34" s="27">
        <f t="shared" si="9"/>
        <v>44800</v>
      </c>
      <c r="W34" s="28">
        <f t="shared" si="7"/>
        <v>8111.6288275999996</v>
      </c>
      <c r="X34" s="28">
        <f t="shared" si="8"/>
        <v>7000</v>
      </c>
    </row>
    <row r="35" spans="1:24" x14ac:dyDescent="0.25">
      <c r="A35" s="27">
        <v>44802</v>
      </c>
      <c r="B35" s="28">
        <v>162</v>
      </c>
      <c r="C35" s="28"/>
      <c r="D35" s="28"/>
      <c r="E35" s="28">
        <v>7</v>
      </c>
      <c r="F35" s="29">
        <v>404</v>
      </c>
      <c r="G35" s="28"/>
      <c r="H35" s="28">
        <v>25</v>
      </c>
      <c r="I35" s="28"/>
      <c r="J35" s="98">
        <v>1204</v>
      </c>
      <c r="K35" s="99">
        <v>1106.212</v>
      </c>
      <c r="L35" s="100">
        <v>41107</v>
      </c>
      <c r="M35" s="30">
        <v>16346.14</v>
      </c>
      <c r="N35" s="30">
        <v>3439.34</v>
      </c>
      <c r="O35" s="30">
        <v>73577.64</v>
      </c>
      <c r="P35" s="101">
        <v>138.02000000000001</v>
      </c>
      <c r="Q35" s="30">
        <v>35</v>
      </c>
      <c r="R35" s="30">
        <v>27.3</v>
      </c>
      <c r="S35" s="30">
        <v>306.69</v>
      </c>
      <c r="T35" s="32">
        <f t="shared" si="6"/>
        <v>-2.5999999936630047E-3</v>
      </c>
      <c r="U35" s="30"/>
      <c r="V35" s="27">
        <f t="shared" si="9"/>
        <v>44802</v>
      </c>
      <c r="W35" s="28">
        <f>SUM(E35*100+F35*20+G35*60+H35+I35*7+K35*1.1167+L35*1.1167)</f>
        <v>55944.493840399999</v>
      </c>
      <c r="X35" s="28">
        <f>SUM(B35*100+C35*60+D35+J35*1.1167)</f>
        <v>17544.506799999999</v>
      </c>
    </row>
    <row r="36" spans="1:24" x14ac:dyDescent="0.25">
      <c r="A36" s="27">
        <v>44803</v>
      </c>
      <c r="B36" s="28">
        <v>217</v>
      </c>
      <c r="C36" s="28"/>
      <c r="D36" s="28"/>
      <c r="E36" s="28">
        <v>17</v>
      </c>
      <c r="F36" s="29">
        <v>323</v>
      </c>
      <c r="G36" s="28">
        <v>3</v>
      </c>
      <c r="H36" s="28">
        <v>90</v>
      </c>
      <c r="I36" s="28"/>
      <c r="J36" s="98">
        <v>340</v>
      </c>
      <c r="K36" s="99">
        <v>653.38</v>
      </c>
      <c r="L36" s="100">
        <v>44030</v>
      </c>
      <c r="M36" s="30">
        <v>16624.509999999998</v>
      </c>
      <c r="N36" s="30">
        <v>4548.4799999999996</v>
      </c>
      <c r="O36" s="30">
        <v>79033.490000000005</v>
      </c>
      <c r="P36" s="101">
        <v>363.38</v>
      </c>
      <c r="Q36" s="30">
        <v>185</v>
      </c>
      <c r="R36" s="30">
        <v>6.3</v>
      </c>
      <c r="S36" s="30">
        <v>778.3</v>
      </c>
      <c r="T36" s="32">
        <f t="shared" ref="T36" si="10">+B36*46.38+C36*27.83+D36*0.4638+E36*158.5+F36*25.5+G36*95+H36*1.59+I36*18.55+J36*0.52+K36*1.45+L36*1.75-M36-N36-O36-P36+Q36+R36+S36</f>
        <v>1.0000000025911504E-3</v>
      </c>
      <c r="U36" s="30"/>
      <c r="V36" s="27">
        <f t="shared" ref="V36" si="11">+A36</f>
        <v>44803</v>
      </c>
      <c r="W36" s="28">
        <f>SUM(E36*100+F36*20+G36*60+H36+I36*7+K36*1.1167+L36*1.1167)</f>
        <v>58327.930445999998</v>
      </c>
      <c r="X36" s="28">
        <f>SUM(B36*100+C36*60+D36+J36*1.1167)</f>
        <v>22079.678</v>
      </c>
    </row>
    <row r="37" spans="1:24" x14ac:dyDescent="0.25">
      <c r="A37" s="35">
        <v>44804</v>
      </c>
      <c r="B37" s="36">
        <v>238</v>
      </c>
      <c r="C37" s="36"/>
      <c r="D37" s="36"/>
      <c r="E37" s="36">
        <v>20</v>
      </c>
      <c r="F37" s="37">
        <v>283</v>
      </c>
      <c r="G37" s="36"/>
      <c r="H37" s="36"/>
      <c r="I37" s="36"/>
      <c r="J37" s="38">
        <v>4207</v>
      </c>
      <c r="K37" s="39">
        <v>750.63099999999997</v>
      </c>
      <c r="L37" s="53">
        <v>38497</v>
      </c>
      <c r="M37" s="40">
        <f>15935.64+152.38+625</f>
        <v>16713.019999999997</v>
      </c>
      <c r="N37" s="40">
        <v>5216.18</v>
      </c>
      <c r="O37" s="40">
        <v>71970.05</v>
      </c>
      <c r="P37" s="54">
        <v>278.27999999999997</v>
      </c>
      <c r="Q37" s="40">
        <f>965+625</f>
        <v>1590</v>
      </c>
      <c r="R37" s="40">
        <v>33.6</v>
      </c>
      <c r="S37" s="40">
        <f>330.8+152.38</f>
        <v>483.18</v>
      </c>
      <c r="T37" s="42">
        <f t="shared" si="6"/>
        <v>-5.0499999921953531E-3</v>
      </c>
      <c r="U37" s="40"/>
      <c r="V37" s="35">
        <f t="shared" si="9"/>
        <v>44804</v>
      </c>
      <c r="W37" s="36">
        <f t="shared" si="7"/>
        <v>51487.829537700003</v>
      </c>
      <c r="X37" s="36">
        <f t="shared" si="8"/>
        <v>28497.956900000001</v>
      </c>
    </row>
    <row r="38" spans="1:24" x14ac:dyDescent="0.25">
      <c r="A38" s="50" t="s">
        <v>36</v>
      </c>
      <c r="B38" s="43">
        <f t="shared" ref="B38:Q38" si="12">SUM(B24:B37)</f>
        <v>2476</v>
      </c>
      <c r="C38" s="43">
        <f t="shared" si="12"/>
        <v>1</v>
      </c>
      <c r="D38" s="43">
        <f t="shared" si="12"/>
        <v>60</v>
      </c>
      <c r="E38" s="43">
        <f t="shared" si="12"/>
        <v>209</v>
      </c>
      <c r="F38" s="43">
        <f t="shared" si="12"/>
        <v>4353</v>
      </c>
      <c r="G38" s="43">
        <f t="shared" si="12"/>
        <v>6</v>
      </c>
      <c r="H38" s="43">
        <f t="shared" si="12"/>
        <v>905</v>
      </c>
      <c r="I38" s="43">
        <f t="shared" si="12"/>
        <v>0</v>
      </c>
      <c r="J38" s="43">
        <f t="shared" si="12"/>
        <v>23429</v>
      </c>
      <c r="K38" s="94">
        <f t="shared" si="12"/>
        <v>11353.346999999998</v>
      </c>
      <c r="L38" s="43">
        <f t="shared" si="12"/>
        <v>444301</v>
      </c>
      <c r="M38" s="43">
        <f t="shared" si="12"/>
        <v>224466.43000000002</v>
      </c>
      <c r="N38" s="43">
        <f t="shared" si="12"/>
        <v>51752.049999999996</v>
      </c>
      <c r="O38" s="43">
        <f t="shared" si="12"/>
        <v>814071.84000000008</v>
      </c>
      <c r="P38" s="43">
        <f t="shared" si="12"/>
        <v>2517.0199999999995</v>
      </c>
      <c r="Q38" s="43">
        <f t="shared" si="12"/>
        <v>9215</v>
      </c>
      <c r="R38" s="43">
        <f>SUM(R24:R37)</f>
        <v>289.8</v>
      </c>
      <c r="S38" s="43">
        <f>SUM(S24:S37)</f>
        <v>16100.83</v>
      </c>
      <c r="T38" s="43">
        <f>SUM(T24:T36)</f>
        <v>-3.3799999976743322E-2</v>
      </c>
      <c r="U38" s="43"/>
      <c r="V38" s="43"/>
      <c r="W38" s="43">
        <f>SUM(W24:W37)</f>
        <v>618054.20929490007</v>
      </c>
      <c r="X38" s="43">
        <f>SUM(X24:X37)</f>
        <v>273883.1643</v>
      </c>
    </row>
    <row r="39" spans="1:24" x14ac:dyDescent="0.25">
      <c r="A39" s="55" t="s">
        <v>37</v>
      </c>
      <c r="B39" s="56">
        <f>(B38*100)</f>
        <v>247600</v>
      </c>
      <c r="C39" s="56">
        <f>(C38*60)</f>
        <v>60</v>
      </c>
      <c r="D39" s="56">
        <f>(D38)</f>
        <v>60</v>
      </c>
      <c r="E39" s="56">
        <f>(E38*100)</f>
        <v>20900</v>
      </c>
      <c r="F39" s="56">
        <f>(F38*20)</f>
        <v>87060</v>
      </c>
      <c r="G39" s="56">
        <f>(G38*60)</f>
        <v>360</v>
      </c>
      <c r="H39" s="56">
        <f>(H38)</f>
        <v>905</v>
      </c>
      <c r="I39" s="56">
        <f>+I38*7</f>
        <v>0</v>
      </c>
      <c r="J39" s="57">
        <f>(J38*1.1167)</f>
        <v>26163.1643</v>
      </c>
      <c r="K39" s="58">
        <f>(K38*1.1167)</f>
        <v>12678.282594899998</v>
      </c>
      <c r="L39" s="59">
        <f>(L38*1.1167)</f>
        <v>496150.92670000001</v>
      </c>
      <c r="M39" s="60"/>
      <c r="N39" s="60"/>
      <c r="O39" s="60"/>
      <c r="P39" s="60"/>
      <c r="Q39" s="60"/>
      <c r="R39" s="60"/>
      <c r="S39" s="60"/>
      <c r="T39" s="60"/>
      <c r="U39" s="56"/>
      <c r="V39" s="61" t="s">
        <v>35</v>
      </c>
      <c r="W39" s="56">
        <f>+L47+L48+L49+L50-W38</f>
        <v>0</v>
      </c>
      <c r="X39" s="56">
        <f>+L46-X38</f>
        <v>0</v>
      </c>
    </row>
    <row r="40" spans="1:24" ht="26.25" x14ac:dyDescent="0.25">
      <c r="A40" s="62" t="s">
        <v>38</v>
      </c>
      <c r="B40" s="43">
        <f t="shared" ref="B40:T40" si="13">(B20+B38)</f>
        <v>4966</v>
      </c>
      <c r="C40" s="43">
        <f t="shared" si="13"/>
        <v>1</v>
      </c>
      <c r="D40" s="43">
        <f t="shared" si="13"/>
        <v>100</v>
      </c>
      <c r="E40" s="43">
        <f t="shared" si="13"/>
        <v>356</v>
      </c>
      <c r="F40" s="43">
        <f t="shared" si="13"/>
        <v>8543</v>
      </c>
      <c r="G40" s="43">
        <f t="shared" si="13"/>
        <v>12</v>
      </c>
      <c r="H40" s="43">
        <f t="shared" si="13"/>
        <v>1554</v>
      </c>
      <c r="I40" s="43">
        <f t="shared" si="13"/>
        <v>0</v>
      </c>
      <c r="J40" s="43">
        <f t="shared" si="13"/>
        <v>46423</v>
      </c>
      <c r="K40" s="45">
        <f t="shared" si="13"/>
        <v>22335.35</v>
      </c>
      <c r="L40" s="43">
        <f t="shared" si="13"/>
        <v>892964</v>
      </c>
      <c r="M40" s="43">
        <f t="shared" si="13"/>
        <v>441304.91000000003</v>
      </c>
      <c r="N40" s="43">
        <f t="shared" si="13"/>
        <v>101180.82999999999</v>
      </c>
      <c r="O40" s="43">
        <f t="shared" si="13"/>
        <v>1631611.11</v>
      </c>
      <c r="P40" s="43">
        <f t="shared" si="13"/>
        <v>4045.97</v>
      </c>
      <c r="Q40" s="43">
        <f t="shared" si="13"/>
        <v>19740</v>
      </c>
      <c r="R40" s="43">
        <f t="shared" si="13"/>
        <v>622.29999999999995</v>
      </c>
      <c r="S40" s="43">
        <f t="shared" si="13"/>
        <v>30286.559999999998</v>
      </c>
      <c r="T40" s="43">
        <f t="shared" si="13"/>
        <v>-8.7449999991115135E-2</v>
      </c>
      <c r="U40" s="43"/>
      <c r="V40" s="43"/>
      <c r="W40" s="43">
        <f>(W20+W38)</f>
        <v>1230848.7841449999</v>
      </c>
      <c r="X40" s="43">
        <f>(X20+X38)</f>
        <v>548600.56410000008</v>
      </c>
    </row>
    <row r="41" spans="1:24" x14ac:dyDescent="0.25">
      <c r="A41" s="55" t="s">
        <v>37</v>
      </c>
      <c r="B41" s="56">
        <f>(B40*100)</f>
        <v>496600</v>
      </c>
      <c r="C41" s="56">
        <f>(C40*60)</f>
        <v>60</v>
      </c>
      <c r="D41" s="56">
        <f>(D40)</f>
        <v>100</v>
      </c>
      <c r="E41" s="56">
        <f>(E40*100)</f>
        <v>35600</v>
      </c>
      <c r="F41" s="63">
        <f>(F40*20)</f>
        <v>170860</v>
      </c>
      <c r="G41" s="56">
        <f>(G40*60)</f>
        <v>720</v>
      </c>
      <c r="H41" s="56">
        <f>(H40)</f>
        <v>1554</v>
      </c>
      <c r="I41" s="56">
        <f>+I40*7</f>
        <v>0</v>
      </c>
      <c r="J41" s="57">
        <f>(J40*1.1167)</f>
        <v>51840.564100000003</v>
      </c>
      <c r="K41" s="58">
        <f>(K40*1.1167)</f>
        <v>24941.885344999999</v>
      </c>
      <c r="L41" s="59">
        <f>(L40*1.1167)</f>
        <v>997172.89879999997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56">
        <f>+D55+D56+D57+D58-W40</f>
        <v>0</v>
      </c>
      <c r="X41" s="56">
        <f>+D54-X40</f>
        <v>0</v>
      </c>
    </row>
    <row r="42" spans="1:24" x14ac:dyDescent="0.25">
      <c r="A42" s="51"/>
      <c r="B42" s="51"/>
      <c r="C42" s="51"/>
      <c r="D42" s="51"/>
      <c r="E42" s="51"/>
      <c r="F42" s="64"/>
      <c r="G42" s="51"/>
      <c r="H42" s="51"/>
      <c r="I42" s="51"/>
      <c r="J42" s="13"/>
      <c r="K42" s="65"/>
      <c r="L42" s="66"/>
      <c r="M42" s="67"/>
      <c r="N42" s="67"/>
      <c r="O42" s="67"/>
      <c r="P42" s="67"/>
      <c r="Q42" s="67"/>
      <c r="R42" s="67"/>
      <c r="S42" s="67"/>
      <c r="T42" s="67"/>
      <c r="U42" s="1"/>
      <c r="V42" s="1"/>
      <c r="W42" s="1"/>
      <c r="X42" s="1"/>
    </row>
    <row r="43" spans="1:24" x14ac:dyDescent="0.25">
      <c r="A43" s="51"/>
      <c r="B43" s="51"/>
      <c r="C43" s="51"/>
      <c r="D43" s="51"/>
      <c r="E43" s="51"/>
      <c r="F43" s="64"/>
      <c r="G43" s="51"/>
      <c r="H43" s="51"/>
      <c r="I43" s="51"/>
      <c r="J43" s="13"/>
      <c r="K43" s="65"/>
      <c r="L43" s="66"/>
      <c r="M43" s="67"/>
      <c r="N43" s="67"/>
      <c r="O43" s="67"/>
      <c r="P43" s="67"/>
      <c r="Q43" s="67"/>
      <c r="R43" s="67"/>
      <c r="S43" s="67"/>
      <c r="T43" s="67"/>
      <c r="U43" s="1"/>
      <c r="V43" s="1"/>
      <c r="W43" s="1"/>
      <c r="X43" s="1"/>
    </row>
    <row r="44" spans="1:24" x14ac:dyDescent="0.25">
      <c r="A44" s="51"/>
      <c r="B44" s="51"/>
      <c r="C44" s="51"/>
      <c r="D44" s="51"/>
      <c r="E44" s="51"/>
      <c r="F44" s="64"/>
      <c r="G44" s="51"/>
      <c r="H44" s="51"/>
      <c r="I44" s="51"/>
      <c r="J44" s="13"/>
      <c r="K44" s="65"/>
      <c r="L44" s="66"/>
      <c r="M44" s="67"/>
      <c r="N44" s="67"/>
      <c r="O44" s="67"/>
      <c r="P44" s="67"/>
      <c r="Q44" s="67"/>
      <c r="R44" s="67"/>
      <c r="S44" s="67"/>
      <c r="T44" s="67"/>
      <c r="U44" s="1"/>
      <c r="V44" s="1"/>
      <c r="W44" s="1"/>
      <c r="X44" s="1"/>
    </row>
    <row r="45" spans="1:24" x14ac:dyDescent="0.25">
      <c r="A45" s="27"/>
      <c r="B45" s="68" t="s">
        <v>39</v>
      </c>
      <c r="C45" s="56"/>
      <c r="D45" s="56"/>
      <c r="E45" s="56"/>
      <c r="F45" s="43"/>
      <c r="G45" s="43"/>
      <c r="H45" s="43"/>
      <c r="I45" s="43"/>
      <c r="J45" s="57" t="s">
        <v>40</v>
      </c>
      <c r="K45" s="58"/>
      <c r="L45" s="59"/>
      <c r="M45" s="6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27"/>
      <c r="B46" s="69" t="s">
        <v>41</v>
      </c>
      <c r="C46" s="43"/>
      <c r="D46" s="43">
        <f>SUM(B21:D21)+J21</f>
        <v>274717.39980000001</v>
      </c>
      <c r="E46" s="70" t="s">
        <v>42</v>
      </c>
      <c r="F46" s="70"/>
      <c r="G46" s="43"/>
      <c r="H46" s="43"/>
      <c r="I46" s="43"/>
      <c r="J46" s="44" t="s">
        <v>41</v>
      </c>
      <c r="K46" s="47"/>
      <c r="L46" s="48">
        <f>SUM(B39:D39)+J39</f>
        <v>273883.1643</v>
      </c>
      <c r="M46" s="2" t="s">
        <v>42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27"/>
      <c r="B47" s="69" t="s">
        <v>43</v>
      </c>
      <c r="C47" s="43"/>
      <c r="D47" s="43">
        <f>F21</f>
        <v>83800</v>
      </c>
      <c r="E47" s="70" t="s">
        <v>42</v>
      </c>
      <c r="F47" s="70"/>
      <c r="G47" s="43"/>
      <c r="H47" s="43"/>
      <c r="I47" s="43"/>
      <c r="J47" s="71" t="s">
        <v>43</v>
      </c>
      <c r="K47" s="47"/>
      <c r="L47" s="48">
        <f>F39</f>
        <v>87060</v>
      </c>
      <c r="M47" s="2" t="s">
        <v>42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27"/>
      <c r="B48" s="69" t="s">
        <v>44</v>
      </c>
      <c r="C48" s="43"/>
      <c r="D48" s="43">
        <f>SUM(E21,G21,H21,I21)</f>
        <v>15709</v>
      </c>
      <c r="E48" s="70" t="s">
        <v>42</v>
      </c>
      <c r="F48" s="70"/>
      <c r="G48" s="43"/>
      <c r="H48" s="43"/>
      <c r="I48" s="43"/>
      <c r="J48" s="44" t="s">
        <v>44</v>
      </c>
      <c r="K48" s="47"/>
      <c r="L48" s="48">
        <f>SUM(E39:I39)-F39</f>
        <v>22165</v>
      </c>
      <c r="M48" s="2" t="s">
        <v>42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27"/>
      <c r="B49" s="69" t="s">
        <v>45</v>
      </c>
      <c r="C49" s="43"/>
      <c r="D49" s="94">
        <f>+K21</f>
        <v>12263.602750100001</v>
      </c>
      <c r="E49" s="70" t="s">
        <v>42</v>
      </c>
      <c r="F49" s="70"/>
      <c r="G49" s="43"/>
      <c r="H49" s="43"/>
      <c r="I49" s="43"/>
      <c r="J49" s="71" t="s">
        <v>45</v>
      </c>
      <c r="K49" s="47"/>
      <c r="L49" s="48">
        <f>+K39</f>
        <v>12678.282594899998</v>
      </c>
      <c r="M49" s="2" t="s">
        <v>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27"/>
      <c r="B50" s="72" t="s">
        <v>46</v>
      </c>
      <c r="C50" s="56"/>
      <c r="D50" s="56">
        <f>+L21</f>
        <v>501021.97210000001</v>
      </c>
      <c r="E50" s="73" t="s">
        <v>42</v>
      </c>
      <c r="F50" s="73"/>
      <c r="G50" s="43"/>
      <c r="H50" s="43"/>
      <c r="I50" s="43"/>
      <c r="J50" s="57" t="s">
        <v>46</v>
      </c>
      <c r="K50" s="58"/>
      <c r="L50" s="59">
        <f>+L39</f>
        <v>496150.92670000001</v>
      </c>
      <c r="M50" s="74" t="s">
        <v>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27"/>
      <c r="B51" s="69"/>
      <c r="C51" s="43"/>
      <c r="D51" s="43">
        <f>SUM(D46:D50)</f>
        <v>887511.97465010011</v>
      </c>
      <c r="E51" s="70" t="s">
        <v>42</v>
      </c>
      <c r="F51" s="70"/>
      <c r="G51" s="43"/>
      <c r="H51" s="43"/>
      <c r="I51" s="43"/>
      <c r="J51" s="75"/>
      <c r="K51" s="76"/>
      <c r="L51" s="77">
        <f>SUM(L46:L50)</f>
        <v>891937.37359490001</v>
      </c>
      <c r="M51" s="2" t="s">
        <v>42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27"/>
      <c r="B52" s="69"/>
      <c r="C52" s="43"/>
      <c r="D52" s="43"/>
      <c r="E52" s="70"/>
      <c r="F52" s="70"/>
      <c r="G52" s="43"/>
      <c r="H52" s="43"/>
      <c r="I52" s="43"/>
      <c r="J52" s="75"/>
      <c r="K52" s="76"/>
      <c r="L52" s="77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thickBot="1" x14ac:dyDescent="0.3">
      <c r="A53" s="27"/>
      <c r="B53" s="78"/>
      <c r="C53" s="78"/>
      <c r="D53" s="79" t="s">
        <v>47</v>
      </c>
      <c r="E53" s="78"/>
      <c r="F53" s="78"/>
      <c r="G53" s="78"/>
      <c r="H53" s="78"/>
      <c r="I53" s="78"/>
      <c r="J53" s="80"/>
      <c r="K53" s="47"/>
      <c r="L53" s="48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27"/>
      <c r="B54" s="81" t="s">
        <v>41</v>
      </c>
      <c r="C54" s="43"/>
      <c r="D54" s="43">
        <f>+D46+L46</f>
        <v>548600.56410000008</v>
      </c>
      <c r="E54" s="70" t="s">
        <v>42</v>
      </c>
      <c r="F54" s="70" t="s">
        <v>48</v>
      </c>
      <c r="G54" s="82">
        <f>D5</f>
        <v>0.46379999999999999</v>
      </c>
      <c r="H54" s="70" t="s">
        <v>33</v>
      </c>
      <c r="I54" s="70"/>
      <c r="J54" s="44">
        <f>D54*G54</f>
        <v>254440.94162958002</v>
      </c>
      <c r="K54" s="47">
        <f>+D54-X40</f>
        <v>0</v>
      </c>
      <c r="L54" s="48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69" t="s">
        <v>43</v>
      </c>
      <c r="C55" s="43"/>
      <c r="D55" s="43">
        <f>D47+L47</f>
        <v>170860</v>
      </c>
      <c r="E55" s="70" t="s">
        <v>42</v>
      </c>
      <c r="F55" s="70" t="s">
        <v>48</v>
      </c>
      <c r="G55" s="83">
        <f>F5/20</f>
        <v>1.2749999999999999</v>
      </c>
      <c r="H55" s="70" t="s">
        <v>33</v>
      </c>
      <c r="I55" s="70"/>
      <c r="J55" s="44">
        <f>D55*G55</f>
        <v>217846.49999999997</v>
      </c>
      <c r="K55" s="47">
        <f>+D55+D56+D57+D58-W40</f>
        <v>0</v>
      </c>
      <c r="L55" s="48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81" t="s">
        <v>44</v>
      </c>
      <c r="C56" s="43"/>
      <c r="D56" s="43">
        <f>+D48+L48</f>
        <v>37874</v>
      </c>
      <c r="E56" s="70" t="s">
        <v>42</v>
      </c>
      <c r="F56" s="70" t="s">
        <v>48</v>
      </c>
      <c r="G56" s="83">
        <f>E5/100</f>
        <v>1.585</v>
      </c>
      <c r="H56" s="70" t="s">
        <v>33</v>
      </c>
      <c r="I56" s="70"/>
      <c r="J56" s="75">
        <f>D56*G56</f>
        <v>60030.29</v>
      </c>
      <c r="K56" s="47"/>
      <c r="L56" s="48"/>
      <c r="M56" s="4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27"/>
      <c r="B57" s="69" t="s">
        <v>45</v>
      </c>
      <c r="C57" s="43"/>
      <c r="D57" s="43">
        <f>+D49+L49</f>
        <v>24941.885344999999</v>
      </c>
      <c r="E57" s="70" t="s">
        <v>42</v>
      </c>
      <c r="F57" s="70" t="s">
        <v>48</v>
      </c>
      <c r="G57" s="83">
        <f>K5/1.1167</f>
        <v>1.3880182681113997</v>
      </c>
      <c r="H57" s="70" t="s">
        <v>33</v>
      </c>
      <c r="I57" s="70"/>
      <c r="J57" s="75">
        <f>+D57*G57</f>
        <v>34619.792500000003</v>
      </c>
      <c r="K57" s="47"/>
      <c r="L57" s="48"/>
      <c r="M57" s="4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thickBot="1" x14ac:dyDescent="0.3">
      <c r="A58" s="27"/>
      <c r="B58" s="79" t="s">
        <v>46</v>
      </c>
      <c r="C58" s="78"/>
      <c r="D58" s="78">
        <f>+D50+L50</f>
        <v>997172.89880000008</v>
      </c>
      <c r="E58" s="84" t="s">
        <v>42</v>
      </c>
      <c r="F58" s="84" t="s">
        <v>48</v>
      </c>
      <c r="G58" s="85">
        <f>L5/1.1167</f>
        <v>1.5671173994806125</v>
      </c>
      <c r="H58" s="84" t="s">
        <v>33</v>
      </c>
      <c r="I58" s="84"/>
      <c r="J58" s="80">
        <f>D58*G58</f>
        <v>1562687</v>
      </c>
      <c r="K58" s="47"/>
      <c r="L58" s="48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27"/>
      <c r="B59" s="81"/>
      <c r="C59" s="43"/>
      <c r="D59" s="43">
        <f>SUM(D54:D58)</f>
        <v>1779449.348245</v>
      </c>
      <c r="E59" s="70"/>
      <c r="F59" s="70"/>
      <c r="G59" s="83"/>
      <c r="H59" s="70"/>
      <c r="I59" s="70"/>
      <c r="J59" s="75">
        <f>SUM(J54:J58)</f>
        <v>2129624.5241295798</v>
      </c>
      <c r="K59" s="47"/>
      <c r="L59" s="48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27"/>
      <c r="B60" s="81"/>
      <c r="C60" s="43"/>
      <c r="D60" s="43">
        <f>+D59-W40-X40</f>
        <v>0</v>
      </c>
      <c r="E60" s="70"/>
      <c r="F60" s="70"/>
      <c r="G60" s="83"/>
      <c r="H60" s="70"/>
      <c r="I60" s="70"/>
      <c r="J60" s="75"/>
      <c r="K60" s="47"/>
      <c r="L60" s="48"/>
      <c r="M60" s="4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J61" s="86"/>
    </row>
  </sheetData>
  <pageMargins left="0.2" right="0.17" top="0.75" bottom="0.75" header="0.3" footer="0.3"/>
  <pageSetup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CBE3-0012-44E2-B1CC-C569D0BCA75B}">
  <dimension ref="A1:X61"/>
  <sheetViews>
    <sheetView workbookViewId="0">
      <selection activeCell="K6" sqref="K6"/>
    </sheetView>
  </sheetViews>
  <sheetFormatPr defaultRowHeight="15" x14ac:dyDescent="0.25"/>
  <cols>
    <col min="1" max="1" width="14" customWidth="1"/>
    <col min="2" max="2" width="10.42578125" customWidth="1"/>
    <col min="4" max="4" width="11.28515625" customWidth="1"/>
    <col min="5" max="5" width="10" customWidth="1"/>
    <col min="6" max="6" width="10.7109375" customWidth="1"/>
    <col min="7" max="7" width="10.140625" customWidth="1"/>
    <col min="8" max="8" width="10.28515625" bestFit="1" customWidth="1"/>
    <col min="9" max="9" width="6.85546875" customWidth="1"/>
    <col min="10" max="10" width="13.5703125" customWidth="1"/>
    <col min="11" max="11" width="15.5703125" customWidth="1"/>
    <col min="12" max="12" width="13.42578125" customWidth="1"/>
    <col min="13" max="13" width="16" customWidth="1"/>
    <col min="14" max="14" width="14.85546875" customWidth="1"/>
    <col min="15" max="15" width="15.140625" customWidth="1"/>
    <col min="16" max="16" width="14" customWidth="1"/>
    <col min="17" max="17" width="13.85546875" customWidth="1"/>
    <col min="18" max="18" width="10.140625" customWidth="1"/>
    <col min="19" max="19" width="14" customWidth="1"/>
    <col min="20" max="20" width="8.7109375" customWidth="1"/>
    <col min="21" max="21" width="2.140625" customWidth="1"/>
    <col min="22" max="22" width="13.85546875" customWidth="1"/>
    <col min="23" max="23" width="11.85546875" customWidth="1"/>
    <col min="24" max="24" width="10.7109375" customWidth="1"/>
  </cols>
  <sheetData>
    <row r="1" spans="1:24" x14ac:dyDescent="0.25">
      <c r="A1" s="1" t="s">
        <v>49</v>
      </c>
      <c r="B1" s="1"/>
      <c r="C1" s="2" t="s">
        <v>0</v>
      </c>
      <c r="D1" s="3" t="s">
        <v>52</v>
      </c>
      <c r="E1" s="4"/>
      <c r="F1" s="1"/>
      <c r="G1" s="1"/>
      <c r="H1" s="1"/>
      <c r="I1" s="1"/>
      <c r="J1" s="5"/>
      <c r="K1" s="6"/>
      <c r="L1" s="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5"/>
      <c r="K2" s="6"/>
      <c r="L2" s="7"/>
      <c r="M2" s="1"/>
      <c r="N2" s="1"/>
      <c r="O2" s="1"/>
      <c r="P2" s="1"/>
      <c r="Q2" s="1"/>
      <c r="R2" s="1"/>
      <c r="S2" s="1"/>
      <c r="T2" s="1"/>
      <c r="U2" s="1"/>
      <c r="V2" s="1" t="s">
        <v>1</v>
      </c>
      <c r="W2" s="1"/>
      <c r="X2" s="1"/>
    </row>
    <row r="3" spans="1:24" x14ac:dyDescent="0.25">
      <c r="A3" s="1"/>
      <c r="B3" s="1"/>
      <c r="C3" s="8" t="s">
        <v>2</v>
      </c>
      <c r="D3" s="9"/>
      <c r="E3" s="1"/>
      <c r="F3" s="8" t="s">
        <v>3</v>
      </c>
      <c r="G3" s="1"/>
      <c r="H3" s="1"/>
      <c r="I3" s="8" t="s">
        <v>4</v>
      </c>
      <c r="J3" s="5" t="s">
        <v>5</v>
      </c>
      <c r="K3" s="10" t="s">
        <v>6</v>
      </c>
      <c r="L3" s="11" t="s">
        <v>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"/>
      <c r="B4" s="12"/>
      <c r="C4" s="9"/>
      <c r="D4" s="1"/>
      <c r="E4" s="1"/>
      <c r="F4" s="9"/>
      <c r="G4" s="9"/>
      <c r="H4" s="1"/>
      <c r="I4" s="8" t="s">
        <v>8</v>
      </c>
      <c r="J4" s="13" t="s">
        <v>9</v>
      </c>
      <c r="K4" s="14" t="s">
        <v>10</v>
      </c>
      <c r="L4" s="11" t="s">
        <v>11</v>
      </c>
      <c r="M4" s="15" t="s">
        <v>12</v>
      </c>
      <c r="N4" s="15" t="s">
        <v>13</v>
      </c>
      <c r="O4" s="15" t="s">
        <v>14</v>
      </c>
      <c r="P4" s="15" t="s">
        <v>15</v>
      </c>
      <c r="Q4" s="15" t="s">
        <v>16</v>
      </c>
      <c r="R4" s="15" t="s">
        <v>17</v>
      </c>
      <c r="S4" s="15" t="s">
        <v>18</v>
      </c>
      <c r="T4" s="15" t="s">
        <v>19</v>
      </c>
      <c r="U4" s="15"/>
      <c r="V4" s="9" t="s">
        <v>20</v>
      </c>
      <c r="W4" s="1"/>
      <c r="X4" s="1"/>
    </row>
    <row r="5" spans="1:24" x14ac:dyDescent="0.25">
      <c r="A5" s="16"/>
      <c r="B5" s="17">
        <v>46.38</v>
      </c>
      <c r="C5" s="18">
        <v>27.83</v>
      </c>
      <c r="D5" s="19">
        <v>0.46379999999999999</v>
      </c>
      <c r="E5" s="20">
        <v>158.5</v>
      </c>
      <c r="F5" s="18">
        <v>25.5</v>
      </c>
      <c r="G5" s="18">
        <v>95</v>
      </c>
      <c r="H5" s="87">
        <v>1.59</v>
      </c>
      <c r="I5" s="17">
        <v>18.55</v>
      </c>
      <c r="J5" s="88">
        <v>0.52</v>
      </c>
      <c r="K5" s="89">
        <v>1.55</v>
      </c>
      <c r="L5" s="90">
        <v>1.75</v>
      </c>
      <c r="M5" s="21" t="s">
        <v>21</v>
      </c>
      <c r="N5" s="21" t="s">
        <v>21</v>
      </c>
      <c r="O5" s="21" t="s">
        <v>21</v>
      </c>
      <c r="P5" s="21" t="s">
        <v>21</v>
      </c>
      <c r="Q5" s="21" t="s">
        <v>21</v>
      </c>
      <c r="R5" s="21" t="s">
        <v>22</v>
      </c>
      <c r="S5" s="21" t="s">
        <v>23</v>
      </c>
      <c r="T5" s="21" t="s">
        <v>24</v>
      </c>
      <c r="U5" s="21"/>
      <c r="V5" s="16" t="s">
        <v>25</v>
      </c>
      <c r="W5" s="16"/>
      <c r="X5" s="16"/>
    </row>
    <row r="6" spans="1:24" x14ac:dyDescent="0.25">
      <c r="A6" s="22" t="s">
        <v>26</v>
      </c>
      <c r="B6" s="22" t="s">
        <v>27</v>
      </c>
      <c r="C6" s="22" t="s">
        <v>28</v>
      </c>
      <c r="D6" s="22" t="s">
        <v>29</v>
      </c>
      <c r="E6" s="22" t="s">
        <v>27</v>
      </c>
      <c r="F6" s="22" t="s">
        <v>30</v>
      </c>
      <c r="G6" s="22" t="s">
        <v>28</v>
      </c>
      <c r="H6" s="22" t="s">
        <v>29</v>
      </c>
      <c r="I6" s="22" t="s">
        <v>31</v>
      </c>
      <c r="J6" s="23" t="s">
        <v>32</v>
      </c>
      <c r="K6" s="24" t="s">
        <v>32</v>
      </c>
      <c r="L6" s="25" t="s">
        <v>32</v>
      </c>
      <c r="M6" s="22" t="s">
        <v>33</v>
      </c>
      <c r="N6" s="22" t="s">
        <v>33</v>
      </c>
      <c r="O6" s="22" t="s">
        <v>33</v>
      </c>
      <c r="P6" s="22" t="s">
        <v>33</v>
      </c>
      <c r="Q6" s="22" t="s">
        <v>33</v>
      </c>
      <c r="R6" s="22" t="s">
        <v>33</v>
      </c>
      <c r="S6" s="22" t="s">
        <v>33</v>
      </c>
      <c r="T6" s="22" t="s">
        <v>33</v>
      </c>
      <c r="U6" s="26"/>
      <c r="V6" s="22" t="s">
        <v>26</v>
      </c>
      <c r="W6" s="22" t="s">
        <v>11</v>
      </c>
      <c r="X6" s="22" t="s">
        <v>34</v>
      </c>
    </row>
    <row r="7" spans="1:24" x14ac:dyDescent="0.25">
      <c r="A7" s="27">
        <v>44805</v>
      </c>
      <c r="B7" s="28">
        <v>216</v>
      </c>
      <c r="C7" s="28"/>
      <c r="D7" s="28">
        <v>20</v>
      </c>
      <c r="E7" s="28">
        <v>12</v>
      </c>
      <c r="F7" s="29">
        <v>313</v>
      </c>
      <c r="G7" s="28"/>
      <c r="H7" s="28">
        <v>10</v>
      </c>
      <c r="I7" s="28"/>
      <c r="J7" s="13">
        <v>1544</v>
      </c>
      <c r="K7" s="6">
        <v>881.327</v>
      </c>
      <c r="L7" s="28">
        <v>33023</v>
      </c>
      <c r="M7" s="30">
        <v>20668.34</v>
      </c>
      <c r="N7" s="30">
        <v>4135.8</v>
      </c>
      <c r="O7" s="30">
        <v>59772.28</v>
      </c>
      <c r="P7" s="31">
        <v>113.14</v>
      </c>
      <c r="Q7" s="30">
        <v>295</v>
      </c>
      <c r="R7" s="30">
        <v>16.8</v>
      </c>
      <c r="S7" s="30">
        <v>4579.9399999999996</v>
      </c>
      <c r="T7" s="32">
        <f t="shared" ref="T7:T8" si="0">+B7*46.38+C7*27.83+D7*0.4638+E7*158.5+F7*25.5+G7*95+H7*1.59+I7*18.55+J7*0.52+K7*1.45+L7*1.75-M7-N7-O7-P7+Q7+R7+S7</f>
        <v>-9.8499999940031557E-3</v>
      </c>
      <c r="U7" s="1"/>
      <c r="V7" s="27">
        <f>+A7</f>
        <v>44805</v>
      </c>
      <c r="W7" s="28">
        <f>SUM(E7*100+F7*20+G7*60+H7+I7*7+K7*1.1167+L7*1.1167)</f>
        <v>45330.961960900007</v>
      </c>
      <c r="X7" s="28">
        <f t="shared" ref="X7:X19" si="1">SUM(B7*100+C7*60+D7+J7*1.1167)</f>
        <v>23344.184799999999</v>
      </c>
    </row>
    <row r="8" spans="1:24" x14ac:dyDescent="0.25">
      <c r="A8" s="27">
        <v>44806</v>
      </c>
      <c r="B8" s="28">
        <v>230</v>
      </c>
      <c r="C8" s="28"/>
      <c r="D8" s="28"/>
      <c r="E8" s="28">
        <v>19</v>
      </c>
      <c r="F8" s="29">
        <v>351</v>
      </c>
      <c r="G8" s="28"/>
      <c r="H8" s="28">
        <v>25</v>
      </c>
      <c r="I8" s="28">
        <v>4</v>
      </c>
      <c r="J8" s="13">
        <f>993-93</f>
        <v>900</v>
      </c>
      <c r="K8" s="6">
        <v>711.16499999999996</v>
      </c>
      <c r="L8" s="28">
        <f>30386+93</f>
        <v>30479</v>
      </c>
      <c r="M8" s="30">
        <v>17870.89</v>
      </c>
      <c r="N8" s="30">
        <v>5145.46</v>
      </c>
      <c r="O8" s="30">
        <f>56389.82+93*1.75-93*0.52-2.1</f>
        <v>56502.11</v>
      </c>
      <c r="P8" s="31">
        <v>158.5</v>
      </c>
      <c r="Q8" s="30">
        <v>915</v>
      </c>
      <c r="R8" s="30">
        <f>10.5-2.1</f>
        <v>8.4</v>
      </c>
      <c r="S8" s="30">
        <v>1172.77</v>
      </c>
      <c r="T8" s="32">
        <f t="shared" si="0"/>
        <v>-7.49999997424311E-4</v>
      </c>
      <c r="U8" s="1"/>
      <c r="V8" s="27">
        <f t="shared" ref="V8:V19" si="2">+A8</f>
        <v>44806</v>
      </c>
      <c r="W8" s="28">
        <f t="shared" ref="W8:W19" si="3">SUM(E8*100+F8*20+G8*60+H8+I8*7+K8*1.1167+L8*1.1167)</f>
        <v>43803.057255499996</v>
      </c>
      <c r="X8" s="28">
        <f t="shared" si="1"/>
        <v>24005.03</v>
      </c>
    </row>
    <row r="9" spans="1:24" x14ac:dyDescent="0.25">
      <c r="A9" s="27">
        <v>44807</v>
      </c>
      <c r="B9" s="28">
        <v>71</v>
      </c>
      <c r="C9" s="28"/>
      <c r="D9" s="28"/>
      <c r="E9" s="28">
        <v>1</v>
      </c>
      <c r="F9" s="29">
        <v>370</v>
      </c>
      <c r="G9" s="28"/>
      <c r="H9" s="28">
        <v>110</v>
      </c>
      <c r="I9" s="28"/>
      <c r="J9" s="13"/>
      <c r="K9" s="6">
        <v>391.68099999999998</v>
      </c>
      <c r="L9" s="28">
        <v>378</v>
      </c>
      <c r="M9" s="30">
        <v>13902.99</v>
      </c>
      <c r="N9" s="30"/>
      <c r="O9" s="30">
        <v>762</v>
      </c>
      <c r="P9" s="33"/>
      <c r="Q9" s="30">
        <v>260</v>
      </c>
      <c r="R9" s="30">
        <v>75</v>
      </c>
      <c r="S9" s="30"/>
      <c r="T9" s="32">
        <f t="shared" ref="T9:T19" si="4">+B9*46.38+C9*27.83+D9*0.4638+E9*158.5+F9*25.5+G9*95+H9*1.59+I9*18.55+J9*0.52+K9*1.55+L9*1.75-M9-N9-O9-P9+Q9+R9+S9</f>
        <v>-4.4500000003608875E-3</v>
      </c>
      <c r="U9" s="1"/>
      <c r="V9" s="27">
        <f t="shared" si="2"/>
        <v>44807</v>
      </c>
      <c r="W9" s="28">
        <f t="shared" si="3"/>
        <v>8469.5027726999997</v>
      </c>
      <c r="X9" s="28">
        <f t="shared" si="1"/>
        <v>7100</v>
      </c>
    </row>
    <row r="10" spans="1:24" x14ac:dyDescent="0.25">
      <c r="A10" s="27">
        <v>44809</v>
      </c>
      <c r="B10" s="28">
        <v>257</v>
      </c>
      <c r="C10" s="28"/>
      <c r="D10" s="28"/>
      <c r="E10" s="28">
        <v>9</v>
      </c>
      <c r="F10" s="29">
        <v>364</v>
      </c>
      <c r="G10" s="28"/>
      <c r="H10" s="28">
        <v>105</v>
      </c>
      <c r="I10" s="28"/>
      <c r="J10" s="13">
        <v>1059</v>
      </c>
      <c r="K10" s="34">
        <v>1814.4970000000001</v>
      </c>
      <c r="L10" s="28">
        <f>34440+7325</f>
        <v>41765</v>
      </c>
      <c r="M10" s="30">
        <v>20795.54</v>
      </c>
      <c r="N10" s="30">
        <v>4374.18</v>
      </c>
      <c r="O10" s="30">
        <f>63333.9+12818.75</f>
        <v>76152.649999999994</v>
      </c>
      <c r="P10" s="31">
        <v>67.989999999999995</v>
      </c>
      <c r="Q10" s="30">
        <v>725</v>
      </c>
      <c r="R10" s="30">
        <v>2.1</v>
      </c>
      <c r="S10" s="30">
        <v>1416.25</v>
      </c>
      <c r="T10" s="32">
        <f t="shared" si="4"/>
        <v>3.5000000161744538E-4</v>
      </c>
      <c r="U10" s="1"/>
      <c r="V10" s="27">
        <f t="shared" si="2"/>
        <v>44809</v>
      </c>
      <c r="W10" s="28">
        <f t="shared" si="3"/>
        <v>56950.224299900001</v>
      </c>
      <c r="X10" s="28">
        <f t="shared" si="1"/>
        <v>26882.585299999999</v>
      </c>
    </row>
    <row r="11" spans="1:24" x14ac:dyDescent="0.25">
      <c r="A11" s="27">
        <v>44810</v>
      </c>
      <c r="B11" s="28">
        <v>228</v>
      </c>
      <c r="C11" s="28"/>
      <c r="D11" s="28"/>
      <c r="E11" s="28">
        <v>15</v>
      </c>
      <c r="F11" s="29">
        <v>303</v>
      </c>
      <c r="G11" s="28"/>
      <c r="H11" s="28"/>
      <c r="I11" s="28"/>
      <c r="J11" s="13">
        <v>3504</v>
      </c>
      <c r="K11" s="34">
        <v>760.20699999999999</v>
      </c>
      <c r="L11" s="28">
        <v>35233</v>
      </c>
      <c r="M11" s="30">
        <v>17431.32</v>
      </c>
      <c r="N11" s="30">
        <v>4618.8</v>
      </c>
      <c r="O11" s="30">
        <v>64669.11</v>
      </c>
      <c r="P11" s="33">
        <v>334</v>
      </c>
      <c r="Q11" s="30">
        <v>470</v>
      </c>
      <c r="R11" s="30">
        <v>110.05</v>
      </c>
      <c r="S11" s="30">
        <v>1136.3900000000001</v>
      </c>
      <c r="T11" s="32">
        <f t="shared" si="4"/>
        <v>8.500000089952664E-4</v>
      </c>
      <c r="U11" s="1"/>
      <c r="V11" s="27">
        <f t="shared" si="2"/>
        <v>44810</v>
      </c>
      <c r="W11" s="28">
        <f t="shared" si="3"/>
        <v>47753.614256900008</v>
      </c>
      <c r="X11" s="28">
        <f t="shared" si="1"/>
        <v>26712.916799999999</v>
      </c>
    </row>
    <row r="12" spans="1:24" x14ac:dyDescent="0.25">
      <c r="A12" s="27">
        <v>44811</v>
      </c>
      <c r="B12" s="28">
        <v>221</v>
      </c>
      <c r="C12" s="28"/>
      <c r="D12" s="28"/>
      <c r="E12" s="28">
        <v>15</v>
      </c>
      <c r="F12" s="29">
        <v>260</v>
      </c>
      <c r="G12" s="28"/>
      <c r="H12" s="28">
        <v>120</v>
      </c>
      <c r="I12" s="28"/>
      <c r="J12" s="13">
        <v>1591</v>
      </c>
      <c r="K12" s="34">
        <v>682.79100000000005</v>
      </c>
      <c r="L12" s="28">
        <v>34688</v>
      </c>
      <c r="M12" s="30">
        <v>15867.46</v>
      </c>
      <c r="N12" s="30">
        <v>5356</v>
      </c>
      <c r="O12" s="30">
        <v>63172.55</v>
      </c>
      <c r="P12" s="31">
        <v>139.13999999999999</v>
      </c>
      <c r="Q12" s="30">
        <v>530</v>
      </c>
      <c r="R12" s="30">
        <v>29.4</v>
      </c>
      <c r="S12" s="30">
        <v>1937.82</v>
      </c>
      <c r="T12" s="32">
        <f t="shared" si="4"/>
        <v>-3.9499999854797352E-3</v>
      </c>
      <c r="U12" s="1"/>
      <c r="V12" s="27">
        <f t="shared" si="2"/>
        <v>44811</v>
      </c>
      <c r="W12" s="28">
        <f t="shared" si="3"/>
        <v>46318.562309699999</v>
      </c>
      <c r="X12" s="28">
        <f t="shared" si="1"/>
        <v>23876.669699999999</v>
      </c>
    </row>
    <row r="13" spans="1:24" x14ac:dyDescent="0.25">
      <c r="A13" s="27">
        <v>44812</v>
      </c>
      <c r="B13" s="28">
        <v>210</v>
      </c>
      <c r="C13" s="28"/>
      <c r="D13" s="28"/>
      <c r="E13" s="28">
        <v>18</v>
      </c>
      <c r="F13" s="29">
        <v>252</v>
      </c>
      <c r="G13" s="28">
        <v>3</v>
      </c>
      <c r="H13" s="28">
        <v>5</v>
      </c>
      <c r="I13" s="28"/>
      <c r="J13" s="13">
        <v>4659</v>
      </c>
      <c r="K13" s="34">
        <v>728.79</v>
      </c>
      <c r="L13" s="28">
        <v>32127</v>
      </c>
      <c r="M13" s="30">
        <v>16796.77</v>
      </c>
      <c r="N13" s="30">
        <v>4631.5600000000004</v>
      </c>
      <c r="O13" s="30">
        <v>59497.43</v>
      </c>
      <c r="P13" s="31">
        <v>107.55</v>
      </c>
      <c r="Q13" s="30">
        <v>1295</v>
      </c>
      <c r="R13" s="30">
        <v>31.5</v>
      </c>
      <c r="S13" s="30">
        <v>620.5</v>
      </c>
      <c r="T13" s="32">
        <f t="shared" si="4"/>
        <v>-5.5000000036216079E-3</v>
      </c>
      <c r="U13" s="1"/>
      <c r="V13" s="27">
        <f t="shared" si="2"/>
        <v>44812</v>
      </c>
      <c r="W13" s="28">
        <f t="shared" si="3"/>
        <v>43715.060692999999</v>
      </c>
      <c r="X13" s="28">
        <f t="shared" si="1"/>
        <v>26202.705300000001</v>
      </c>
    </row>
    <row r="14" spans="1:24" x14ac:dyDescent="0.25">
      <c r="A14" s="27">
        <v>44813</v>
      </c>
      <c r="B14" s="28">
        <v>201</v>
      </c>
      <c r="C14" s="28"/>
      <c r="D14" s="28"/>
      <c r="E14" s="28">
        <v>27</v>
      </c>
      <c r="F14" s="29">
        <v>322</v>
      </c>
      <c r="G14" s="28"/>
      <c r="H14" s="28">
        <v>75</v>
      </c>
      <c r="I14" s="28"/>
      <c r="J14" s="13">
        <v>2522</v>
      </c>
      <c r="K14" s="34">
        <v>772.03700000000003</v>
      </c>
      <c r="L14" s="28">
        <v>32713</v>
      </c>
      <c r="M14" s="30">
        <v>17357.759999999998</v>
      </c>
      <c r="N14" s="30">
        <v>5765.64</v>
      </c>
      <c r="O14" s="30">
        <v>60769.94</v>
      </c>
      <c r="P14" s="31">
        <v>109.76</v>
      </c>
      <c r="Q14" s="30">
        <v>780</v>
      </c>
      <c r="R14" s="30">
        <v>31.5</v>
      </c>
      <c r="S14" s="30">
        <v>1503.62</v>
      </c>
      <c r="T14" s="32">
        <f t="shared" si="4"/>
        <v>-2.6499999958105036E-3</v>
      </c>
      <c r="U14" s="1"/>
      <c r="V14" s="27">
        <f t="shared" si="2"/>
        <v>44813</v>
      </c>
      <c r="W14" s="28">
        <f t="shared" si="3"/>
        <v>46607.740817900005</v>
      </c>
      <c r="X14" s="28">
        <f t="shared" si="1"/>
        <v>22916.3174</v>
      </c>
    </row>
    <row r="15" spans="1:24" x14ac:dyDescent="0.25">
      <c r="A15" s="27">
        <v>44814</v>
      </c>
      <c r="B15" s="28">
        <v>57</v>
      </c>
      <c r="C15" s="28"/>
      <c r="D15" s="28"/>
      <c r="E15" s="28">
        <v>3</v>
      </c>
      <c r="F15" s="29">
        <v>328</v>
      </c>
      <c r="G15" s="28"/>
      <c r="H15" s="28">
        <v>55</v>
      </c>
      <c r="I15" s="28"/>
      <c r="J15" s="13"/>
      <c r="K15" s="34">
        <v>267.41300000000001</v>
      </c>
      <c r="L15" s="28"/>
      <c r="M15" s="30">
        <v>12426.76</v>
      </c>
      <c r="N15" s="30"/>
      <c r="O15" s="30">
        <v>188.35</v>
      </c>
      <c r="P15" s="31"/>
      <c r="Q15" s="30">
        <v>30</v>
      </c>
      <c r="R15" s="30"/>
      <c r="S15" s="30">
        <v>600.01</v>
      </c>
      <c r="T15" s="32">
        <f t="shared" si="4"/>
        <v>1.4999999996234692E-4</v>
      </c>
      <c r="U15" s="1"/>
      <c r="V15" s="27">
        <f t="shared" si="2"/>
        <v>44814</v>
      </c>
      <c r="W15" s="28">
        <f t="shared" si="3"/>
        <v>7213.6200970999998</v>
      </c>
      <c r="X15" s="28">
        <f t="shared" si="1"/>
        <v>5700</v>
      </c>
    </row>
    <row r="16" spans="1:24" x14ac:dyDescent="0.25">
      <c r="A16" s="27">
        <v>44816</v>
      </c>
      <c r="B16" s="28">
        <v>223</v>
      </c>
      <c r="C16" s="28"/>
      <c r="D16" s="28"/>
      <c r="E16" s="28">
        <v>10</v>
      </c>
      <c r="F16" s="29">
        <v>368</v>
      </c>
      <c r="G16" s="28"/>
      <c r="H16" s="28">
        <v>80</v>
      </c>
      <c r="I16" s="28"/>
      <c r="J16" s="13">
        <v>2796</v>
      </c>
      <c r="K16" s="34">
        <v>841.33100000000002</v>
      </c>
      <c r="L16" s="28">
        <v>40380</v>
      </c>
      <c r="M16" s="30">
        <v>20234.169999999998</v>
      </c>
      <c r="N16" s="30">
        <v>5678.86</v>
      </c>
      <c r="O16" s="30">
        <v>74662.17</v>
      </c>
      <c r="P16" s="31">
        <v>126.76</v>
      </c>
      <c r="Q16" s="30">
        <v>665</v>
      </c>
      <c r="R16" s="30">
        <v>35.700000000000003</v>
      </c>
      <c r="S16" s="30">
        <v>5139.34</v>
      </c>
      <c r="T16" s="32">
        <f t="shared" si="4"/>
        <v>3.0500000002575689E-3</v>
      </c>
      <c r="U16" s="1"/>
      <c r="V16" s="27">
        <f t="shared" si="2"/>
        <v>44816</v>
      </c>
      <c r="W16" s="28">
        <f t="shared" si="3"/>
        <v>54471.8603277</v>
      </c>
      <c r="X16" s="28">
        <f t="shared" si="1"/>
        <v>25422.2932</v>
      </c>
    </row>
    <row r="17" spans="1:24" x14ac:dyDescent="0.25">
      <c r="A17" s="27">
        <v>44817</v>
      </c>
      <c r="B17" s="28">
        <v>231</v>
      </c>
      <c r="C17" s="28"/>
      <c r="D17" s="28"/>
      <c r="E17" s="28">
        <v>11</v>
      </c>
      <c r="F17" s="29">
        <v>317</v>
      </c>
      <c r="G17" s="28"/>
      <c r="H17" s="28">
        <v>185</v>
      </c>
      <c r="I17" s="28"/>
      <c r="J17" s="13">
        <v>902</v>
      </c>
      <c r="K17" s="34">
        <v>1153.645</v>
      </c>
      <c r="L17" s="28">
        <v>37916</v>
      </c>
      <c r="M17" s="30">
        <v>18368.95</v>
      </c>
      <c r="N17" s="30">
        <v>4438.55</v>
      </c>
      <c r="O17" s="30">
        <v>68328.929999999993</v>
      </c>
      <c r="P17" s="31">
        <v>181.86</v>
      </c>
      <c r="Q17" s="30">
        <v>675</v>
      </c>
      <c r="R17" s="30">
        <v>2.1</v>
      </c>
      <c r="S17" s="30">
        <v>1196.08</v>
      </c>
      <c r="T17" s="32">
        <f t="shared" si="4"/>
        <v>9.7500000047148205E-3</v>
      </c>
      <c r="U17" s="1"/>
      <c r="V17" s="27">
        <f t="shared" si="2"/>
        <v>44817</v>
      </c>
      <c r="W17" s="28">
        <f t="shared" si="3"/>
        <v>51254.072571500001</v>
      </c>
      <c r="X17" s="28">
        <f t="shared" si="1"/>
        <v>24107.2634</v>
      </c>
    </row>
    <row r="18" spans="1:24" x14ac:dyDescent="0.25">
      <c r="A18" s="27">
        <v>44818</v>
      </c>
      <c r="B18" s="28">
        <v>206</v>
      </c>
      <c r="C18" s="28"/>
      <c r="D18" s="28"/>
      <c r="E18" s="28">
        <v>21</v>
      </c>
      <c r="F18" s="29">
        <v>234</v>
      </c>
      <c r="G18" s="28"/>
      <c r="H18" s="28">
        <v>70</v>
      </c>
      <c r="I18" s="28"/>
      <c r="J18" s="13">
        <v>3258</v>
      </c>
      <c r="K18" s="34">
        <v>733.08500000000004</v>
      </c>
      <c r="L18" s="28">
        <v>36342</v>
      </c>
      <c r="M18" s="30">
        <v>16775.57</v>
      </c>
      <c r="N18" s="30">
        <v>4346.38</v>
      </c>
      <c r="O18" s="30">
        <v>67928.77</v>
      </c>
      <c r="P18" s="31">
        <v>185.52</v>
      </c>
      <c r="Q18" s="30">
        <v>1065</v>
      </c>
      <c r="R18" s="30">
        <v>12.6</v>
      </c>
      <c r="S18" s="30">
        <v>2768.61</v>
      </c>
      <c r="T18" s="32">
        <f t="shared" si="4"/>
        <v>-8.2499999939500412E-3</v>
      </c>
      <c r="U18" s="1"/>
      <c r="V18" s="27">
        <f t="shared" si="2"/>
        <v>44818</v>
      </c>
      <c r="W18" s="28">
        <f t="shared" si="3"/>
        <v>48251.747419500003</v>
      </c>
      <c r="X18" s="28">
        <f t="shared" si="1"/>
        <v>24238.208599999998</v>
      </c>
    </row>
    <row r="19" spans="1:24" x14ac:dyDescent="0.25">
      <c r="A19" s="35">
        <v>44819</v>
      </c>
      <c r="B19" s="36">
        <v>162</v>
      </c>
      <c r="C19" s="36"/>
      <c r="D19" s="36"/>
      <c r="E19" s="36">
        <v>9</v>
      </c>
      <c r="F19" s="37">
        <v>261</v>
      </c>
      <c r="G19" s="36"/>
      <c r="H19" s="36">
        <v>95</v>
      </c>
      <c r="I19" s="36"/>
      <c r="J19" s="38">
        <v>910</v>
      </c>
      <c r="K19" s="39">
        <v>811.11599999999999</v>
      </c>
      <c r="L19" s="36">
        <v>34631</v>
      </c>
      <c r="M19" s="40">
        <v>14385.37</v>
      </c>
      <c r="N19" s="40">
        <v>3608.32</v>
      </c>
      <c r="O19" s="40">
        <v>61866.14</v>
      </c>
      <c r="P19" s="41">
        <v>251.26</v>
      </c>
      <c r="Q19" s="40">
        <v>1175</v>
      </c>
      <c r="R19" s="40">
        <v>6.3</v>
      </c>
      <c r="S19" s="40">
        <v>848.5</v>
      </c>
      <c r="T19" s="42">
        <f t="shared" si="4"/>
        <v>-2.0000000313302735E-4</v>
      </c>
      <c r="U19" s="16"/>
      <c r="V19" s="35">
        <f t="shared" si="2"/>
        <v>44819</v>
      </c>
      <c r="W19" s="36">
        <f t="shared" si="3"/>
        <v>45793.210937200005</v>
      </c>
      <c r="X19" s="36">
        <f t="shared" si="1"/>
        <v>17216.197</v>
      </c>
    </row>
    <row r="20" spans="1:24" x14ac:dyDescent="0.25">
      <c r="A20" s="27"/>
      <c r="B20" s="43">
        <f>SUM(B7:B19)</f>
        <v>2513</v>
      </c>
      <c r="C20" s="43">
        <f t="shared" ref="C20:T20" si="5">SUM(C7:C19)</f>
        <v>0</v>
      </c>
      <c r="D20" s="43">
        <f t="shared" si="5"/>
        <v>20</v>
      </c>
      <c r="E20" s="43">
        <f t="shared" si="5"/>
        <v>170</v>
      </c>
      <c r="F20" s="43">
        <f t="shared" si="5"/>
        <v>4043</v>
      </c>
      <c r="G20" s="43">
        <f t="shared" si="5"/>
        <v>3</v>
      </c>
      <c r="H20" s="43">
        <f t="shared" si="5"/>
        <v>935</v>
      </c>
      <c r="I20" s="43">
        <f t="shared" si="5"/>
        <v>4</v>
      </c>
      <c r="J20" s="43">
        <f t="shared" si="5"/>
        <v>23645</v>
      </c>
      <c r="K20" s="94">
        <f t="shared" si="5"/>
        <v>10549.085000000001</v>
      </c>
      <c r="L20" s="43">
        <f t="shared" si="5"/>
        <v>389675</v>
      </c>
      <c r="M20" s="45">
        <f t="shared" si="5"/>
        <v>222881.89</v>
      </c>
      <c r="N20" s="45">
        <f t="shared" si="5"/>
        <v>52099.55</v>
      </c>
      <c r="O20" s="45">
        <f t="shared" si="5"/>
        <v>714272.42999999993</v>
      </c>
      <c r="P20" s="45">
        <f t="shared" si="5"/>
        <v>1775.4799999999998</v>
      </c>
      <c r="Q20" s="45">
        <f t="shared" si="5"/>
        <v>8880</v>
      </c>
      <c r="R20" s="45">
        <f t="shared" si="5"/>
        <v>361.45000000000005</v>
      </c>
      <c r="S20" s="45">
        <f t="shared" si="5"/>
        <v>22919.83</v>
      </c>
      <c r="T20" s="45">
        <f t="shared" si="5"/>
        <v>-2.1449999958235821E-2</v>
      </c>
      <c r="U20" s="43"/>
      <c r="V20" s="43"/>
      <c r="W20" s="43">
        <f>SUM(W7:W19)</f>
        <v>545933.23571949999</v>
      </c>
      <c r="X20" s="43">
        <f>SUM(X7:X19)</f>
        <v>277724.37150000001</v>
      </c>
    </row>
    <row r="21" spans="1:24" x14ac:dyDescent="0.25">
      <c r="A21" s="27"/>
      <c r="B21" s="43">
        <f>(B20*100)</f>
        <v>251300</v>
      </c>
      <c r="C21" s="43">
        <f>(C20*60)</f>
        <v>0</v>
      </c>
      <c r="D21" s="43">
        <f>(D20)</f>
        <v>20</v>
      </c>
      <c r="E21" s="43">
        <f>(E20*100)</f>
        <v>17000</v>
      </c>
      <c r="F21" s="46">
        <f>(F20*20)</f>
        <v>80860</v>
      </c>
      <c r="G21" s="43">
        <f>(G20*60)</f>
        <v>180</v>
      </c>
      <c r="H21" s="43">
        <f>(H20)</f>
        <v>935</v>
      </c>
      <c r="I21" s="43">
        <f>+I20*7</f>
        <v>28</v>
      </c>
      <c r="J21" s="44">
        <f>(J20*1.1167)</f>
        <v>26404.371500000001</v>
      </c>
      <c r="K21" s="47">
        <f>(K20*1.1167)</f>
        <v>11780.163219500002</v>
      </c>
      <c r="L21" s="48">
        <f>(L20*1.1167)</f>
        <v>435150.07250000001</v>
      </c>
      <c r="M21" s="49"/>
      <c r="N21" s="49"/>
      <c r="O21" s="49"/>
      <c r="P21" s="49"/>
      <c r="Q21" s="49"/>
      <c r="R21" s="49"/>
      <c r="S21" s="49"/>
      <c r="T21" s="49"/>
      <c r="U21" s="49"/>
      <c r="V21" s="50" t="s">
        <v>35</v>
      </c>
      <c r="W21" s="43">
        <f>+D47+D48+D49+D50-W20</f>
        <v>0</v>
      </c>
      <c r="X21" s="43">
        <f>+D46-X20</f>
        <v>0</v>
      </c>
    </row>
    <row r="22" spans="1:24" x14ac:dyDescent="0.25">
      <c r="A22" s="27"/>
      <c r="B22" s="43"/>
      <c r="C22" s="43"/>
      <c r="D22" s="43"/>
      <c r="E22" s="43"/>
      <c r="F22" s="46"/>
      <c r="G22" s="43"/>
      <c r="H22" s="43"/>
      <c r="I22" s="43"/>
      <c r="J22" s="44"/>
      <c r="K22" s="47"/>
      <c r="L22" s="48"/>
      <c r="M22" s="49"/>
      <c r="N22" s="49"/>
      <c r="O22" s="49"/>
      <c r="P22" s="49"/>
      <c r="Q22" s="49"/>
      <c r="R22" s="49"/>
      <c r="S22" s="49"/>
      <c r="T22" s="49"/>
      <c r="U22" s="49"/>
      <c r="V22" s="50"/>
      <c r="W22" s="43"/>
      <c r="X22" s="43"/>
    </row>
    <row r="23" spans="1:24" x14ac:dyDescent="0.25">
      <c r="A23" s="22" t="s">
        <v>26</v>
      </c>
      <c r="B23" s="22" t="s">
        <v>27</v>
      </c>
      <c r="C23" s="22" t="s">
        <v>28</v>
      </c>
      <c r="D23" s="22" t="s">
        <v>29</v>
      </c>
      <c r="E23" s="22" t="s">
        <v>27</v>
      </c>
      <c r="F23" s="22" t="s">
        <v>30</v>
      </c>
      <c r="G23" s="22" t="s">
        <v>28</v>
      </c>
      <c r="H23" s="22" t="s">
        <v>29</v>
      </c>
      <c r="I23" s="22" t="s">
        <v>31</v>
      </c>
      <c r="J23" s="23" t="s">
        <v>32</v>
      </c>
      <c r="K23" s="24" t="s">
        <v>32</v>
      </c>
      <c r="L23" s="25" t="s">
        <v>32</v>
      </c>
      <c r="M23" s="22" t="s">
        <v>33</v>
      </c>
      <c r="N23" s="22" t="s">
        <v>33</v>
      </c>
      <c r="O23" s="22" t="s">
        <v>33</v>
      </c>
      <c r="P23" s="22" t="s">
        <v>33</v>
      </c>
      <c r="Q23" s="22" t="s">
        <v>33</v>
      </c>
      <c r="R23" s="22" t="s">
        <v>33</v>
      </c>
      <c r="S23" s="22" t="s">
        <v>33</v>
      </c>
      <c r="T23" s="22" t="s">
        <v>33</v>
      </c>
      <c r="U23" s="26"/>
      <c r="V23" s="22" t="s">
        <v>26</v>
      </c>
      <c r="W23" s="22" t="s">
        <v>11</v>
      </c>
      <c r="X23" s="22" t="s">
        <v>34</v>
      </c>
    </row>
    <row r="24" spans="1:24" x14ac:dyDescent="0.25">
      <c r="A24" s="27">
        <v>44820</v>
      </c>
      <c r="B24" s="28">
        <v>194</v>
      </c>
      <c r="C24" s="28"/>
      <c r="D24" s="28"/>
      <c r="E24" s="28">
        <v>19</v>
      </c>
      <c r="F24" s="29">
        <v>274</v>
      </c>
      <c r="G24" s="28"/>
      <c r="H24" s="28">
        <v>40</v>
      </c>
      <c r="I24" s="28"/>
      <c r="J24" s="13">
        <v>3621</v>
      </c>
      <c r="K24" s="34">
        <v>587.96500000000003</v>
      </c>
      <c r="L24" s="28">
        <v>31218</v>
      </c>
      <c r="M24" s="30">
        <v>15568.09</v>
      </c>
      <c r="N24" s="30">
        <v>4472.42</v>
      </c>
      <c r="O24" s="30">
        <v>58417.96</v>
      </c>
      <c r="P24" s="33">
        <v>69.569999999999993</v>
      </c>
      <c r="Q24" s="30">
        <v>345</v>
      </c>
      <c r="R24" s="30">
        <v>48.3</v>
      </c>
      <c r="S24" s="30">
        <v>1649.16</v>
      </c>
      <c r="T24" s="32">
        <f t="shared" ref="T24:T37" si="6">+B24*46.38+C24*27.83+D24*0.4638+E24*158.5+F24*25.5+G24*95+H24*1.59+I24*18.55+J24*0.52+K24*1.55+L24*1.75-M24-N24-O24-P24+Q24+R24+S24</f>
        <v>5.7500000045820343E-3</v>
      </c>
      <c r="U24" s="51"/>
      <c r="V24" s="27">
        <f>+A24</f>
        <v>44820</v>
      </c>
      <c r="W24" s="28">
        <f t="shared" ref="W24:W37" si="7">SUM(E24*100+F24*20+G24*60+H24+I24*7+K24*1.1167+L24*1.1167)</f>
        <v>42937.721115499997</v>
      </c>
      <c r="X24" s="28">
        <f t="shared" ref="X24:X37" si="8">SUM(B24*100+C24*60+D24+J24*1.1167)</f>
        <v>23443.5707</v>
      </c>
    </row>
    <row r="25" spans="1:24" x14ac:dyDescent="0.25">
      <c r="A25" s="27">
        <v>44821</v>
      </c>
      <c r="B25" s="28">
        <v>59</v>
      </c>
      <c r="C25" s="28"/>
      <c r="D25" s="28"/>
      <c r="E25" s="28">
        <v>4</v>
      </c>
      <c r="F25" s="29">
        <v>295</v>
      </c>
      <c r="G25" s="28"/>
      <c r="H25" s="28">
        <v>40</v>
      </c>
      <c r="I25" s="28"/>
      <c r="J25" s="13">
        <v>1564</v>
      </c>
      <c r="K25" s="34">
        <v>451.59300000000002</v>
      </c>
      <c r="L25" s="52">
        <v>351</v>
      </c>
      <c r="M25" s="30">
        <v>11873.73</v>
      </c>
      <c r="N25" s="30"/>
      <c r="O25" s="30">
        <v>1505.41</v>
      </c>
      <c r="P25" s="31">
        <v>46.38</v>
      </c>
      <c r="Q25" s="30"/>
      <c r="R25" s="30">
        <v>31.5</v>
      </c>
      <c r="S25" s="30">
        <v>310</v>
      </c>
      <c r="T25" s="32">
        <f t="shared" si="6"/>
        <v>-8.4999999774026946E-4</v>
      </c>
      <c r="U25" s="30"/>
      <c r="V25" s="27">
        <f t="shared" ref="V25:V37" si="9">+A25</f>
        <v>44821</v>
      </c>
      <c r="W25" s="28">
        <f t="shared" si="7"/>
        <v>7236.2556030999995</v>
      </c>
      <c r="X25" s="28">
        <f t="shared" si="8"/>
        <v>7646.5187999999998</v>
      </c>
    </row>
    <row r="26" spans="1:24" x14ac:dyDescent="0.25">
      <c r="A26" s="27">
        <v>44823</v>
      </c>
      <c r="B26" s="28">
        <v>172</v>
      </c>
      <c r="C26" s="28"/>
      <c r="D26" s="28">
        <v>20</v>
      </c>
      <c r="E26" s="28">
        <v>7</v>
      </c>
      <c r="F26" s="29">
        <v>300</v>
      </c>
      <c r="G26" s="28">
        <v>3</v>
      </c>
      <c r="H26" s="28">
        <v>70</v>
      </c>
      <c r="I26" s="28"/>
      <c r="J26" s="13">
        <v>1447</v>
      </c>
      <c r="K26" s="34">
        <v>1072.385</v>
      </c>
      <c r="L26" s="52">
        <v>37477</v>
      </c>
      <c r="M26" s="30">
        <v>17572.79</v>
      </c>
      <c r="N26" s="30">
        <v>3018</v>
      </c>
      <c r="O26" s="30">
        <v>68100.31</v>
      </c>
      <c r="P26" s="31">
        <v>108.67</v>
      </c>
      <c r="Q26" s="30">
        <v>800</v>
      </c>
      <c r="R26" s="30">
        <v>18.899999999999999</v>
      </c>
      <c r="S26" s="30">
        <v>2839.05</v>
      </c>
      <c r="T26" s="32">
        <f t="shared" si="6"/>
        <v>2.7499999864630809E-3</v>
      </c>
      <c r="U26" s="30"/>
      <c r="V26" s="27">
        <f t="shared" si="9"/>
        <v>44823</v>
      </c>
      <c r="W26" s="28">
        <f t="shared" si="7"/>
        <v>49998.098229499999</v>
      </c>
      <c r="X26" s="28">
        <f t="shared" si="8"/>
        <v>18835.8649</v>
      </c>
    </row>
    <row r="27" spans="1:24" x14ac:dyDescent="0.25">
      <c r="A27" s="27">
        <v>44824</v>
      </c>
      <c r="B27" s="28">
        <v>213</v>
      </c>
      <c r="C27" s="28"/>
      <c r="D27" s="28"/>
      <c r="E27" s="28">
        <v>16</v>
      </c>
      <c r="F27" s="29">
        <v>304</v>
      </c>
      <c r="G27" s="28"/>
      <c r="H27" s="28">
        <v>10</v>
      </c>
      <c r="I27" s="28">
        <v>2</v>
      </c>
      <c r="J27" s="13">
        <v>610</v>
      </c>
      <c r="K27" s="6">
        <v>854.322</v>
      </c>
      <c r="L27" s="52">
        <v>41737</v>
      </c>
      <c r="M27" s="30">
        <v>16547.669999999998</v>
      </c>
      <c r="N27" s="30">
        <v>4604.76</v>
      </c>
      <c r="O27" s="30">
        <v>74557.59</v>
      </c>
      <c r="P27" s="33">
        <v>264.04000000000002</v>
      </c>
      <c r="Q27" s="30">
        <v>175</v>
      </c>
      <c r="R27" s="30">
        <v>10.5</v>
      </c>
      <c r="S27" s="30">
        <v>887.47</v>
      </c>
      <c r="T27" s="32">
        <f t="shared" si="6"/>
        <v>-8.9999997749146132E-4</v>
      </c>
      <c r="U27" s="30"/>
      <c r="V27" s="27">
        <f t="shared" si="9"/>
        <v>44824</v>
      </c>
      <c r="W27" s="28">
        <f t="shared" si="7"/>
        <v>55265.729277400002</v>
      </c>
      <c r="X27" s="28">
        <f t="shared" si="8"/>
        <v>21981.187000000002</v>
      </c>
    </row>
    <row r="28" spans="1:24" x14ac:dyDescent="0.25">
      <c r="A28" s="27">
        <v>44825</v>
      </c>
      <c r="B28" s="28">
        <v>208</v>
      </c>
      <c r="C28" s="28"/>
      <c r="D28" s="28"/>
      <c r="E28" s="28">
        <v>20</v>
      </c>
      <c r="F28" s="29">
        <v>232</v>
      </c>
      <c r="G28" s="28"/>
      <c r="H28" s="28"/>
      <c r="I28" s="28"/>
      <c r="J28" s="13">
        <f>1026-70</f>
        <v>956</v>
      </c>
      <c r="K28" s="34">
        <v>957.755</v>
      </c>
      <c r="L28" s="52">
        <f>37160+70</f>
        <v>37230</v>
      </c>
      <c r="M28" s="30">
        <v>14016.37</v>
      </c>
      <c r="N28" s="30">
        <v>5145.08</v>
      </c>
      <c r="O28" s="30">
        <f>67674.74+70*1.75-70*0.52-2.1</f>
        <v>67758.740000000005</v>
      </c>
      <c r="P28" s="33">
        <v>126.2</v>
      </c>
      <c r="Q28" s="30">
        <v>55</v>
      </c>
      <c r="R28" s="30">
        <f>21-2.1</f>
        <v>18.899999999999999</v>
      </c>
      <c r="S28" s="30">
        <v>1105.31</v>
      </c>
      <c r="T28" s="32">
        <f t="shared" si="6"/>
        <v>2.5000000255204213E-4</v>
      </c>
      <c r="U28" s="30"/>
      <c r="V28" s="27">
        <f t="shared" si="9"/>
        <v>44825</v>
      </c>
      <c r="W28" s="28">
        <f t="shared" si="7"/>
        <v>49284.266008500002</v>
      </c>
      <c r="X28" s="28">
        <f t="shared" si="8"/>
        <v>21867.565200000001</v>
      </c>
    </row>
    <row r="29" spans="1:24" x14ac:dyDescent="0.25">
      <c r="A29" s="27">
        <v>44826</v>
      </c>
      <c r="B29" s="28">
        <v>179</v>
      </c>
      <c r="C29" s="28"/>
      <c r="D29" s="28"/>
      <c r="E29" s="28">
        <v>15</v>
      </c>
      <c r="F29" s="29">
        <v>280</v>
      </c>
      <c r="G29" s="28"/>
      <c r="H29" s="28"/>
      <c r="I29" s="28"/>
      <c r="J29" s="13">
        <v>2036</v>
      </c>
      <c r="K29" s="34">
        <v>994.12699999999995</v>
      </c>
      <c r="L29" s="52">
        <v>30602</v>
      </c>
      <c r="M29" s="30">
        <v>15400.84</v>
      </c>
      <c r="N29" s="30">
        <v>2909.39</v>
      </c>
      <c r="O29" s="30">
        <v>57324.31</v>
      </c>
      <c r="P29" s="33">
        <v>297.64</v>
      </c>
      <c r="Q29" s="30">
        <v>1310</v>
      </c>
      <c r="R29" s="30">
        <v>23.1</v>
      </c>
      <c r="S29" s="30">
        <v>626.45000000000005</v>
      </c>
      <c r="T29" s="32">
        <f t="shared" si="6"/>
        <v>6.8500000164704034E-3</v>
      </c>
      <c r="U29" s="30"/>
      <c r="V29" s="27">
        <f t="shared" si="9"/>
        <v>44826</v>
      </c>
      <c r="W29" s="28">
        <f t="shared" si="7"/>
        <v>42383.395020900003</v>
      </c>
      <c r="X29" s="28">
        <f t="shared" si="8"/>
        <v>20173.601200000001</v>
      </c>
    </row>
    <row r="30" spans="1:24" x14ac:dyDescent="0.25">
      <c r="A30" s="27">
        <v>44827</v>
      </c>
      <c r="B30" s="28">
        <v>165</v>
      </c>
      <c r="C30" s="28"/>
      <c r="D30" s="28"/>
      <c r="E30" s="28">
        <v>11</v>
      </c>
      <c r="F30" s="29">
        <v>318</v>
      </c>
      <c r="G30" s="28"/>
      <c r="H30" s="28">
        <v>35</v>
      </c>
      <c r="I30" s="28"/>
      <c r="J30" s="13">
        <v>570</v>
      </c>
      <c r="K30" s="34">
        <v>623.33299999999997</v>
      </c>
      <c r="L30" s="52">
        <v>29406</v>
      </c>
      <c r="M30" s="30">
        <v>14465.66</v>
      </c>
      <c r="N30" s="30">
        <v>2443.61</v>
      </c>
      <c r="O30" s="30">
        <v>54310.06</v>
      </c>
      <c r="P30" s="33">
        <v>46.38</v>
      </c>
      <c r="Q30" s="30">
        <v>525</v>
      </c>
      <c r="R30" s="30">
        <v>6.3</v>
      </c>
      <c r="S30" s="30">
        <v>450.49</v>
      </c>
      <c r="T30" s="32">
        <f t="shared" si="6"/>
        <v>-3.8499999971577381E-3</v>
      </c>
      <c r="U30" s="30"/>
      <c r="V30" s="27">
        <f t="shared" si="9"/>
        <v>44827</v>
      </c>
      <c r="W30" s="28">
        <f t="shared" si="7"/>
        <v>41028.756161100006</v>
      </c>
      <c r="X30" s="28">
        <f t="shared" si="8"/>
        <v>17136.519</v>
      </c>
    </row>
    <row r="31" spans="1:24" x14ac:dyDescent="0.25">
      <c r="A31" s="27">
        <v>44828</v>
      </c>
      <c r="B31" s="28">
        <v>77</v>
      </c>
      <c r="C31" s="28"/>
      <c r="D31" s="28"/>
      <c r="E31" s="28">
        <v>1</v>
      </c>
      <c r="F31" s="29">
        <v>391</v>
      </c>
      <c r="G31" s="28"/>
      <c r="H31" s="28">
        <v>110</v>
      </c>
      <c r="I31" s="28"/>
      <c r="J31" s="13">
        <v>5837</v>
      </c>
      <c r="K31" s="34">
        <v>284.22699999999998</v>
      </c>
      <c r="L31" s="52">
        <v>2257</v>
      </c>
      <c r="M31" s="30">
        <v>14508.57</v>
      </c>
      <c r="N31" s="30"/>
      <c r="O31" s="30">
        <v>7276.75</v>
      </c>
      <c r="P31" s="33">
        <v>63.38</v>
      </c>
      <c r="Q31" s="30">
        <v>20</v>
      </c>
      <c r="R31" s="30">
        <v>63</v>
      </c>
      <c r="S31" s="30">
        <v>465</v>
      </c>
      <c r="T31" s="32">
        <f t="shared" si="6"/>
        <v>1.8500000015819751E-3</v>
      </c>
      <c r="U31" s="30"/>
      <c r="V31" s="27">
        <f t="shared" si="9"/>
        <v>44828</v>
      </c>
      <c r="W31" s="28">
        <f t="shared" si="7"/>
        <v>10867.788190900001</v>
      </c>
      <c r="X31" s="28">
        <f t="shared" si="8"/>
        <v>14218.177900000001</v>
      </c>
    </row>
    <row r="32" spans="1:24" x14ac:dyDescent="0.25">
      <c r="A32" s="27">
        <v>44830</v>
      </c>
      <c r="B32" s="28">
        <v>163</v>
      </c>
      <c r="C32" s="28"/>
      <c r="D32" s="28"/>
      <c r="E32" s="28">
        <v>20</v>
      </c>
      <c r="F32" s="7">
        <v>394</v>
      </c>
      <c r="G32" s="28"/>
      <c r="H32" s="28">
        <v>100</v>
      </c>
      <c r="I32" s="28"/>
      <c r="J32" s="13">
        <v>1598</v>
      </c>
      <c r="K32" s="34">
        <v>1181.7660000000001</v>
      </c>
      <c r="L32" s="52">
        <v>40709</v>
      </c>
      <c r="M32" s="30">
        <v>19176.03</v>
      </c>
      <c r="N32" s="30">
        <v>2897.26</v>
      </c>
      <c r="O32" s="30">
        <v>74162.75</v>
      </c>
      <c r="P32" s="33">
        <v>155.37</v>
      </c>
      <c r="Q32" s="30">
        <v>415</v>
      </c>
      <c r="R32" s="30">
        <v>18.899999999999999</v>
      </c>
      <c r="S32" s="30">
        <v>1118.1199999999999</v>
      </c>
      <c r="T32" s="32">
        <f t="shared" si="6"/>
        <v>-2.6999999913641659E-3</v>
      </c>
      <c r="U32" s="30"/>
      <c r="V32" s="27">
        <f t="shared" si="9"/>
        <v>44830</v>
      </c>
      <c r="W32" s="28">
        <f t="shared" si="7"/>
        <v>56759.418392199994</v>
      </c>
      <c r="X32" s="28">
        <f t="shared" si="8"/>
        <v>18084.4866</v>
      </c>
    </row>
    <row r="33" spans="1:24" x14ac:dyDescent="0.25">
      <c r="A33" s="27">
        <v>44831</v>
      </c>
      <c r="B33" s="28">
        <v>224</v>
      </c>
      <c r="C33" s="28"/>
      <c r="D33" s="28"/>
      <c r="E33" s="28">
        <v>21</v>
      </c>
      <c r="F33" s="29">
        <v>327</v>
      </c>
      <c r="G33" s="28">
        <v>3</v>
      </c>
      <c r="H33" s="28">
        <v>10</v>
      </c>
      <c r="I33" s="28"/>
      <c r="J33" s="13">
        <v>1655</v>
      </c>
      <c r="K33" s="34">
        <v>896.90499999999997</v>
      </c>
      <c r="L33" s="52">
        <v>39566</v>
      </c>
      <c r="M33" s="30">
        <v>21558.89</v>
      </c>
      <c r="N33" s="30">
        <v>4892.34</v>
      </c>
      <c r="O33" s="30">
        <v>72311.41</v>
      </c>
      <c r="P33" s="33">
        <v>62.43</v>
      </c>
      <c r="Q33" s="30">
        <v>1195</v>
      </c>
      <c r="R33" s="30">
        <v>25.2</v>
      </c>
      <c r="S33" s="30">
        <v>3756.55</v>
      </c>
      <c r="T33" s="32">
        <f t="shared" si="6"/>
        <v>2.7500000069267116E-3</v>
      </c>
      <c r="U33" s="30"/>
      <c r="V33" s="27">
        <f t="shared" si="9"/>
        <v>44831</v>
      </c>
      <c r="W33" s="28">
        <f t="shared" si="7"/>
        <v>54014.9260135</v>
      </c>
      <c r="X33" s="28">
        <f t="shared" si="8"/>
        <v>24248.138500000001</v>
      </c>
    </row>
    <row r="34" spans="1:24" x14ac:dyDescent="0.25">
      <c r="A34" s="27">
        <v>44832</v>
      </c>
      <c r="B34" s="28">
        <v>196</v>
      </c>
      <c r="C34" s="28"/>
      <c r="D34" s="28">
        <v>20</v>
      </c>
      <c r="E34" s="28">
        <v>20</v>
      </c>
      <c r="F34" s="29">
        <v>271</v>
      </c>
      <c r="G34" s="28"/>
      <c r="H34" s="28"/>
      <c r="I34" s="28"/>
      <c r="J34" s="98">
        <v>429</v>
      </c>
      <c r="K34" s="99">
        <v>771.69899999999996</v>
      </c>
      <c r="L34" s="100">
        <v>35956</v>
      </c>
      <c r="M34" s="30">
        <v>15362.46</v>
      </c>
      <c r="N34" s="30">
        <v>4961.17</v>
      </c>
      <c r="O34" s="30">
        <v>65046.49</v>
      </c>
      <c r="P34" s="101">
        <v>132.94999999999999</v>
      </c>
      <c r="Q34" s="30">
        <v>1175</v>
      </c>
      <c r="R34" s="30">
        <v>6.3</v>
      </c>
      <c r="S34" s="30">
        <v>799.3</v>
      </c>
      <c r="T34" s="32">
        <f t="shared" si="6"/>
        <v>-5.4999998405946826E-4</v>
      </c>
      <c r="U34" s="30"/>
      <c r="V34" s="27">
        <f t="shared" si="9"/>
        <v>44832</v>
      </c>
      <c r="W34" s="28">
        <f t="shared" si="7"/>
        <v>48433.821473300006</v>
      </c>
      <c r="X34" s="28">
        <f t="shared" si="8"/>
        <v>20099.064299999998</v>
      </c>
    </row>
    <row r="35" spans="1:24" x14ac:dyDescent="0.25">
      <c r="A35" s="27">
        <v>44833</v>
      </c>
      <c r="B35" s="28">
        <v>229</v>
      </c>
      <c r="C35" s="28">
        <v>1</v>
      </c>
      <c r="D35" s="28"/>
      <c r="E35" s="28">
        <v>12</v>
      </c>
      <c r="F35" s="29">
        <v>276</v>
      </c>
      <c r="G35" s="28"/>
      <c r="H35" s="28">
        <v>100</v>
      </c>
      <c r="I35" s="28"/>
      <c r="J35" s="98">
        <v>1381</v>
      </c>
      <c r="K35" s="99">
        <v>1019.001</v>
      </c>
      <c r="L35" s="100">
        <v>25576</v>
      </c>
      <c r="M35" s="30">
        <v>17779.46</v>
      </c>
      <c r="N35" s="30">
        <v>4312.3999999999996</v>
      </c>
      <c r="O35" s="30">
        <v>47706.29</v>
      </c>
      <c r="P35" s="101">
        <v>114.38</v>
      </c>
      <c r="Q35" s="30">
        <v>1070</v>
      </c>
      <c r="R35" s="30">
        <v>8.4</v>
      </c>
      <c r="S35" s="30">
        <v>2030.71</v>
      </c>
      <c r="T35" s="32">
        <f t="shared" si="6"/>
        <v>1.5499999976782419E-3</v>
      </c>
      <c r="U35" s="30"/>
      <c r="V35" s="27">
        <f t="shared" si="9"/>
        <v>44833</v>
      </c>
      <c r="W35" s="28">
        <f>SUM(E35*100+F35*20+G35*60+H35+I35*7+K35*1.1167+L35*1.1167)</f>
        <v>36518.637616699998</v>
      </c>
      <c r="X35" s="28">
        <f>SUM(B35*100+C35*60+D35+J35*1.1167)</f>
        <v>24502.162700000001</v>
      </c>
    </row>
    <row r="36" spans="1:24" x14ac:dyDescent="0.25">
      <c r="A36" s="27">
        <v>44834</v>
      </c>
      <c r="B36" s="28">
        <v>234</v>
      </c>
      <c r="C36" s="28"/>
      <c r="D36" s="28"/>
      <c r="E36" s="28">
        <v>25</v>
      </c>
      <c r="F36" s="29">
        <v>365</v>
      </c>
      <c r="G36" s="28"/>
      <c r="H36" s="28">
        <v>55</v>
      </c>
      <c r="I36" s="28"/>
      <c r="J36" s="98">
        <v>1297</v>
      </c>
      <c r="K36" s="99">
        <v>754.76700000000005</v>
      </c>
      <c r="L36" s="100">
        <v>38137</v>
      </c>
      <c r="M36" s="30">
        <v>21352.66</v>
      </c>
      <c r="N36" s="30">
        <v>5743.54</v>
      </c>
      <c r="O36" s="30">
        <v>69531</v>
      </c>
      <c r="P36" s="101">
        <f>112.9+158.5-46.38</f>
        <v>225.01999999999998</v>
      </c>
      <c r="Q36" s="30">
        <v>1040</v>
      </c>
      <c r="R36" s="30">
        <v>21</v>
      </c>
      <c r="S36" s="30">
        <v>2996.78</v>
      </c>
      <c r="T36" s="32">
        <f t="shared" si="6"/>
        <v>8.8500000038038706E-3</v>
      </c>
      <c r="U36" s="30"/>
      <c r="V36" s="27">
        <f t="shared" si="9"/>
        <v>44834</v>
      </c>
      <c r="W36" s="28">
        <f>SUM(E36*100+F36*20+G36*60+H36+I36*7+K36*1.1167+L36*1.1167)</f>
        <v>53285.436208899999</v>
      </c>
      <c r="X36" s="28">
        <f>SUM(B36*100+C36*60+D36+J36*1.1167)</f>
        <v>24848.359899999999</v>
      </c>
    </row>
    <row r="37" spans="1:24" x14ac:dyDescent="0.25">
      <c r="A37" s="35"/>
      <c r="B37" s="36"/>
      <c r="C37" s="36"/>
      <c r="D37" s="36"/>
      <c r="E37" s="36"/>
      <c r="F37" s="37"/>
      <c r="G37" s="36"/>
      <c r="H37" s="36"/>
      <c r="I37" s="36"/>
      <c r="J37" s="38"/>
      <c r="K37" s="39"/>
      <c r="L37" s="53"/>
      <c r="M37" s="40"/>
      <c r="N37" s="40"/>
      <c r="O37" s="40"/>
      <c r="P37" s="54"/>
      <c r="Q37" s="40"/>
      <c r="R37" s="40"/>
      <c r="S37" s="40"/>
      <c r="T37" s="42">
        <f t="shared" si="6"/>
        <v>0</v>
      </c>
      <c r="U37" s="40"/>
      <c r="V37" s="35">
        <f t="shared" si="9"/>
        <v>0</v>
      </c>
      <c r="W37" s="36">
        <f t="shared" si="7"/>
        <v>0</v>
      </c>
      <c r="X37" s="36">
        <f t="shared" si="8"/>
        <v>0</v>
      </c>
    </row>
    <row r="38" spans="1:24" x14ac:dyDescent="0.25">
      <c r="A38" s="50" t="s">
        <v>36</v>
      </c>
      <c r="B38" s="43">
        <f t="shared" ref="B38:Q38" si="10">SUM(B24:B37)</f>
        <v>2313</v>
      </c>
      <c r="C38" s="43">
        <f t="shared" si="10"/>
        <v>1</v>
      </c>
      <c r="D38" s="43">
        <f t="shared" si="10"/>
        <v>40</v>
      </c>
      <c r="E38" s="43">
        <f t="shared" si="10"/>
        <v>191</v>
      </c>
      <c r="F38" s="43">
        <f t="shared" si="10"/>
        <v>4027</v>
      </c>
      <c r="G38" s="43">
        <f t="shared" si="10"/>
        <v>6</v>
      </c>
      <c r="H38" s="43">
        <f t="shared" si="10"/>
        <v>570</v>
      </c>
      <c r="I38" s="43">
        <f t="shared" si="10"/>
        <v>2</v>
      </c>
      <c r="J38" s="43">
        <f t="shared" si="10"/>
        <v>23001</v>
      </c>
      <c r="K38" s="94">
        <f t="shared" si="10"/>
        <v>10449.844999999999</v>
      </c>
      <c r="L38" s="43">
        <f t="shared" si="10"/>
        <v>390222</v>
      </c>
      <c r="M38" s="43">
        <f t="shared" si="10"/>
        <v>215183.22</v>
      </c>
      <c r="N38" s="43">
        <f t="shared" si="10"/>
        <v>45399.970000000008</v>
      </c>
      <c r="O38" s="43">
        <f t="shared" si="10"/>
        <v>718009.07000000007</v>
      </c>
      <c r="P38" s="43">
        <f t="shared" si="10"/>
        <v>1712.4100000000003</v>
      </c>
      <c r="Q38" s="43">
        <f t="shared" si="10"/>
        <v>8125</v>
      </c>
      <c r="R38" s="43">
        <f>SUM(R24:R37)</f>
        <v>300.3</v>
      </c>
      <c r="S38" s="43">
        <f>SUM(S24:S37)</f>
        <v>19034.389999999996</v>
      </c>
      <c r="T38" s="43">
        <f>SUM(T24:T36)</f>
        <v>2.1750000072245257E-2</v>
      </c>
      <c r="U38" s="43"/>
      <c r="V38" s="43"/>
      <c r="W38" s="43">
        <f>SUM(W24:W37)</f>
        <v>548014.2493115</v>
      </c>
      <c r="X38" s="43">
        <f>SUM(X24:X37)</f>
        <v>257085.21670000002</v>
      </c>
    </row>
    <row r="39" spans="1:24" x14ac:dyDescent="0.25">
      <c r="A39" s="55" t="s">
        <v>37</v>
      </c>
      <c r="B39" s="56">
        <f>(B38*100)</f>
        <v>231300</v>
      </c>
      <c r="C39" s="56">
        <f>(C38*60)</f>
        <v>60</v>
      </c>
      <c r="D39" s="56">
        <f>(D38)</f>
        <v>40</v>
      </c>
      <c r="E39" s="56">
        <f>(E38*100)</f>
        <v>19100</v>
      </c>
      <c r="F39" s="56">
        <f>(F38*20)</f>
        <v>80540</v>
      </c>
      <c r="G39" s="56">
        <f>(G38*60)</f>
        <v>360</v>
      </c>
      <c r="H39" s="56">
        <f>(H38)</f>
        <v>570</v>
      </c>
      <c r="I39" s="56">
        <f>+I38*7</f>
        <v>14</v>
      </c>
      <c r="J39" s="57">
        <f>(J38*1.1167)</f>
        <v>25685.216700000001</v>
      </c>
      <c r="K39" s="58">
        <f>(K38*1.1167)</f>
        <v>11669.3419115</v>
      </c>
      <c r="L39" s="59">
        <f>(L38*1.1167)</f>
        <v>435760.90740000003</v>
      </c>
      <c r="M39" s="60"/>
      <c r="N39" s="60"/>
      <c r="O39" s="60"/>
      <c r="P39" s="60"/>
      <c r="Q39" s="60"/>
      <c r="R39" s="60"/>
      <c r="S39" s="60"/>
      <c r="T39" s="60"/>
      <c r="U39" s="56"/>
      <c r="V39" s="61" t="s">
        <v>35</v>
      </c>
      <c r="W39" s="56">
        <f>+L47+L48+L49+L50-W38</f>
        <v>0</v>
      </c>
      <c r="X39" s="56">
        <f>+L46-X38</f>
        <v>0</v>
      </c>
    </row>
    <row r="40" spans="1:24" ht="26.25" x14ac:dyDescent="0.25">
      <c r="A40" s="62" t="s">
        <v>38</v>
      </c>
      <c r="B40" s="43">
        <f t="shared" ref="B40:T40" si="11">(B20+B38)</f>
        <v>4826</v>
      </c>
      <c r="C40" s="43">
        <f t="shared" si="11"/>
        <v>1</v>
      </c>
      <c r="D40" s="43">
        <f t="shared" si="11"/>
        <v>60</v>
      </c>
      <c r="E40" s="43">
        <f t="shared" si="11"/>
        <v>361</v>
      </c>
      <c r="F40" s="43">
        <f t="shared" si="11"/>
        <v>8070</v>
      </c>
      <c r="G40" s="43">
        <f t="shared" si="11"/>
        <v>9</v>
      </c>
      <c r="H40" s="43">
        <f t="shared" si="11"/>
        <v>1505</v>
      </c>
      <c r="I40" s="43">
        <f t="shared" si="11"/>
        <v>6</v>
      </c>
      <c r="J40" s="43">
        <f t="shared" si="11"/>
        <v>46646</v>
      </c>
      <c r="K40" s="45">
        <f t="shared" si="11"/>
        <v>20998.93</v>
      </c>
      <c r="L40" s="43">
        <f t="shared" si="11"/>
        <v>779897</v>
      </c>
      <c r="M40" s="43">
        <f t="shared" si="11"/>
        <v>438065.11</v>
      </c>
      <c r="N40" s="43">
        <f t="shared" si="11"/>
        <v>97499.520000000019</v>
      </c>
      <c r="O40" s="43">
        <f t="shared" si="11"/>
        <v>1432281.5</v>
      </c>
      <c r="P40" s="43">
        <f t="shared" si="11"/>
        <v>3487.8900000000003</v>
      </c>
      <c r="Q40" s="43">
        <f t="shared" si="11"/>
        <v>17005</v>
      </c>
      <c r="R40" s="43">
        <f t="shared" si="11"/>
        <v>661.75</v>
      </c>
      <c r="S40" s="43">
        <f t="shared" si="11"/>
        <v>41954.22</v>
      </c>
      <c r="T40" s="43">
        <f t="shared" si="11"/>
        <v>3.0000011400943549E-4</v>
      </c>
      <c r="U40" s="43"/>
      <c r="V40" s="43"/>
      <c r="W40" s="43">
        <f>(W20+W38)</f>
        <v>1093947.4850309999</v>
      </c>
      <c r="X40" s="43">
        <f>(X20+X38)</f>
        <v>534809.5882</v>
      </c>
    </row>
    <row r="41" spans="1:24" x14ac:dyDescent="0.25">
      <c r="A41" s="55" t="s">
        <v>37</v>
      </c>
      <c r="B41" s="56">
        <f>(B40*100)</f>
        <v>482600</v>
      </c>
      <c r="C41" s="56">
        <f>(C40*60)</f>
        <v>60</v>
      </c>
      <c r="D41" s="56">
        <f>(D40)</f>
        <v>60</v>
      </c>
      <c r="E41" s="56">
        <f>(E40*100)</f>
        <v>36100</v>
      </c>
      <c r="F41" s="63">
        <f>(F40*20)</f>
        <v>161400</v>
      </c>
      <c r="G41" s="56">
        <f>(G40*60)</f>
        <v>540</v>
      </c>
      <c r="H41" s="56">
        <f>(H40)</f>
        <v>1505</v>
      </c>
      <c r="I41" s="56">
        <f>+I40*7</f>
        <v>42</v>
      </c>
      <c r="J41" s="57">
        <f>(J40*1.1167)</f>
        <v>52089.588199999998</v>
      </c>
      <c r="K41" s="58">
        <f>(K40*1.1167)</f>
        <v>23449.505131000002</v>
      </c>
      <c r="L41" s="59">
        <f>(L40*1.1167)</f>
        <v>870910.97990000003</v>
      </c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56">
        <f>+D55+D56+D57+D58-W40</f>
        <v>0</v>
      </c>
      <c r="X41" s="56">
        <f>+D54-X40</f>
        <v>0</v>
      </c>
    </row>
    <row r="42" spans="1:24" x14ac:dyDescent="0.25">
      <c r="A42" s="51"/>
      <c r="B42" s="51"/>
      <c r="C42" s="51"/>
      <c r="D42" s="51"/>
      <c r="E42" s="51"/>
      <c r="F42" s="64"/>
      <c r="G42" s="51"/>
      <c r="H42" s="51"/>
      <c r="I42" s="51"/>
      <c r="J42" s="13"/>
      <c r="K42" s="65"/>
      <c r="L42" s="66"/>
      <c r="M42" s="67"/>
      <c r="N42" s="67"/>
      <c r="O42" s="67"/>
      <c r="P42" s="67"/>
      <c r="Q42" s="67"/>
      <c r="R42" s="67"/>
      <c r="S42" s="67"/>
      <c r="T42" s="67"/>
      <c r="U42" s="1"/>
      <c r="V42" s="1"/>
      <c r="W42" s="1"/>
      <c r="X42" s="1"/>
    </row>
    <row r="43" spans="1:24" x14ac:dyDescent="0.25">
      <c r="A43" s="51"/>
      <c r="B43" s="51"/>
      <c r="C43" s="51"/>
      <c r="D43" s="51"/>
      <c r="E43" s="51"/>
      <c r="F43" s="64"/>
      <c r="G43" s="51"/>
      <c r="H43" s="51"/>
      <c r="I43" s="51"/>
      <c r="J43" s="13"/>
      <c r="K43" s="65"/>
      <c r="L43" s="66"/>
      <c r="M43" s="67"/>
      <c r="N43" s="67"/>
      <c r="O43" s="67"/>
      <c r="P43" s="67"/>
      <c r="Q43" s="67"/>
      <c r="R43" s="67"/>
      <c r="S43" s="67"/>
      <c r="T43" s="67"/>
      <c r="U43" s="1"/>
      <c r="V43" s="1"/>
      <c r="W43" s="1"/>
      <c r="X43" s="1"/>
    </row>
    <row r="44" spans="1:24" x14ac:dyDescent="0.25">
      <c r="A44" s="51"/>
      <c r="B44" s="51"/>
      <c r="C44" s="51"/>
      <c r="D44" s="51"/>
      <c r="E44" s="51"/>
      <c r="F44" s="64"/>
      <c r="G44" s="51"/>
      <c r="H44" s="51"/>
      <c r="I44" s="51"/>
      <c r="J44" s="13"/>
      <c r="K44" s="65"/>
      <c r="L44" s="66"/>
      <c r="M44" s="67"/>
      <c r="N44" s="67"/>
      <c r="O44" s="67"/>
      <c r="P44" s="67"/>
      <c r="Q44" s="67"/>
      <c r="R44" s="67"/>
      <c r="S44" s="67"/>
      <c r="T44" s="67"/>
      <c r="U44" s="1"/>
      <c r="V44" s="1"/>
      <c r="W44" s="1"/>
      <c r="X44" s="1"/>
    </row>
    <row r="45" spans="1:24" x14ac:dyDescent="0.25">
      <c r="A45" s="27"/>
      <c r="B45" s="68" t="s">
        <v>39</v>
      </c>
      <c r="C45" s="56"/>
      <c r="D45" s="56"/>
      <c r="E45" s="56"/>
      <c r="F45" s="43"/>
      <c r="G45" s="43"/>
      <c r="H45" s="43"/>
      <c r="I45" s="43"/>
      <c r="J45" s="57" t="s">
        <v>40</v>
      </c>
      <c r="K45" s="58"/>
      <c r="L45" s="59"/>
      <c r="M45" s="60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27"/>
      <c r="B46" s="69" t="s">
        <v>41</v>
      </c>
      <c r="C46" s="43"/>
      <c r="D46" s="43">
        <f>SUM(B21:D21)+J21</f>
        <v>277724.37150000001</v>
      </c>
      <c r="E46" s="70" t="s">
        <v>42</v>
      </c>
      <c r="F46" s="70"/>
      <c r="G46" s="43"/>
      <c r="H46" s="43"/>
      <c r="I46" s="43"/>
      <c r="J46" s="44" t="s">
        <v>41</v>
      </c>
      <c r="K46" s="47"/>
      <c r="L46" s="48">
        <f>SUM(B39:D39)+J39</f>
        <v>257085.21669999999</v>
      </c>
      <c r="M46" s="2" t="s">
        <v>42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27"/>
      <c r="B47" s="69" t="s">
        <v>43</v>
      </c>
      <c r="C47" s="43"/>
      <c r="D47" s="43">
        <f>F21</f>
        <v>80860</v>
      </c>
      <c r="E47" s="70" t="s">
        <v>42</v>
      </c>
      <c r="F47" s="70"/>
      <c r="G47" s="43"/>
      <c r="H47" s="43"/>
      <c r="I47" s="43"/>
      <c r="J47" s="71" t="s">
        <v>43</v>
      </c>
      <c r="K47" s="47"/>
      <c r="L47" s="48">
        <f>F39</f>
        <v>80540</v>
      </c>
      <c r="M47" s="2" t="s">
        <v>42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27"/>
      <c r="B48" s="69" t="s">
        <v>44</v>
      </c>
      <c r="C48" s="43"/>
      <c r="D48" s="43">
        <f>SUM(E21,G21,H21,I21)</f>
        <v>18143</v>
      </c>
      <c r="E48" s="70" t="s">
        <v>42</v>
      </c>
      <c r="F48" s="70"/>
      <c r="G48" s="43"/>
      <c r="H48" s="43"/>
      <c r="I48" s="43"/>
      <c r="J48" s="44" t="s">
        <v>44</v>
      </c>
      <c r="K48" s="47"/>
      <c r="L48" s="48">
        <f>SUM(E39:I39)-F39</f>
        <v>20044</v>
      </c>
      <c r="M48" s="2" t="s">
        <v>42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27"/>
      <c r="B49" s="69" t="s">
        <v>45</v>
      </c>
      <c r="C49" s="43"/>
      <c r="D49" s="94">
        <f>+K21</f>
        <v>11780.163219500002</v>
      </c>
      <c r="E49" s="70" t="s">
        <v>42</v>
      </c>
      <c r="F49" s="70"/>
      <c r="G49" s="43"/>
      <c r="H49" s="43"/>
      <c r="I49" s="43"/>
      <c r="J49" s="71" t="s">
        <v>45</v>
      </c>
      <c r="K49" s="47"/>
      <c r="L49" s="48">
        <f>+K39</f>
        <v>11669.3419115</v>
      </c>
      <c r="M49" s="2" t="s">
        <v>42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27"/>
      <c r="B50" s="72" t="s">
        <v>46</v>
      </c>
      <c r="C50" s="56"/>
      <c r="D50" s="56">
        <f>+L21</f>
        <v>435150.07250000001</v>
      </c>
      <c r="E50" s="73" t="s">
        <v>42</v>
      </c>
      <c r="F50" s="73"/>
      <c r="G50" s="43"/>
      <c r="H50" s="43"/>
      <c r="I50" s="43"/>
      <c r="J50" s="57" t="s">
        <v>46</v>
      </c>
      <c r="K50" s="58"/>
      <c r="L50" s="59">
        <f>+L39</f>
        <v>435760.90740000003</v>
      </c>
      <c r="M50" s="74" t="s">
        <v>42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27"/>
      <c r="B51" s="69"/>
      <c r="C51" s="43"/>
      <c r="D51" s="43">
        <f>SUM(D46:D50)</f>
        <v>823657.6072195</v>
      </c>
      <c r="E51" s="70" t="s">
        <v>42</v>
      </c>
      <c r="F51" s="70"/>
      <c r="G51" s="43"/>
      <c r="H51" s="43"/>
      <c r="I51" s="43"/>
      <c r="J51" s="75"/>
      <c r="K51" s="76"/>
      <c r="L51" s="77">
        <f>SUM(L46:L50)</f>
        <v>805099.46601149999</v>
      </c>
      <c r="M51" s="2" t="s">
        <v>42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27"/>
      <c r="B52" s="69"/>
      <c r="C52" s="43"/>
      <c r="D52" s="43"/>
      <c r="E52" s="70"/>
      <c r="F52" s="70"/>
      <c r="G52" s="43"/>
      <c r="H52" s="43"/>
      <c r="I52" s="43"/>
      <c r="J52" s="75"/>
      <c r="K52" s="76"/>
      <c r="L52" s="77"/>
      <c r="M52" s="2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thickBot="1" x14ac:dyDescent="0.3">
      <c r="A53" s="27"/>
      <c r="B53" s="78"/>
      <c r="C53" s="78"/>
      <c r="D53" s="79" t="s">
        <v>47</v>
      </c>
      <c r="E53" s="78"/>
      <c r="F53" s="78"/>
      <c r="G53" s="78"/>
      <c r="H53" s="78"/>
      <c r="I53" s="78"/>
      <c r="J53" s="80"/>
      <c r="K53" s="47"/>
      <c r="L53" s="48"/>
      <c r="M53" s="4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27"/>
      <c r="B54" s="81" t="s">
        <v>41</v>
      </c>
      <c r="C54" s="43"/>
      <c r="D54" s="43">
        <f>+D46+L46</f>
        <v>534809.5882</v>
      </c>
      <c r="E54" s="70" t="s">
        <v>42</v>
      </c>
      <c r="F54" s="70" t="s">
        <v>48</v>
      </c>
      <c r="G54" s="82">
        <f>D5</f>
        <v>0.46379999999999999</v>
      </c>
      <c r="H54" s="70" t="s">
        <v>33</v>
      </c>
      <c r="I54" s="70"/>
      <c r="J54" s="44">
        <f>D54*G54</f>
        <v>248044.68700715998</v>
      </c>
      <c r="K54" s="47">
        <f>+D54-X40</f>
        <v>0</v>
      </c>
      <c r="L54" s="48"/>
      <c r="M54" s="4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27"/>
      <c r="B55" s="69" t="s">
        <v>43</v>
      </c>
      <c r="C55" s="43"/>
      <c r="D55" s="43">
        <f>D47+L47</f>
        <v>161400</v>
      </c>
      <c r="E55" s="70" t="s">
        <v>42</v>
      </c>
      <c r="F55" s="70" t="s">
        <v>48</v>
      </c>
      <c r="G55" s="83">
        <f>F5/20</f>
        <v>1.2749999999999999</v>
      </c>
      <c r="H55" s="70" t="s">
        <v>33</v>
      </c>
      <c r="I55" s="70"/>
      <c r="J55" s="44">
        <f>D55*G55</f>
        <v>205785</v>
      </c>
      <c r="K55" s="47">
        <f>+D55+D56+D57+D58-W40</f>
        <v>0</v>
      </c>
      <c r="L55" s="48"/>
      <c r="M55" s="4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27"/>
      <c r="B56" s="81" t="s">
        <v>44</v>
      </c>
      <c r="C56" s="43"/>
      <c r="D56" s="43">
        <f>+D48+L48</f>
        <v>38187</v>
      </c>
      <c r="E56" s="70" t="s">
        <v>42</v>
      </c>
      <c r="F56" s="70" t="s">
        <v>48</v>
      </c>
      <c r="G56" s="83">
        <f>E5/100</f>
        <v>1.585</v>
      </c>
      <c r="H56" s="70" t="s">
        <v>33</v>
      </c>
      <c r="I56" s="70"/>
      <c r="J56" s="75">
        <f>D56*G56</f>
        <v>60526.394999999997</v>
      </c>
      <c r="K56" s="47"/>
      <c r="L56" s="48"/>
      <c r="M56" s="4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27"/>
      <c r="B57" s="69" t="s">
        <v>45</v>
      </c>
      <c r="C57" s="43"/>
      <c r="D57" s="43">
        <f>+D49+L49</f>
        <v>23449.505131000002</v>
      </c>
      <c r="E57" s="70" t="s">
        <v>42</v>
      </c>
      <c r="F57" s="70" t="s">
        <v>48</v>
      </c>
      <c r="G57" s="83">
        <f>K5/1.1167</f>
        <v>1.3880182681113997</v>
      </c>
      <c r="H57" s="70" t="s">
        <v>33</v>
      </c>
      <c r="I57" s="70"/>
      <c r="J57" s="75">
        <f>+D57*G57</f>
        <v>32548.341500000002</v>
      </c>
      <c r="K57" s="47"/>
      <c r="L57" s="48"/>
      <c r="M57" s="4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thickBot="1" x14ac:dyDescent="0.3">
      <c r="A58" s="27"/>
      <c r="B58" s="79" t="s">
        <v>46</v>
      </c>
      <c r="C58" s="78"/>
      <c r="D58" s="78">
        <f>+D50+L50</f>
        <v>870910.97990000003</v>
      </c>
      <c r="E58" s="84" t="s">
        <v>42</v>
      </c>
      <c r="F58" s="84" t="s">
        <v>48</v>
      </c>
      <c r="G58" s="85">
        <f>L5/1.1167</f>
        <v>1.5671173994806125</v>
      </c>
      <c r="H58" s="84" t="s">
        <v>33</v>
      </c>
      <c r="I58" s="84"/>
      <c r="J58" s="80">
        <f>D58*G58</f>
        <v>1364819.75</v>
      </c>
      <c r="K58" s="47"/>
      <c r="L58" s="48"/>
      <c r="M58" s="4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27"/>
      <c r="B59" s="81"/>
      <c r="C59" s="43"/>
      <c r="D59" s="43">
        <f>SUM(D54:D58)</f>
        <v>1628757.073231</v>
      </c>
      <c r="E59" s="70"/>
      <c r="F59" s="70"/>
      <c r="G59" s="83"/>
      <c r="H59" s="70"/>
      <c r="I59" s="70"/>
      <c r="J59" s="75">
        <f>SUM(J54:J58)</f>
        <v>1911724.17350716</v>
      </c>
      <c r="K59" s="47"/>
      <c r="L59" s="48"/>
      <c r="M59" s="4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27"/>
      <c r="B60" s="81"/>
      <c r="C60" s="43"/>
      <c r="D60" s="43">
        <f>+D59-W40-X40</f>
        <v>0</v>
      </c>
      <c r="E60" s="70"/>
      <c r="F60" s="70"/>
      <c r="G60" s="83"/>
      <c r="H60" s="70"/>
      <c r="I60" s="70"/>
      <c r="J60" s="75"/>
      <c r="K60" s="47"/>
      <c r="L60" s="48"/>
      <c r="M60" s="4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J61" s="86"/>
    </row>
  </sheetData>
  <pageMargins left="0.24" right="0.23" top="0.75" bottom="0.75" header="0.3" footer="0.3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01-22</vt:lpstr>
      <vt:lpstr>02-22</vt:lpstr>
      <vt:lpstr>03-22</vt:lpstr>
      <vt:lpstr>04-22</vt:lpstr>
      <vt:lpstr>05-22</vt:lpstr>
      <vt:lpstr>06-22</vt:lpstr>
      <vt:lpstr>07-22</vt:lpstr>
      <vt:lpstr>08-22</vt:lpstr>
      <vt:lpstr>09-22</vt:lpstr>
      <vt:lpstr>10-22</vt:lpstr>
      <vt:lpstr>11-22</vt:lpstr>
      <vt:lpstr>12-22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cp:lastPrinted>2023-01-12T21:24:42Z</cp:lastPrinted>
  <dcterms:created xsi:type="dcterms:W3CDTF">2020-12-31T12:18:50Z</dcterms:created>
  <dcterms:modified xsi:type="dcterms:W3CDTF">2023-01-13T19:21:01Z</dcterms:modified>
</cp:coreProperties>
</file>