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pivotTables/pivotTable14.xml" ContentType="application/vnd.openxmlformats-officedocument.spreadsheetml.pivotTab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pivotTables/pivotTable15.xml" ContentType="application/vnd.openxmlformats-officedocument.spreadsheetml.pivotTab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pivotTables/pivotTable16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simarfile01\cc\CF_WERK\TMP\Studenti\ISO50001\50_SEZNAMI\"/>
    </mc:Choice>
  </mc:AlternateContent>
  <bookViews>
    <workbookView xWindow="15" yWindow="75" windowWidth="24240" windowHeight="12735" tabRatio="786" activeTab="1"/>
  </bookViews>
  <sheets>
    <sheet name="Navodila" sheetId="17" r:id="rId1"/>
    <sheet name="Mesečni energetski stroški" sheetId="1" r:id="rId2"/>
    <sheet name="Tabela za vrtilno" sheetId="3" r:id="rId3"/>
    <sheet name="G&amp;E&amp;(W)" sheetId="15" r:id="rId4"/>
    <sheet name="G+E+(W)" sheetId="16" r:id="rId5"/>
    <sheet name="Poraba E" sheetId="4" r:id="rId6"/>
    <sheet name="Stroški E" sheetId="5" r:id="rId7"/>
    <sheet name="Cena E na kWh" sheetId="6" r:id="rId8"/>
    <sheet name="Poraba G" sheetId="8" r:id="rId9"/>
    <sheet name="Stroški G" sheetId="10" r:id="rId10"/>
    <sheet name="Cena G na m3" sheetId="11" r:id="rId11"/>
    <sheet name="Poraba W" sheetId="12" r:id="rId12"/>
    <sheet name="Stroški W" sheetId="13" r:id="rId13"/>
    <sheet name="Cena W na m3" sheetId="14" r:id="rId14"/>
    <sheet name="PO LETIH" sheetId="19" r:id="rId15"/>
  </sheets>
  <definedNames>
    <definedName name="Razčlenjevalnik_energent">#N/A</definedName>
    <definedName name="Razčlenjevalnik_energent1">#N/A</definedName>
    <definedName name="Razčlenjevalnik_energent2">#N/A</definedName>
  </definedNames>
  <calcPr calcId="162913" calcMode="manual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K113" i="1" l="1"/>
  <c r="AI113" i="1"/>
  <c r="AE113" i="1"/>
  <c r="AI112" i="1"/>
  <c r="AE112" i="1"/>
  <c r="L113" i="1" l="1"/>
  <c r="AY112" i="1" l="1"/>
  <c r="R112" i="1"/>
  <c r="P112" i="1"/>
  <c r="U112" i="1" s="1"/>
  <c r="I112" i="1"/>
  <c r="E112" i="1"/>
  <c r="M112" i="1"/>
  <c r="L112" i="1"/>
  <c r="K112" i="1"/>
  <c r="AI111" i="1"/>
  <c r="AK111" i="1" s="1"/>
  <c r="AE111" i="1"/>
  <c r="AP112" i="1"/>
  <c r="AR112" i="1"/>
  <c r="AU112" i="1" s="1"/>
  <c r="AS112" i="1"/>
  <c r="Y112" i="1" l="1"/>
  <c r="AA112" i="1"/>
  <c r="X112" i="1"/>
  <c r="AW112" i="1"/>
  <c r="AU111" i="1"/>
  <c r="AU114" i="1"/>
  <c r="AP114" i="1"/>
  <c r="AP115" i="1"/>
  <c r="AP110" i="1" l="1"/>
  <c r="AR110" i="1"/>
  <c r="AU110" i="1" s="1"/>
  <c r="AW110" i="1" s="1"/>
  <c r="AS110" i="1"/>
  <c r="AP109" i="1"/>
  <c r="AR109" i="1"/>
  <c r="AU109" i="1" s="1"/>
  <c r="AW109" i="1" s="1"/>
  <c r="AS109" i="1"/>
  <c r="L111" i="1" l="1"/>
  <c r="K111" i="1"/>
  <c r="M111" i="1" s="1"/>
  <c r="P110" i="1"/>
  <c r="M110" i="1"/>
  <c r="E111" i="1"/>
  <c r="P111" i="1" s="1"/>
  <c r="U111" i="1" s="1"/>
  <c r="E110" i="1"/>
  <c r="I111" i="1"/>
  <c r="R111" i="1" s="1"/>
  <c r="I110" i="1"/>
  <c r="R110" i="1" s="1"/>
  <c r="U110" i="1" s="1"/>
  <c r="AY110" i="1"/>
  <c r="AS111" i="1"/>
  <c r="AR111" i="1"/>
  <c r="AP111" i="1"/>
  <c r="AS108" i="1"/>
  <c r="AR108" i="1"/>
  <c r="AU108" i="1" s="1"/>
  <c r="AK110" i="1"/>
  <c r="AI110" i="1"/>
  <c r="AI109" i="1"/>
  <c r="AE110" i="1"/>
  <c r="AK109" i="1"/>
  <c r="AI108" i="1"/>
  <c r="AK108" i="1" s="1"/>
  <c r="AE109" i="1"/>
  <c r="AE108" i="1"/>
  <c r="Y111" i="1" l="1"/>
  <c r="X111" i="1"/>
  <c r="AA111" i="1"/>
  <c r="AA110" i="1"/>
  <c r="Y110" i="1"/>
  <c r="X110" i="1"/>
  <c r="AY111" i="1"/>
  <c r="L110" i="1"/>
  <c r="K110" i="1"/>
  <c r="U109" i="1"/>
  <c r="AA109" i="1" s="1"/>
  <c r="AA108" i="1"/>
  <c r="P109" i="1"/>
  <c r="I109" i="1"/>
  <c r="R109" i="1" s="1"/>
  <c r="E109" i="1"/>
  <c r="X108" i="1"/>
  <c r="L109" i="1"/>
  <c r="K109" i="1"/>
  <c r="M109" i="1" s="1"/>
  <c r="Y109" i="1" l="1"/>
  <c r="X109" i="1"/>
  <c r="AK107" i="1"/>
  <c r="AI107" i="1"/>
  <c r="AE107" i="1"/>
  <c r="U108" i="1"/>
  <c r="K108" i="1"/>
  <c r="R107" i="1"/>
  <c r="L108" i="1"/>
  <c r="AS107" i="1" l="1"/>
  <c r="AR107" i="1"/>
  <c r="AS106" i="1"/>
  <c r="AR106" i="1"/>
  <c r="AK106" i="1" l="1"/>
  <c r="P107" i="1" l="1"/>
  <c r="L107" i="1"/>
  <c r="K107" i="1"/>
  <c r="K106" i="1"/>
  <c r="X105" i="1" l="1"/>
  <c r="R106" i="1"/>
  <c r="R105" i="1"/>
  <c r="P106" i="1"/>
  <c r="L106" i="1"/>
  <c r="L105" i="1"/>
  <c r="K105" i="1"/>
  <c r="X104" i="1" l="1"/>
  <c r="Y104" i="1"/>
  <c r="L104" i="1"/>
  <c r="K104" i="1"/>
  <c r="AS105" i="1"/>
  <c r="AR105" i="1"/>
  <c r="AS104" i="1"/>
  <c r="AR104" i="1"/>
  <c r="AE105" i="1" l="1"/>
  <c r="AK104" i="1"/>
  <c r="AI104" i="1"/>
  <c r="P105" i="1" l="1"/>
  <c r="I105" i="1"/>
  <c r="I104" i="1"/>
  <c r="R104" i="1" s="1"/>
  <c r="AD101" i="1" l="1"/>
  <c r="AC101" i="1"/>
  <c r="AG101" i="1"/>
  <c r="AH101" i="1"/>
  <c r="M12" i="19"/>
  <c r="AE89" i="1" l="1"/>
  <c r="N12" i="19" l="1"/>
  <c r="E105" i="1"/>
  <c r="U105" i="1" s="1"/>
  <c r="AI105" i="1"/>
  <c r="AP105" i="1"/>
  <c r="AU105" i="1"/>
  <c r="E106" i="1"/>
  <c r="I106" i="1"/>
  <c r="AE106" i="1"/>
  <c r="AI106" i="1"/>
  <c r="AP106" i="1"/>
  <c r="AU106" i="1"/>
  <c r="E107" i="1"/>
  <c r="I107" i="1"/>
  <c r="T116" i="1"/>
  <c r="AP107" i="1"/>
  <c r="AU107" i="1"/>
  <c r="E108" i="1"/>
  <c r="I108" i="1"/>
  <c r="R108" i="1" s="1"/>
  <c r="M108" i="1"/>
  <c r="W116" i="1"/>
  <c r="AP108" i="1"/>
  <c r="AW111" i="1"/>
  <c r="E113" i="1"/>
  <c r="P113" i="1" s="1"/>
  <c r="U113" i="1" s="1"/>
  <c r="I113" i="1"/>
  <c r="M113" i="1"/>
  <c r="AP113" i="1"/>
  <c r="AU113" i="1"/>
  <c r="E114" i="1"/>
  <c r="P114" i="1" s="1"/>
  <c r="U114" i="1" s="1"/>
  <c r="I114" i="1"/>
  <c r="M114" i="1"/>
  <c r="AE114" i="1"/>
  <c r="AI114" i="1"/>
  <c r="E115" i="1"/>
  <c r="P115" i="1" s="1"/>
  <c r="I115" i="1"/>
  <c r="M115" i="1"/>
  <c r="AE115" i="1"/>
  <c r="AK115" i="1" s="1"/>
  <c r="AI115" i="1"/>
  <c r="AU115" i="1"/>
  <c r="AW115" i="1" s="1"/>
  <c r="AZ116" i="1"/>
  <c r="AO116" i="1"/>
  <c r="AN116" i="1"/>
  <c r="AM116" i="1"/>
  <c r="AH116" i="1"/>
  <c r="AG116" i="1"/>
  <c r="AD116" i="1"/>
  <c r="AC116" i="1"/>
  <c r="Q116" i="1"/>
  <c r="O116" i="1"/>
  <c r="H116" i="1"/>
  <c r="G116" i="1"/>
  <c r="D116" i="1"/>
  <c r="C116" i="1"/>
  <c r="AU104" i="1"/>
  <c r="AW104" i="1" s="1"/>
  <c r="AP104" i="1"/>
  <c r="AE104" i="1"/>
  <c r="E104" i="1"/>
  <c r="P104" i="1" s="1"/>
  <c r="T2" i="3"/>
  <c r="S2" i="3"/>
  <c r="R2" i="3"/>
  <c r="O2" i="3"/>
  <c r="N2" i="3"/>
  <c r="M2" i="3"/>
  <c r="L2" i="3"/>
  <c r="K2" i="3"/>
  <c r="H2" i="3"/>
  <c r="A17" i="3"/>
  <c r="A16" i="3"/>
  <c r="A15" i="3"/>
  <c r="A14" i="3"/>
  <c r="E14" i="3" s="1"/>
  <c r="A13" i="3"/>
  <c r="E50" i="3" s="1"/>
  <c r="A12" i="3"/>
  <c r="A11" i="3"/>
  <c r="E11" i="3" s="1"/>
  <c r="A10" i="3"/>
  <c r="E10" i="3" s="1"/>
  <c r="A9" i="3"/>
  <c r="A8" i="3"/>
  <c r="E34" i="3" s="1"/>
  <c r="A7" i="3"/>
  <c r="E7" i="3" s="1"/>
  <c r="A6" i="3"/>
  <c r="E6" i="3" s="1"/>
  <c r="A5" i="3"/>
  <c r="E26" i="3" s="1"/>
  <c r="K12" i="19"/>
  <c r="K11" i="19"/>
  <c r="P108" i="1" l="1"/>
  <c r="AW108" i="1"/>
  <c r="AW107" i="1"/>
  <c r="AW106" i="1"/>
  <c r="AW105" i="1"/>
  <c r="AW113" i="1"/>
  <c r="AW114" i="1"/>
  <c r="AK114" i="1"/>
  <c r="AK112" i="1"/>
  <c r="AK105" i="1"/>
  <c r="U115" i="1"/>
  <c r="AA115" i="1" s="1"/>
  <c r="AY115" i="1" s="1"/>
  <c r="U106" i="1"/>
  <c r="X106" i="1" s="1"/>
  <c r="M107" i="1"/>
  <c r="M106" i="1"/>
  <c r="M105" i="1"/>
  <c r="U107" i="1"/>
  <c r="AA113" i="1"/>
  <c r="AY113" i="1" s="1"/>
  <c r="Y113" i="1"/>
  <c r="X113" i="1"/>
  <c r="X115" i="1"/>
  <c r="Y115" i="1"/>
  <c r="AA114" i="1"/>
  <c r="AY114" i="1" s="1"/>
  <c r="X114" i="1"/>
  <c r="Y114" i="1"/>
  <c r="AA105" i="1"/>
  <c r="AY105" i="1" s="1"/>
  <c r="AI116" i="1"/>
  <c r="AY109" i="1"/>
  <c r="AT116" i="1"/>
  <c r="AP116" i="1"/>
  <c r="I116" i="1"/>
  <c r="U104" i="1"/>
  <c r="AA104" i="1" s="1"/>
  <c r="AE116" i="1"/>
  <c r="AS116" i="1"/>
  <c r="L116" i="1"/>
  <c r="M104" i="1"/>
  <c r="P116" i="1"/>
  <c r="E116" i="1"/>
  <c r="K116" i="1"/>
  <c r="AR116" i="1"/>
  <c r="E47" i="3"/>
  <c r="E51" i="3"/>
  <c r="E35" i="3"/>
  <c r="E59" i="3"/>
  <c r="E24" i="3"/>
  <c r="E28" i="3"/>
  <c r="E32" i="3"/>
  <c r="E36" i="3"/>
  <c r="E40" i="3"/>
  <c r="E44" i="3"/>
  <c r="E48" i="3"/>
  <c r="E52" i="3"/>
  <c r="E56" i="3"/>
  <c r="E60" i="3"/>
  <c r="E27" i="3"/>
  <c r="E31" i="3"/>
  <c r="E39" i="3"/>
  <c r="E43" i="3"/>
  <c r="E55" i="3"/>
  <c r="E25" i="3"/>
  <c r="E29" i="3"/>
  <c r="E33" i="3"/>
  <c r="E37" i="3"/>
  <c r="E41" i="3"/>
  <c r="E45" i="3"/>
  <c r="E49" i="3"/>
  <c r="E53" i="3"/>
  <c r="E57" i="3"/>
  <c r="E61" i="3"/>
  <c r="E30" i="3"/>
  <c r="E38" i="3"/>
  <c r="E42" i="3"/>
  <c r="E46" i="3"/>
  <c r="E54" i="3"/>
  <c r="E58" i="3"/>
  <c r="E62" i="3"/>
  <c r="L5" i="3"/>
  <c r="C7" i="3"/>
  <c r="Q13" i="3"/>
  <c r="J13" i="3"/>
  <c r="Q9" i="3"/>
  <c r="J9" i="3"/>
  <c r="C15" i="3"/>
  <c r="E5" i="3"/>
  <c r="Q5" i="3"/>
  <c r="C13" i="3"/>
  <c r="Q15" i="3"/>
  <c r="E15" i="3"/>
  <c r="C11" i="3"/>
  <c r="E13" i="3"/>
  <c r="J11" i="3"/>
  <c r="Q7" i="3"/>
  <c r="J15" i="3"/>
  <c r="J7" i="3"/>
  <c r="Q11" i="3"/>
  <c r="C5" i="3"/>
  <c r="J14" i="3"/>
  <c r="J10" i="3"/>
  <c r="J6" i="3"/>
  <c r="Q14" i="3"/>
  <c r="Q10" i="3"/>
  <c r="Q6" i="3"/>
  <c r="C16" i="3"/>
  <c r="C12" i="3"/>
  <c r="E16" i="3"/>
  <c r="E12" i="3"/>
  <c r="M5" i="3"/>
  <c r="J16" i="3"/>
  <c r="J12" i="3"/>
  <c r="J8" i="3"/>
  <c r="Q16" i="3"/>
  <c r="Q12" i="3"/>
  <c r="Q8" i="3"/>
  <c r="C14" i="3"/>
  <c r="C10" i="3"/>
  <c r="C6" i="3"/>
  <c r="M13" i="3"/>
  <c r="M9" i="3"/>
  <c r="M16" i="3"/>
  <c r="M12" i="3"/>
  <c r="M8" i="3"/>
  <c r="M15" i="3"/>
  <c r="M11" i="3"/>
  <c r="M7" i="3"/>
  <c r="M14" i="3"/>
  <c r="M10" i="3"/>
  <c r="M6" i="3"/>
  <c r="L6" i="3"/>
  <c r="L14" i="3"/>
  <c r="L7" i="3"/>
  <c r="L11" i="3"/>
  <c r="L15" i="3"/>
  <c r="L10" i="3"/>
  <c r="L8" i="3"/>
  <c r="L12" i="3"/>
  <c r="L16" i="3"/>
  <c r="L9" i="3"/>
  <c r="L13" i="3"/>
  <c r="Q17" i="3"/>
  <c r="J17" i="3"/>
  <c r="J5" i="3"/>
  <c r="D101" i="1"/>
  <c r="C101" i="1"/>
  <c r="AA106" i="1" l="1"/>
  <c r="AY106" i="1" s="1"/>
  <c r="AA107" i="1"/>
  <c r="AY107" i="1" s="1"/>
  <c r="AY108" i="1"/>
  <c r="Y108" i="1"/>
  <c r="Y106" i="1"/>
  <c r="AK116" i="1"/>
  <c r="Y107" i="1"/>
  <c r="X107" i="1"/>
  <c r="Y105" i="1"/>
  <c r="AU116" i="1"/>
  <c r="AW116" i="1" s="1"/>
  <c r="M116" i="1"/>
  <c r="U116" i="1"/>
  <c r="R116" i="1"/>
  <c r="AY104" i="1"/>
  <c r="AR91" i="1"/>
  <c r="AS99" i="1"/>
  <c r="AR99" i="1"/>
  <c r="AR100" i="1"/>
  <c r="AS100" i="1"/>
  <c r="AR98" i="1"/>
  <c r="AS93" i="1"/>
  <c r="AT96" i="1"/>
  <c r="AT95" i="1"/>
  <c r="AS98" i="1"/>
  <c r="AS97" i="1"/>
  <c r="AR97" i="1"/>
  <c r="AA116" i="1" l="1"/>
  <c r="AY116" i="1" s="1"/>
  <c r="X116" i="1"/>
  <c r="Y116" i="1"/>
  <c r="AS95" i="1" l="1"/>
  <c r="AR95" i="1"/>
  <c r="AS94" i="1"/>
  <c r="AR94" i="1"/>
  <c r="AS91" i="1"/>
  <c r="AM86" i="1"/>
  <c r="AR86" i="1" s="1"/>
  <c r="AS89" i="1"/>
  <c r="AR89" i="1"/>
  <c r="AS90" i="1"/>
  <c r="AR90" i="1"/>
  <c r="AR92" i="1"/>
  <c r="AR93" i="1"/>
  <c r="AS92" i="1"/>
  <c r="AS96" i="1"/>
  <c r="AR96" i="1"/>
  <c r="AN86" i="1" l="1"/>
  <c r="AS86" i="1" s="1"/>
  <c r="AP75" i="1"/>
  <c r="W93" i="1" l="1"/>
  <c r="E9" i="3" s="1"/>
  <c r="T93" i="1"/>
  <c r="C9" i="3" s="1"/>
  <c r="W92" i="1" l="1"/>
  <c r="E8" i="3" s="1"/>
  <c r="T92" i="1"/>
  <c r="C8" i="3" s="1"/>
  <c r="AU93" i="1" l="1"/>
  <c r="S9" i="3" s="1"/>
  <c r="AU94" i="1"/>
  <c r="S10" i="3" s="1"/>
  <c r="AU95" i="1"/>
  <c r="S11" i="3" s="1"/>
  <c r="AU96" i="1"/>
  <c r="S12" i="3" s="1"/>
  <c r="AU97" i="1"/>
  <c r="S13" i="3" s="1"/>
  <c r="AU98" i="1"/>
  <c r="S14" i="3" s="1"/>
  <c r="AU99" i="1"/>
  <c r="S15" i="3" s="1"/>
  <c r="AU100" i="1"/>
  <c r="S16" i="3" s="1"/>
  <c r="AU91" i="1"/>
  <c r="S7" i="3" s="1"/>
  <c r="AU92" i="1"/>
  <c r="S8" i="3" s="1"/>
  <c r="K91" i="1" l="1"/>
  <c r="K90" i="1"/>
  <c r="AZ101" i="1" l="1"/>
  <c r="AT101" i="1"/>
  <c r="AS101" i="1"/>
  <c r="AR101" i="1"/>
  <c r="AO101" i="1"/>
  <c r="AN101" i="1"/>
  <c r="AM101" i="1"/>
  <c r="M17" i="3"/>
  <c r="Q101" i="1"/>
  <c r="O101" i="1"/>
  <c r="H101" i="1"/>
  <c r="G101" i="1"/>
  <c r="AP100" i="1"/>
  <c r="AI100" i="1"/>
  <c r="N16" i="3" s="1"/>
  <c r="AE100" i="1"/>
  <c r="K16" i="3" s="1"/>
  <c r="L100" i="1"/>
  <c r="K100" i="1"/>
  <c r="I100" i="1"/>
  <c r="R100" i="1" s="1"/>
  <c r="E100" i="1"/>
  <c r="P100" i="1" s="1"/>
  <c r="AP99" i="1"/>
  <c r="AI99" i="1"/>
  <c r="N15" i="3" s="1"/>
  <c r="AE99" i="1"/>
  <c r="K15" i="3" s="1"/>
  <c r="L99" i="1"/>
  <c r="K99" i="1"/>
  <c r="I99" i="1"/>
  <c r="R99" i="1" s="1"/>
  <c r="E99" i="1"/>
  <c r="P99" i="1" s="1"/>
  <c r="AP98" i="1"/>
  <c r="AI98" i="1"/>
  <c r="AE98" i="1"/>
  <c r="K14" i="3" s="1"/>
  <c r="L98" i="1"/>
  <c r="K98" i="1"/>
  <c r="I98" i="1"/>
  <c r="R98" i="1" s="1"/>
  <c r="E98" i="1"/>
  <c r="P98" i="1" s="1"/>
  <c r="AP97" i="1"/>
  <c r="AI97" i="1"/>
  <c r="AE97" i="1"/>
  <c r="K13" i="3" s="1"/>
  <c r="L97" i="1"/>
  <c r="K97" i="1"/>
  <c r="I97" i="1"/>
  <c r="R97" i="1" s="1"/>
  <c r="E97" i="1"/>
  <c r="P97" i="1" s="1"/>
  <c r="U97" i="1" s="1"/>
  <c r="AP96" i="1"/>
  <c r="AI96" i="1"/>
  <c r="AK96" i="1" s="1"/>
  <c r="AE96" i="1"/>
  <c r="K12" i="3" s="1"/>
  <c r="L96" i="1"/>
  <c r="K96" i="1"/>
  <c r="I96" i="1"/>
  <c r="R96" i="1" s="1"/>
  <c r="E96" i="1"/>
  <c r="P96" i="1" s="1"/>
  <c r="AP95" i="1"/>
  <c r="AI95" i="1"/>
  <c r="AE95" i="1"/>
  <c r="K11" i="3" s="1"/>
  <c r="L95" i="1"/>
  <c r="K95" i="1"/>
  <c r="I95" i="1"/>
  <c r="R95" i="1" s="1"/>
  <c r="E95" i="1"/>
  <c r="P95" i="1" s="1"/>
  <c r="AP94" i="1"/>
  <c r="AI94" i="1"/>
  <c r="AE94" i="1"/>
  <c r="K10" i="3" s="1"/>
  <c r="L94" i="1"/>
  <c r="K94" i="1"/>
  <c r="I94" i="1"/>
  <c r="R94" i="1" s="1"/>
  <c r="E94" i="1"/>
  <c r="P94" i="1" s="1"/>
  <c r="AP93" i="1"/>
  <c r="AI93" i="1"/>
  <c r="AE93" i="1"/>
  <c r="K9" i="3" s="1"/>
  <c r="L93" i="1"/>
  <c r="K93" i="1"/>
  <c r="I93" i="1"/>
  <c r="R93" i="1" s="1"/>
  <c r="E93" i="1"/>
  <c r="P93" i="1" s="1"/>
  <c r="AP92" i="1"/>
  <c r="AI92" i="1"/>
  <c r="AE92" i="1"/>
  <c r="K8" i="3" s="1"/>
  <c r="L92" i="1"/>
  <c r="K92" i="1"/>
  <c r="I92" i="1"/>
  <c r="R92" i="1" s="1"/>
  <c r="E92" i="1"/>
  <c r="P92" i="1" s="1"/>
  <c r="AP91" i="1"/>
  <c r="AI91" i="1"/>
  <c r="AE91" i="1"/>
  <c r="K7" i="3" s="1"/>
  <c r="L91" i="1"/>
  <c r="I91" i="1"/>
  <c r="R91" i="1" s="1"/>
  <c r="E91" i="1"/>
  <c r="P91" i="1" s="1"/>
  <c r="AU90" i="1"/>
  <c r="S6" i="3" s="1"/>
  <c r="AP90" i="1"/>
  <c r="R6" i="3" s="1"/>
  <c r="AI90" i="1"/>
  <c r="AE90" i="1"/>
  <c r="W101" i="1"/>
  <c r="E17" i="3" s="1"/>
  <c r="T101" i="1"/>
  <c r="C17" i="3" s="1"/>
  <c r="L90" i="1"/>
  <c r="I90" i="1"/>
  <c r="R90" i="1" s="1"/>
  <c r="E90" i="1"/>
  <c r="P90" i="1" s="1"/>
  <c r="AU89" i="1"/>
  <c r="S5" i="3" s="1"/>
  <c r="AP89" i="1"/>
  <c r="R5" i="3" s="1"/>
  <c r="AI89" i="1"/>
  <c r="K5" i="3"/>
  <c r="L89" i="1"/>
  <c r="K89" i="1"/>
  <c r="I89" i="1"/>
  <c r="E89" i="1"/>
  <c r="N6" i="3" l="1"/>
  <c r="AK90" i="1"/>
  <c r="N9" i="3"/>
  <c r="AK93" i="1"/>
  <c r="N13" i="3"/>
  <c r="AK97" i="1"/>
  <c r="N10" i="3"/>
  <c r="AK94" i="1"/>
  <c r="N14" i="3"/>
  <c r="AK98" i="1"/>
  <c r="N8" i="3"/>
  <c r="AK92" i="1"/>
  <c r="N5" i="3"/>
  <c r="AK89" i="1"/>
  <c r="AI101" i="1"/>
  <c r="AE101" i="1"/>
  <c r="AK101" i="1" s="1"/>
  <c r="N7" i="3"/>
  <c r="AK91" i="1"/>
  <c r="N11" i="3"/>
  <c r="AK95" i="1"/>
  <c r="K6" i="3"/>
  <c r="P89" i="1"/>
  <c r="P101" i="1" s="1"/>
  <c r="E101" i="1"/>
  <c r="O12" i="3"/>
  <c r="N12" i="3"/>
  <c r="AW97" i="1"/>
  <c r="T13" i="3" s="1"/>
  <c r="R13" i="3"/>
  <c r="I101" i="1"/>
  <c r="AW92" i="1"/>
  <c r="T8" i="3" s="1"/>
  <c r="R8" i="3"/>
  <c r="AW96" i="1"/>
  <c r="T12" i="3" s="1"/>
  <c r="R12" i="3"/>
  <c r="AW100" i="1"/>
  <c r="T16" i="3" s="1"/>
  <c r="R16" i="3"/>
  <c r="AW91" i="1"/>
  <c r="T7" i="3" s="1"/>
  <c r="R7" i="3"/>
  <c r="AW95" i="1"/>
  <c r="T11" i="3" s="1"/>
  <c r="R11" i="3"/>
  <c r="AA97" i="1"/>
  <c r="H13" i="3" s="1"/>
  <c r="D13" i="3"/>
  <c r="AW99" i="1"/>
  <c r="T15" i="3" s="1"/>
  <c r="R15" i="3"/>
  <c r="AW93" i="1"/>
  <c r="T9" i="3" s="1"/>
  <c r="R9" i="3"/>
  <c r="AW94" i="1"/>
  <c r="T10" i="3" s="1"/>
  <c r="R10" i="3"/>
  <c r="AW98" i="1"/>
  <c r="T14" i="3" s="1"/>
  <c r="R14" i="3"/>
  <c r="AW90" i="1"/>
  <c r="T6" i="3" s="1"/>
  <c r="O13" i="3"/>
  <c r="O8" i="3"/>
  <c r="O6" i="3"/>
  <c r="K17" i="3"/>
  <c r="U90" i="1"/>
  <c r="M91" i="1"/>
  <c r="B7" i="3" s="1"/>
  <c r="AU101" i="1"/>
  <c r="O7" i="3"/>
  <c r="M99" i="1"/>
  <c r="B15" i="3" s="1"/>
  <c r="U96" i="1"/>
  <c r="D12" i="3" s="1"/>
  <c r="AW89" i="1"/>
  <c r="T5" i="3" s="1"/>
  <c r="AP101" i="1"/>
  <c r="R17" i="3" s="1"/>
  <c r="O9" i="3"/>
  <c r="O10" i="3"/>
  <c r="O11" i="3"/>
  <c r="O14" i="3"/>
  <c r="AK99" i="1"/>
  <c r="O15" i="3" s="1"/>
  <c r="AK100" i="1"/>
  <c r="O16" i="3" s="1"/>
  <c r="M89" i="1"/>
  <c r="M92" i="1"/>
  <c r="B8" i="3" s="1"/>
  <c r="M100" i="1"/>
  <c r="B16" i="3" s="1"/>
  <c r="R89" i="1"/>
  <c r="U89" i="1" s="1"/>
  <c r="D5" i="3" s="1"/>
  <c r="M90" i="1"/>
  <c r="B6" i="3" s="1"/>
  <c r="U92" i="1"/>
  <c r="U95" i="1"/>
  <c r="D11" i="3" s="1"/>
  <c r="AY97" i="1"/>
  <c r="U100" i="1"/>
  <c r="U98" i="1"/>
  <c r="U94" i="1"/>
  <c r="M96" i="1"/>
  <c r="B12" i="3" s="1"/>
  <c r="M97" i="1"/>
  <c r="B13" i="3" s="1"/>
  <c r="M98" i="1"/>
  <c r="B14" i="3" s="1"/>
  <c r="U91" i="1"/>
  <c r="D7" i="3" s="1"/>
  <c r="L101" i="1"/>
  <c r="M93" i="1"/>
  <c r="B9" i="3" s="1"/>
  <c r="M94" i="1"/>
  <c r="B10" i="3" s="1"/>
  <c r="M95" i="1"/>
  <c r="B11" i="3" s="1"/>
  <c r="N17" i="3"/>
  <c r="O5" i="3"/>
  <c r="U93" i="1"/>
  <c r="D9" i="3" s="1"/>
  <c r="U99" i="1"/>
  <c r="D15" i="3" s="1"/>
  <c r="K101" i="1"/>
  <c r="L17" i="3"/>
  <c r="L9" i="19"/>
  <c r="L10" i="19" s="1"/>
  <c r="L11" i="19" s="1"/>
  <c r="L8" i="19"/>
  <c r="N9" i="19"/>
  <c r="N10" i="19" s="1"/>
  <c r="N11" i="19" s="1"/>
  <c r="AZ87" i="1"/>
  <c r="M11" i="19"/>
  <c r="K9" i="19"/>
  <c r="K10" i="19"/>
  <c r="K8" i="19"/>
  <c r="M7" i="19"/>
  <c r="M6" i="19"/>
  <c r="M8" i="19"/>
  <c r="K6" i="19"/>
  <c r="M9" i="19"/>
  <c r="K7" i="19"/>
  <c r="M10" i="19"/>
  <c r="AA94" i="1" l="1"/>
  <c r="D10" i="3"/>
  <c r="AA98" i="1"/>
  <c r="D14" i="3"/>
  <c r="X92" i="1"/>
  <c r="F8" i="3" s="1"/>
  <c r="D8" i="3"/>
  <c r="AA100" i="1"/>
  <c r="D16" i="3"/>
  <c r="M101" i="1"/>
  <c r="B17" i="3" s="1"/>
  <c r="B5" i="3"/>
  <c r="S17" i="3"/>
  <c r="AW101" i="1"/>
  <c r="T17" i="3" s="1"/>
  <c r="AA90" i="1"/>
  <c r="D6" i="3"/>
  <c r="X98" i="1"/>
  <c r="F14" i="3" s="1"/>
  <c r="Y98" i="1"/>
  <c r="G14" i="3" s="1"/>
  <c r="X97" i="1"/>
  <c r="F13" i="3" s="1"/>
  <c r="Y96" i="1"/>
  <c r="G12" i="3" s="1"/>
  <c r="AA96" i="1"/>
  <c r="X94" i="1"/>
  <c r="F10" i="3" s="1"/>
  <c r="Y97" i="1"/>
  <c r="G13" i="3" s="1"/>
  <c r="Y92" i="1"/>
  <c r="G8" i="3" s="1"/>
  <c r="X91" i="1"/>
  <c r="F7" i="3" s="1"/>
  <c r="X96" i="1"/>
  <c r="F12" i="3" s="1"/>
  <c r="AA92" i="1"/>
  <c r="O17" i="3"/>
  <c r="Y90" i="1"/>
  <c r="G6" i="3" s="1"/>
  <c r="X90" i="1"/>
  <c r="F6" i="3" s="1"/>
  <c r="R101" i="1"/>
  <c r="Y95" i="1"/>
  <c r="G11" i="3" s="1"/>
  <c r="Y91" i="1"/>
  <c r="G7" i="3" s="1"/>
  <c r="AA95" i="1"/>
  <c r="AA91" i="1"/>
  <c r="X95" i="1"/>
  <c r="F11" i="3" s="1"/>
  <c r="Y100" i="1"/>
  <c r="G16" i="3" s="1"/>
  <c r="X100" i="1"/>
  <c r="F16" i="3" s="1"/>
  <c r="Y94" i="1"/>
  <c r="G10" i="3" s="1"/>
  <c r="X99" i="1"/>
  <c r="F15" i="3" s="1"/>
  <c r="AA99" i="1"/>
  <c r="Y99" i="1"/>
  <c r="G15" i="3" s="1"/>
  <c r="X93" i="1"/>
  <c r="F9" i="3" s="1"/>
  <c r="AA93" i="1"/>
  <c r="Y93" i="1"/>
  <c r="G9" i="3" s="1"/>
  <c r="Y89" i="1"/>
  <c r="G5" i="3" s="1"/>
  <c r="X89" i="1"/>
  <c r="F5" i="3" s="1"/>
  <c r="AA89" i="1"/>
  <c r="H5" i="3" s="1"/>
  <c r="U101" i="1"/>
  <c r="D17" i="3" s="1"/>
  <c r="P86" i="1"/>
  <c r="R86" i="1"/>
  <c r="L86" i="1"/>
  <c r="K86" i="1"/>
  <c r="E86" i="1"/>
  <c r="I86" i="1"/>
  <c r="M86" i="1" l="1"/>
  <c r="AY95" i="1"/>
  <c r="H11" i="3"/>
  <c r="AY99" i="1"/>
  <c r="H15" i="3"/>
  <c r="AY96" i="1"/>
  <c r="H12" i="3"/>
  <c r="AY100" i="1"/>
  <c r="H16" i="3"/>
  <c r="AY98" i="1"/>
  <c r="H14" i="3"/>
  <c r="AY93" i="1"/>
  <c r="H9" i="3"/>
  <c r="AY91" i="1"/>
  <c r="H7" i="3"/>
  <c r="AY92" i="1"/>
  <c r="H8" i="3"/>
  <c r="AY90" i="1"/>
  <c r="H6" i="3"/>
  <c r="AY94" i="1"/>
  <c r="H10" i="3"/>
  <c r="U86" i="1"/>
  <c r="AA101" i="1"/>
  <c r="AY89" i="1"/>
  <c r="X101" i="1"/>
  <c r="F17" i="3" s="1"/>
  <c r="Y101" i="1"/>
  <c r="G17" i="3" s="1"/>
  <c r="T83" i="1"/>
  <c r="H17" i="3" l="1"/>
  <c r="AY101" i="1"/>
  <c r="W82" i="1"/>
  <c r="W83" i="1"/>
  <c r="T82" i="1" l="1"/>
  <c r="L81" i="1" l="1"/>
  <c r="K81" i="1"/>
  <c r="M81" i="1" s="1"/>
  <c r="AP80" i="1" l="1"/>
  <c r="W79" i="1" l="1"/>
  <c r="T79" i="1"/>
  <c r="AI52" i="1" l="1"/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AT87" i="1"/>
  <c r="AS87" i="1"/>
  <c r="AR87" i="1"/>
  <c r="AO87" i="1"/>
  <c r="AN87" i="1"/>
  <c r="AM87" i="1"/>
  <c r="AH87" i="1"/>
  <c r="AD87" i="1"/>
  <c r="AC87" i="1"/>
  <c r="Q87" i="1"/>
  <c r="O87" i="1"/>
  <c r="H87" i="1"/>
  <c r="G87" i="1"/>
  <c r="D87" i="1"/>
  <c r="C87" i="1"/>
  <c r="AU86" i="1"/>
  <c r="G59" i="3" s="1"/>
  <c r="AP86" i="1"/>
  <c r="AI86" i="1"/>
  <c r="AE86" i="1"/>
  <c r="F58" i="3" s="1"/>
  <c r="J58" i="3" s="1"/>
  <c r="AU85" i="1"/>
  <c r="G56" i="3" s="1"/>
  <c r="AP85" i="1"/>
  <c r="F56" i="3" s="1"/>
  <c r="AI85" i="1"/>
  <c r="G55" i="3" s="1"/>
  <c r="AE85" i="1"/>
  <c r="F55" i="3" s="1"/>
  <c r="J55" i="3" s="1"/>
  <c r="L85" i="1"/>
  <c r="K85" i="1"/>
  <c r="I85" i="1"/>
  <c r="R85" i="1" s="1"/>
  <c r="E85" i="1"/>
  <c r="P85" i="1" s="1"/>
  <c r="AU84" i="1"/>
  <c r="G53" i="3" s="1"/>
  <c r="AP84" i="1"/>
  <c r="AI84" i="1"/>
  <c r="AE84" i="1"/>
  <c r="F52" i="3" s="1"/>
  <c r="J52" i="3" s="1"/>
  <c r="L84" i="1"/>
  <c r="K84" i="1"/>
  <c r="I84" i="1"/>
  <c r="R84" i="1" s="1"/>
  <c r="E84" i="1"/>
  <c r="P84" i="1" s="1"/>
  <c r="AU83" i="1"/>
  <c r="G50" i="3" s="1"/>
  <c r="AP83" i="1"/>
  <c r="F50" i="3" s="1"/>
  <c r="AI83" i="1"/>
  <c r="G49" i="3" s="1"/>
  <c r="AE83" i="1"/>
  <c r="F49" i="3" s="1"/>
  <c r="J49" i="3" s="1"/>
  <c r="L83" i="1"/>
  <c r="K83" i="1"/>
  <c r="I83" i="1"/>
  <c r="R83" i="1" s="1"/>
  <c r="E83" i="1"/>
  <c r="P83" i="1" s="1"/>
  <c r="AU82" i="1"/>
  <c r="G47" i="3" s="1"/>
  <c r="AP82" i="1"/>
  <c r="AI82" i="1"/>
  <c r="AE82" i="1"/>
  <c r="F46" i="3" s="1"/>
  <c r="J46" i="3" s="1"/>
  <c r="L82" i="1"/>
  <c r="K82" i="1"/>
  <c r="I82" i="1"/>
  <c r="R82" i="1" s="1"/>
  <c r="E82" i="1"/>
  <c r="P82" i="1" s="1"/>
  <c r="AU81" i="1"/>
  <c r="G44" i="3" s="1"/>
  <c r="AP81" i="1"/>
  <c r="AI81" i="1"/>
  <c r="G43" i="3" s="1"/>
  <c r="AE81" i="1"/>
  <c r="F43" i="3" s="1"/>
  <c r="J43" i="3" s="1"/>
  <c r="F42" i="3"/>
  <c r="J42" i="3" s="1"/>
  <c r="I81" i="1"/>
  <c r="R81" i="1" s="1"/>
  <c r="E81" i="1"/>
  <c r="P81" i="1" s="1"/>
  <c r="AU80" i="1"/>
  <c r="G41" i="3" s="1"/>
  <c r="F41" i="3"/>
  <c r="AI80" i="1"/>
  <c r="G40" i="3" s="1"/>
  <c r="AE80" i="1"/>
  <c r="F40" i="3" s="1"/>
  <c r="J40" i="3" s="1"/>
  <c r="L80" i="1"/>
  <c r="K80" i="1"/>
  <c r="I80" i="1"/>
  <c r="E80" i="1"/>
  <c r="AU79" i="1"/>
  <c r="G38" i="3" s="1"/>
  <c r="AP79" i="1"/>
  <c r="F38" i="3" s="1"/>
  <c r="AI79" i="1"/>
  <c r="G37" i="3" s="1"/>
  <c r="AE79" i="1"/>
  <c r="F37" i="3" s="1"/>
  <c r="J37" i="3" s="1"/>
  <c r="L79" i="1"/>
  <c r="K79" i="1"/>
  <c r="I79" i="1"/>
  <c r="R79" i="1" s="1"/>
  <c r="E79" i="1"/>
  <c r="P79" i="1" s="1"/>
  <c r="AU78" i="1"/>
  <c r="AP78" i="1"/>
  <c r="F35" i="3" s="1"/>
  <c r="AI78" i="1"/>
  <c r="G34" i="3" s="1"/>
  <c r="AE78" i="1"/>
  <c r="F34" i="3" s="1"/>
  <c r="J34" i="3" s="1"/>
  <c r="L78" i="1"/>
  <c r="K78" i="1"/>
  <c r="I78" i="1"/>
  <c r="R78" i="1" s="1"/>
  <c r="E78" i="1"/>
  <c r="P78" i="1" s="1"/>
  <c r="AU77" i="1"/>
  <c r="AP77" i="1"/>
  <c r="F32" i="3" s="1"/>
  <c r="AI77" i="1"/>
  <c r="G31" i="3" s="1"/>
  <c r="AE77" i="1"/>
  <c r="F31" i="3" s="1"/>
  <c r="J31" i="3" s="1"/>
  <c r="L77" i="1"/>
  <c r="K77" i="1"/>
  <c r="I77" i="1"/>
  <c r="R77" i="1" s="1"/>
  <c r="E77" i="1"/>
  <c r="P77" i="1" s="1"/>
  <c r="AU76" i="1"/>
  <c r="AP76" i="1"/>
  <c r="F29" i="3" s="1"/>
  <c r="AI76" i="1"/>
  <c r="G28" i="3" s="1"/>
  <c r="AE76" i="1"/>
  <c r="F28" i="3" s="1"/>
  <c r="J28" i="3" s="1"/>
  <c r="W76" i="1"/>
  <c r="T76" i="1"/>
  <c r="L76" i="1"/>
  <c r="K76" i="1"/>
  <c r="M76" i="1" s="1"/>
  <c r="F27" i="3" s="1"/>
  <c r="J27" i="3" s="1"/>
  <c r="I76" i="1"/>
  <c r="R76" i="1" s="1"/>
  <c r="E76" i="1"/>
  <c r="P76" i="1" s="1"/>
  <c r="AU75" i="1"/>
  <c r="F26" i="3"/>
  <c r="AG75" i="1"/>
  <c r="AE75" i="1"/>
  <c r="F25" i="3" s="1"/>
  <c r="J25" i="3" s="1"/>
  <c r="L75" i="1"/>
  <c r="K75" i="1"/>
  <c r="I75" i="1"/>
  <c r="R75" i="1" s="1"/>
  <c r="E75" i="1"/>
  <c r="P75" i="1" s="1"/>
  <c r="AZ73" i="1"/>
  <c r="AT73" i="1"/>
  <c r="AS73" i="1"/>
  <c r="AR73" i="1"/>
  <c r="AO73" i="1"/>
  <c r="AN73" i="1"/>
  <c r="AM73" i="1"/>
  <c r="AH73" i="1"/>
  <c r="AG73" i="1"/>
  <c r="AD73" i="1"/>
  <c r="AC73" i="1"/>
  <c r="W73" i="1"/>
  <c r="T73" i="1"/>
  <c r="Q73" i="1"/>
  <c r="O73" i="1"/>
  <c r="H73" i="1"/>
  <c r="G73" i="1"/>
  <c r="D73" i="1"/>
  <c r="C73" i="1"/>
  <c r="AU72" i="1"/>
  <c r="AP72" i="1"/>
  <c r="AW72" i="1" s="1"/>
  <c r="AI72" i="1"/>
  <c r="AE72" i="1"/>
  <c r="L72" i="1"/>
  <c r="K72" i="1"/>
  <c r="M72" i="1" s="1"/>
  <c r="I72" i="1"/>
  <c r="R72" i="1" s="1"/>
  <c r="E72" i="1"/>
  <c r="P72" i="1" s="1"/>
  <c r="AU71" i="1"/>
  <c r="AP71" i="1"/>
  <c r="AI71" i="1"/>
  <c r="AE71" i="1"/>
  <c r="L71" i="1"/>
  <c r="K71" i="1"/>
  <c r="M71" i="1" s="1"/>
  <c r="I71" i="1"/>
  <c r="R71" i="1" s="1"/>
  <c r="E71" i="1"/>
  <c r="P71" i="1" s="1"/>
  <c r="AU70" i="1"/>
  <c r="AP70" i="1"/>
  <c r="AI70" i="1"/>
  <c r="AE70" i="1"/>
  <c r="L70" i="1"/>
  <c r="K70" i="1"/>
  <c r="I70" i="1"/>
  <c r="R70" i="1" s="1"/>
  <c r="E70" i="1"/>
  <c r="P70" i="1" s="1"/>
  <c r="AU69" i="1"/>
  <c r="AP69" i="1"/>
  <c r="AI69" i="1"/>
  <c r="AE69" i="1"/>
  <c r="L69" i="1"/>
  <c r="K69" i="1"/>
  <c r="I69" i="1"/>
  <c r="R69" i="1" s="1"/>
  <c r="E69" i="1"/>
  <c r="P69" i="1" s="1"/>
  <c r="AU68" i="1"/>
  <c r="AP68" i="1"/>
  <c r="AW68" i="1" s="1"/>
  <c r="AI68" i="1"/>
  <c r="AE68" i="1"/>
  <c r="L68" i="1"/>
  <c r="K68" i="1"/>
  <c r="M68" i="1" s="1"/>
  <c r="I68" i="1"/>
  <c r="R68" i="1" s="1"/>
  <c r="E68" i="1"/>
  <c r="P68" i="1" s="1"/>
  <c r="AU67" i="1"/>
  <c r="AP67" i="1"/>
  <c r="AI67" i="1"/>
  <c r="AE67" i="1"/>
  <c r="L67" i="1"/>
  <c r="K67" i="1"/>
  <c r="I67" i="1"/>
  <c r="R67" i="1" s="1"/>
  <c r="E67" i="1"/>
  <c r="P67" i="1" s="1"/>
  <c r="AU66" i="1"/>
  <c r="AP66" i="1"/>
  <c r="AI66" i="1"/>
  <c r="AE66" i="1"/>
  <c r="L66" i="1"/>
  <c r="K66" i="1"/>
  <c r="I66" i="1"/>
  <c r="R66" i="1" s="1"/>
  <c r="E66" i="1"/>
  <c r="P66" i="1" s="1"/>
  <c r="AU65" i="1"/>
  <c r="AP65" i="1"/>
  <c r="AI65" i="1"/>
  <c r="AE65" i="1"/>
  <c r="L65" i="1"/>
  <c r="K65" i="1"/>
  <c r="I65" i="1"/>
  <c r="R65" i="1" s="1"/>
  <c r="E65" i="1"/>
  <c r="P65" i="1" s="1"/>
  <c r="AU64" i="1"/>
  <c r="AP64" i="1"/>
  <c r="AI64" i="1"/>
  <c r="AE64" i="1"/>
  <c r="L64" i="1"/>
  <c r="K64" i="1"/>
  <c r="I64" i="1"/>
  <c r="R64" i="1" s="1"/>
  <c r="E64" i="1"/>
  <c r="P64" i="1" s="1"/>
  <c r="AU63" i="1"/>
  <c r="AP63" i="1"/>
  <c r="AI63" i="1"/>
  <c r="AE63" i="1"/>
  <c r="L63" i="1"/>
  <c r="K63" i="1"/>
  <c r="I63" i="1"/>
  <c r="R63" i="1" s="1"/>
  <c r="E63" i="1"/>
  <c r="P63" i="1" s="1"/>
  <c r="AU62" i="1"/>
  <c r="AP62" i="1"/>
  <c r="AI62" i="1"/>
  <c r="AE62" i="1"/>
  <c r="L62" i="1"/>
  <c r="K62" i="1"/>
  <c r="I62" i="1"/>
  <c r="R62" i="1" s="1"/>
  <c r="E62" i="1"/>
  <c r="P62" i="1" s="1"/>
  <c r="AU61" i="1"/>
  <c r="AP61" i="1"/>
  <c r="AI61" i="1"/>
  <c r="AE61" i="1"/>
  <c r="L61" i="1"/>
  <c r="K61" i="1"/>
  <c r="I61" i="1"/>
  <c r="R61" i="1" s="1"/>
  <c r="E61" i="1"/>
  <c r="AZ59" i="1"/>
  <c r="AT59" i="1"/>
  <c r="AS59" i="1"/>
  <c r="AR59" i="1"/>
  <c r="AO59" i="1"/>
  <c r="AN59" i="1"/>
  <c r="AM59" i="1"/>
  <c r="AH59" i="1"/>
  <c r="AG59" i="1"/>
  <c r="AD59" i="1"/>
  <c r="AC59" i="1"/>
  <c r="W59" i="1"/>
  <c r="S59" i="1"/>
  <c r="Q59" i="1"/>
  <c r="O59" i="1"/>
  <c r="H59" i="1"/>
  <c r="G59" i="1"/>
  <c r="D59" i="1"/>
  <c r="C59" i="1"/>
  <c r="AU58" i="1"/>
  <c r="AP58" i="1"/>
  <c r="AI58" i="1"/>
  <c r="AE58" i="1"/>
  <c r="L58" i="1"/>
  <c r="K58" i="1"/>
  <c r="I58" i="1"/>
  <c r="R58" i="1" s="1"/>
  <c r="E58" i="1"/>
  <c r="P58" i="1" s="1"/>
  <c r="AU57" i="1"/>
  <c r="AP57" i="1"/>
  <c r="AI57" i="1"/>
  <c r="AE57" i="1"/>
  <c r="L57" i="1"/>
  <c r="K57" i="1"/>
  <c r="I57" i="1"/>
  <c r="R57" i="1" s="1"/>
  <c r="E57" i="1"/>
  <c r="P57" i="1" s="1"/>
  <c r="AU56" i="1"/>
  <c r="AP56" i="1"/>
  <c r="AI56" i="1"/>
  <c r="AE56" i="1"/>
  <c r="L56" i="1"/>
  <c r="K56" i="1"/>
  <c r="I56" i="1"/>
  <c r="R56" i="1" s="1"/>
  <c r="E56" i="1"/>
  <c r="P56" i="1" s="1"/>
  <c r="AU55" i="1"/>
  <c r="AP55" i="1"/>
  <c r="AI55" i="1"/>
  <c r="AE55" i="1"/>
  <c r="L55" i="1"/>
  <c r="K55" i="1"/>
  <c r="I55" i="1"/>
  <c r="R55" i="1" s="1"/>
  <c r="E55" i="1"/>
  <c r="P55" i="1" s="1"/>
  <c r="AW54" i="1"/>
  <c r="AU54" i="1"/>
  <c r="AP54" i="1"/>
  <c r="AI54" i="1"/>
  <c r="AE54" i="1"/>
  <c r="L54" i="1"/>
  <c r="K54" i="1"/>
  <c r="I54" i="1"/>
  <c r="R54" i="1" s="1"/>
  <c r="E54" i="1"/>
  <c r="P54" i="1" s="1"/>
  <c r="AU53" i="1"/>
  <c r="AP53" i="1"/>
  <c r="AI53" i="1"/>
  <c r="AE53" i="1"/>
  <c r="L53" i="1"/>
  <c r="K53" i="1"/>
  <c r="I53" i="1"/>
  <c r="R53" i="1" s="1"/>
  <c r="E53" i="1"/>
  <c r="P53" i="1" s="1"/>
  <c r="AU52" i="1"/>
  <c r="AP52" i="1"/>
  <c r="AW52" i="1" s="1"/>
  <c r="AE52" i="1"/>
  <c r="AK52" i="1" s="1"/>
  <c r="L52" i="1"/>
  <c r="K52" i="1"/>
  <c r="I52" i="1"/>
  <c r="R52" i="1" s="1"/>
  <c r="E52" i="1"/>
  <c r="P52" i="1" s="1"/>
  <c r="AU51" i="1"/>
  <c r="AP51" i="1"/>
  <c r="AI51" i="1"/>
  <c r="AE51" i="1"/>
  <c r="L51" i="1"/>
  <c r="K51" i="1"/>
  <c r="I51" i="1"/>
  <c r="R51" i="1" s="1"/>
  <c r="E51" i="1"/>
  <c r="P51" i="1" s="1"/>
  <c r="AU50" i="1"/>
  <c r="AP50" i="1"/>
  <c r="AI50" i="1"/>
  <c r="AE50" i="1"/>
  <c r="L50" i="1"/>
  <c r="K50" i="1"/>
  <c r="I50" i="1"/>
  <c r="R50" i="1" s="1"/>
  <c r="E50" i="1"/>
  <c r="P50" i="1" s="1"/>
  <c r="AU49" i="1"/>
  <c r="AP49" i="1"/>
  <c r="AI49" i="1"/>
  <c r="AE49" i="1"/>
  <c r="L49" i="1"/>
  <c r="K49" i="1"/>
  <c r="I49" i="1"/>
  <c r="R49" i="1" s="1"/>
  <c r="E49" i="1"/>
  <c r="P49" i="1" s="1"/>
  <c r="AU48" i="1"/>
  <c r="AP48" i="1"/>
  <c r="AI48" i="1"/>
  <c r="AE48" i="1"/>
  <c r="L48" i="1"/>
  <c r="K48" i="1"/>
  <c r="I48" i="1"/>
  <c r="R48" i="1" s="1"/>
  <c r="E48" i="1"/>
  <c r="P48" i="1" s="1"/>
  <c r="AU47" i="1"/>
  <c r="AP47" i="1"/>
  <c r="AI47" i="1"/>
  <c r="AE47" i="1"/>
  <c r="L47" i="1"/>
  <c r="K47" i="1"/>
  <c r="I47" i="1"/>
  <c r="E47" i="1"/>
  <c r="P47" i="1" s="1"/>
  <c r="AZ45" i="1"/>
  <c r="AT45" i="1"/>
  <c r="AS45" i="1"/>
  <c r="AR45" i="1"/>
  <c r="AO45" i="1"/>
  <c r="AN45" i="1"/>
  <c r="AM45" i="1"/>
  <c r="AH45" i="1"/>
  <c r="AG45" i="1"/>
  <c r="AD45" i="1"/>
  <c r="AC45" i="1"/>
  <c r="W45" i="1"/>
  <c r="S45" i="1"/>
  <c r="Q45" i="1"/>
  <c r="O45" i="1"/>
  <c r="H45" i="1"/>
  <c r="G45" i="1"/>
  <c r="D45" i="1"/>
  <c r="C45" i="1"/>
  <c r="AU44" i="1"/>
  <c r="AP44" i="1"/>
  <c r="AI44" i="1"/>
  <c r="AE44" i="1"/>
  <c r="L44" i="1"/>
  <c r="K44" i="1"/>
  <c r="I44" i="1"/>
  <c r="R44" i="1" s="1"/>
  <c r="E44" i="1"/>
  <c r="P44" i="1" s="1"/>
  <c r="AU43" i="1"/>
  <c r="AP43" i="1"/>
  <c r="AI43" i="1"/>
  <c r="AE43" i="1"/>
  <c r="L43" i="1"/>
  <c r="K43" i="1"/>
  <c r="I43" i="1"/>
  <c r="R43" i="1" s="1"/>
  <c r="E43" i="1"/>
  <c r="P43" i="1" s="1"/>
  <c r="AU42" i="1"/>
  <c r="AP42" i="1"/>
  <c r="AI42" i="1"/>
  <c r="AE42" i="1"/>
  <c r="L42" i="1"/>
  <c r="K42" i="1"/>
  <c r="I42" i="1"/>
  <c r="R42" i="1" s="1"/>
  <c r="E42" i="1"/>
  <c r="P42" i="1" s="1"/>
  <c r="AU41" i="1"/>
  <c r="AP41" i="1"/>
  <c r="AI41" i="1"/>
  <c r="AE41" i="1"/>
  <c r="L41" i="1"/>
  <c r="K41" i="1"/>
  <c r="I41" i="1"/>
  <c r="R41" i="1" s="1"/>
  <c r="E41" i="1"/>
  <c r="P41" i="1" s="1"/>
  <c r="AU40" i="1"/>
  <c r="AP40" i="1"/>
  <c r="AI40" i="1"/>
  <c r="AE40" i="1"/>
  <c r="L40" i="1"/>
  <c r="K40" i="1"/>
  <c r="I40" i="1"/>
  <c r="R40" i="1" s="1"/>
  <c r="E40" i="1"/>
  <c r="P40" i="1" s="1"/>
  <c r="AU39" i="1"/>
  <c r="AP39" i="1"/>
  <c r="AI39" i="1"/>
  <c r="AE39" i="1"/>
  <c r="L39" i="1"/>
  <c r="K39" i="1"/>
  <c r="I39" i="1"/>
  <c r="R39" i="1" s="1"/>
  <c r="E39" i="1"/>
  <c r="P39" i="1" s="1"/>
  <c r="AU38" i="1"/>
  <c r="AP38" i="1"/>
  <c r="AW38" i="1" s="1"/>
  <c r="AI38" i="1"/>
  <c r="AE38" i="1"/>
  <c r="L38" i="1"/>
  <c r="K38" i="1"/>
  <c r="I38" i="1"/>
  <c r="R38" i="1" s="1"/>
  <c r="E38" i="1"/>
  <c r="P38" i="1" s="1"/>
  <c r="AU37" i="1"/>
  <c r="AP37" i="1"/>
  <c r="AI37" i="1"/>
  <c r="AE37" i="1"/>
  <c r="L37" i="1"/>
  <c r="K37" i="1"/>
  <c r="I37" i="1"/>
  <c r="R37" i="1" s="1"/>
  <c r="E37" i="1"/>
  <c r="P37" i="1" s="1"/>
  <c r="AU36" i="1"/>
  <c r="AP36" i="1"/>
  <c r="AI36" i="1"/>
  <c r="AE36" i="1"/>
  <c r="L36" i="1"/>
  <c r="K36" i="1"/>
  <c r="I36" i="1"/>
  <c r="R36" i="1" s="1"/>
  <c r="E36" i="1"/>
  <c r="P36" i="1" s="1"/>
  <c r="AU35" i="1"/>
  <c r="AP35" i="1"/>
  <c r="AI35" i="1"/>
  <c r="AE35" i="1"/>
  <c r="L35" i="1"/>
  <c r="K35" i="1"/>
  <c r="I35" i="1"/>
  <c r="R35" i="1" s="1"/>
  <c r="E35" i="1"/>
  <c r="P35" i="1" s="1"/>
  <c r="AU34" i="1"/>
  <c r="AP34" i="1"/>
  <c r="AI34" i="1"/>
  <c r="AE34" i="1"/>
  <c r="L34" i="1"/>
  <c r="K34" i="1"/>
  <c r="M34" i="1" s="1"/>
  <c r="T34" i="1" s="1"/>
  <c r="I34" i="1"/>
  <c r="R34" i="1" s="1"/>
  <c r="E34" i="1"/>
  <c r="P34" i="1" s="1"/>
  <c r="AU33" i="1"/>
  <c r="AP33" i="1"/>
  <c r="AI33" i="1"/>
  <c r="AE33" i="1"/>
  <c r="L33" i="1"/>
  <c r="K33" i="1"/>
  <c r="I33" i="1"/>
  <c r="E33" i="1"/>
  <c r="AZ31" i="1"/>
  <c r="AT31" i="1"/>
  <c r="AS31" i="1"/>
  <c r="AR31" i="1"/>
  <c r="AO31" i="1"/>
  <c r="AN31" i="1"/>
  <c r="AM31" i="1"/>
  <c r="AH31" i="1"/>
  <c r="AG31" i="1"/>
  <c r="AD31" i="1"/>
  <c r="AC31" i="1"/>
  <c r="W31" i="1"/>
  <c r="S31" i="1"/>
  <c r="Q31" i="1"/>
  <c r="O31" i="1"/>
  <c r="H31" i="1"/>
  <c r="G31" i="1"/>
  <c r="D31" i="1"/>
  <c r="C31" i="1"/>
  <c r="AU30" i="1"/>
  <c r="AP30" i="1"/>
  <c r="AI30" i="1"/>
  <c r="AE30" i="1"/>
  <c r="L30" i="1"/>
  <c r="K30" i="1"/>
  <c r="I30" i="1"/>
  <c r="R30" i="1" s="1"/>
  <c r="E30" i="1"/>
  <c r="P30" i="1" s="1"/>
  <c r="AU29" i="1"/>
  <c r="AP29" i="1"/>
  <c r="AI29" i="1"/>
  <c r="AE29" i="1"/>
  <c r="L29" i="1"/>
  <c r="K29" i="1"/>
  <c r="I29" i="1"/>
  <c r="R29" i="1" s="1"/>
  <c r="E29" i="1"/>
  <c r="P29" i="1" s="1"/>
  <c r="AU28" i="1"/>
  <c r="AP28" i="1"/>
  <c r="AI28" i="1"/>
  <c r="AE28" i="1"/>
  <c r="L28" i="1"/>
  <c r="K28" i="1"/>
  <c r="I28" i="1"/>
  <c r="R28" i="1" s="1"/>
  <c r="E28" i="1"/>
  <c r="P28" i="1" s="1"/>
  <c r="AU27" i="1"/>
  <c r="AP27" i="1"/>
  <c r="AI27" i="1"/>
  <c r="AE27" i="1"/>
  <c r="L27" i="1"/>
  <c r="K27" i="1"/>
  <c r="I27" i="1"/>
  <c r="R27" i="1" s="1"/>
  <c r="E27" i="1"/>
  <c r="P27" i="1" s="1"/>
  <c r="AU26" i="1"/>
  <c r="AP26" i="1"/>
  <c r="AI26" i="1"/>
  <c r="AE26" i="1"/>
  <c r="L26" i="1"/>
  <c r="K26" i="1"/>
  <c r="I26" i="1"/>
  <c r="R26" i="1" s="1"/>
  <c r="E26" i="1"/>
  <c r="P26" i="1" s="1"/>
  <c r="AU25" i="1"/>
  <c r="AP25" i="1"/>
  <c r="AI25" i="1"/>
  <c r="AE25" i="1"/>
  <c r="L25" i="1"/>
  <c r="K25" i="1"/>
  <c r="I25" i="1"/>
  <c r="R25" i="1" s="1"/>
  <c r="E25" i="1"/>
  <c r="P25" i="1" s="1"/>
  <c r="AU24" i="1"/>
  <c r="AP24" i="1"/>
  <c r="AI24" i="1"/>
  <c r="AK24" i="1" s="1"/>
  <c r="AE24" i="1"/>
  <c r="L24" i="1"/>
  <c r="K24" i="1"/>
  <c r="I24" i="1"/>
  <c r="R24" i="1" s="1"/>
  <c r="E24" i="1"/>
  <c r="P24" i="1" s="1"/>
  <c r="AU23" i="1"/>
  <c r="AP23" i="1"/>
  <c r="AI23" i="1"/>
  <c r="AE23" i="1"/>
  <c r="L23" i="1"/>
  <c r="K23" i="1"/>
  <c r="I23" i="1"/>
  <c r="R23" i="1" s="1"/>
  <c r="E23" i="1"/>
  <c r="P23" i="1" s="1"/>
  <c r="AU22" i="1"/>
  <c r="AP22" i="1"/>
  <c r="AK22" i="1"/>
  <c r="AI22" i="1"/>
  <c r="AE22" i="1"/>
  <c r="L22" i="1"/>
  <c r="K22" i="1"/>
  <c r="I22" i="1"/>
  <c r="R22" i="1" s="1"/>
  <c r="E22" i="1"/>
  <c r="P22" i="1" s="1"/>
  <c r="AU21" i="1"/>
  <c r="AP21" i="1"/>
  <c r="AI21" i="1"/>
  <c r="AE21" i="1"/>
  <c r="L21" i="1"/>
  <c r="K21" i="1"/>
  <c r="I21" i="1"/>
  <c r="R21" i="1" s="1"/>
  <c r="E21" i="1"/>
  <c r="P21" i="1" s="1"/>
  <c r="AU20" i="1"/>
  <c r="AP20" i="1"/>
  <c r="AI20" i="1"/>
  <c r="AE20" i="1"/>
  <c r="L20" i="1"/>
  <c r="K20" i="1"/>
  <c r="I20" i="1"/>
  <c r="R20" i="1" s="1"/>
  <c r="E20" i="1"/>
  <c r="P20" i="1" s="1"/>
  <c r="AU19" i="1"/>
  <c r="AP19" i="1"/>
  <c r="AI19" i="1"/>
  <c r="AE19" i="1"/>
  <c r="L19" i="1"/>
  <c r="K19" i="1"/>
  <c r="I19" i="1"/>
  <c r="E19" i="1"/>
  <c r="AZ17" i="1"/>
  <c r="AT17" i="1"/>
  <c r="AS17" i="1"/>
  <c r="AR17" i="1"/>
  <c r="AO17" i="1"/>
  <c r="AN17" i="1"/>
  <c r="AM17" i="1"/>
  <c r="AH17" i="1"/>
  <c r="AG17" i="1"/>
  <c r="AD17" i="1"/>
  <c r="AC17" i="1"/>
  <c r="W17" i="1"/>
  <c r="S17" i="1"/>
  <c r="Q17" i="1"/>
  <c r="O17" i="1"/>
  <c r="H17" i="1"/>
  <c r="G17" i="1"/>
  <c r="D17" i="1"/>
  <c r="C17" i="1"/>
  <c r="AU16" i="1"/>
  <c r="AP16" i="1"/>
  <c r="AW16" i="1" s="1"/>
  <c r="AI16" i="1"/>
  <c r="AE16" i="1"/>
  <c r="L16" i="1"/>
  <c r="K16" i="1"/>
  <c r="I16" i="1"/>
  <c r="R16" i="1" s="1"/>
  <c r="E16" i="1"/>
  <c r="P16" i="1" s="1"/>
  <c r="AU15" i="1"/>
  <c r="AP15" i="1"/>
  <c r="AW15" i="1" s="1"/>
  <c r="AI15" i="1"/>
  <c r="AE15" i="1"/>
  <c r="L15" i="1"/>
  <c r="K15" i="1"/>
  <c r="I15" i="1"/>
  <c r="R15" i="1" s="1"/>
  <c r="E15" i="1"/>
  <c r="P15" i="1" s="1"/>
  <c r="AU14" i="1"/>
  <c r="AP14" i="1"/>
  <c r="AI14" i="1"/>
  <c r="AE14" i="1"/>
  <c r="L14" i="1"/>
  <c r="K14" i="1"/>
  <c r="M14" i="1" s="1"/>
  <c r="T14" i="1" s="1"/>
  <c r="I14" i="1"/>
  <c r="R14" i="1" s="1"/>
  <c r="E14" i="1"/>
  <c r="P14" i="1" s="1"/>
  <c r="AU13" i="1"/>
  <c r="AP13" i="1"/>
  <c r="AI13" i="1"/>
  <c r="AE13" i="1"/>
  <c r="L13" i="1"/>
  <c r="K13" i="1"/>
  <c r="I13" i="1"/>
  <c r="R13" i="1" s="1"/>
  <c r="E13" i="1"/>
  <c r="P13" i="1" s="1"/>
  <c r="AU12" i="1"/>
  <c r="AP12" i="1"/>
  <c r="AI12" i="1"/>
  <c r="AE12" i="1"/>
  <c r="L12" i="1"/>
  <c r="K12" i="1"/>
  <c r="I12" i="1"/>
  <c r="R12" i="1" s="1"/>
  <c r="E12" i="1"/>
  <c r="P12" i="1" s="1"/>
  <c r="AU11" i="1"/>
  <c r="AP11" i="1"/>
  <c r="AI11" i="1"/>
  <c r="AE11" i="1"/>
  <c r="L11" i="1"/>
  <c r="K11" i="1"/>
  <c r="I11" i="1"/>
  <c r="R11" i="1" s="1"/>
  <c r="E11" i="1"/>
  <c r="P11" i="1" s="1"/>
  <c r="AU10" i="1"/>
  <c r="AP10" i="1"/>
  <c r="AI10" i="1"/>
  <c r="AE10" i="1"/>
  <c r="L10" i="1"/>
  <c r="K10" i="1"/>
  <c r="I10" i="1"/>
  <c r="R10" i="1" s="1"/>
  <c r="E10" i="1"/>
  <c r="P10" i="1" s="1"/>
  <c r="AU9" i="1"/>
  <c r="AP9" i="1"/>
  <c r="AI9" i="1"/>
  <c r="AE9" i="1"/>
  <c r="L9" i="1"/>
  <c r="K9" i="1"/>
  <c r="I9" i="1"/>
  <c r="R9" i="1" s="1"/>
  <c r="E9" i="1"/>
  <c r="P9" i="1" s="1"/>
  <c r="AU8" i="1"/>
  <c r="AP8" i="1"/>
  <c r="AI8" i="1"/>
  <c r="AE8" i="1"/>
  <c r="L8" i="1"/>
  <c r="K8" i="1"/>
  <c r="I8" i="1"/>
  <c r="R8" i="1" s="1"/>
  <c r="E8" i="1"/>
  <c r="P8" i="1" s="1"/>
  <c r="AU7" i="1"/>
  <c r="AP7" i="1"/>
  <c r="AI7" i="1"/>
  <c r="AE7" i="1"/>
  <c r="L7" i="1"/>
  <c r="K7" i="1"/>
  <c r="I7" i="1"/>
  <c r="R7" i="1" s="1"/>
  <c r="E7" i="1"/>
  <c r="P7" i="1" s="1"/>
  <c r="AU6" i="1"/>
  <c r="AP6" i="1"/>
  <c r="AI6" i="1"/>
  <c r="AE6" i="1"/>
  <c r="L6" i="1"/>
  <c r="K6" i="1"/>
  <c r="I6" i="1"/>
  <c r="R6" i="1" s="1"/>
  <c r="E6" i="1"/>
  <c r="P6" i="1" s="1"/>
  <c r="AU5" i="1"/>
  <c r="AP5" i="1"/>
  <c r="AI5" i="1"/>
  <c r="AE5" i="1"/>
  <c r="L5" i="1"/>
  <c r="K5" i="1"/>
  <c r="K17" i="1" s="1"/>
  <c r="I5" i="1"/>
  <c r="R5" i="1" s="1"/>
  <c r="E5" i="1"/>
  <c r="AW19" i="1" l="1"/>
  <c r="AW35" i="1"/>
  <c r="U69" i="1"/>
  <c r="AK71" i="1"/>
  <c r="G58" i="3"/>
  <c r="K58" i="3" s="1"/>
  <c r="AK86" i="1"/>
  <c r="AK49" i="1"/>
  <c r="AK50" i="1"/>
  <c r="AK55" i="1"/>
  <c r="AK20" i="1"/>
  <c r="AK37" i="1"/>
  <c r="AK39" i="1"/>
  <c r="AK40" i="1"/>
  <c r="AW56" i="1"/>
  <c r="M64" i="1"/>
  <c r="M23" i="1"/>
  <c r="T23" i="1" s="1"/>
  <c r="U23" i="1" s="1"/>
  <c r="AW23" i="1"/>
  <c r="AW24" i="1"/>
  <c r="AW25" i="1"/>
  <c r="M27" i="1"/>
  <c r="T27" i="1" s="1"/>
  <c r="U27" i="1" s="1"/>
  <c r="M29" i="1"/>
  <c r="T29" i="1" s="1"/>
  <c r="U78" i="1"/>
  <c r="AK14" i="1"/>
  <c r="AK33" i="1"/>
  <c r="M36" i="1"/>
  <c r="T36" i="1" s="1"/>
  <c r="M38" i="1"/>
  <c r="T38" i="1" s="1"/>
  <c r="AW43" i="1"/>
  <c r="AW44" i="1"/>
  <c r="AK53" i="1"/>
  <c r="M65" i="1"/>
  <c r="AW65" i="1"/>
  <c r="AK63" i="1"/>
  <c r="U66" i="1"/>
  <c r="AK41" i="1"/>
  <c r="AK43" i="1"/>
  <c r="AK44" i="1"/>
  <c r="AW47" i="1"/>
  <c r="AW48" i="1"/>
  <c r="M50" i="1"/>
  <c r="T50" i="1" s="1"/>
  <c r="AW51" i="1"/>
  <c r="M54" i="1"/>
  <c r="T54" i="1" s="1"/>
  <c r="AK58" i="1"/>
  <c r="M79" i="1"/>
  <c r="F36" i="3" s="1"/>
  <c r="J36" i="3" s="1"/>
  <c r="AK7" i="1"/>
  <c r="AK9" i="1"/>
  <c r="AK11" i="1"/>
  <c r="AK13" i="1"/>
  <c r="I31" i="1"/>
  <c r="AW22" i="1"/>
  <c r="M25" i="1"/>
  <c r="T25" i="1" s="1"/>
  <c r="M26" i="1"/>
  <c r="T26" i="1" s="1"/>
  <c r="AW27" i="1"/>
  <c r="M28" i="1"/>
  <c r="T28" i="1" s="1"/>
  <c r="AW29" i="1"/>
  <c r="M30" i="1"/>
  <c r="T30" i="1" s="1"/>
  <c r="AW34" i="1"/>
  <c r="U50" i="1"/>
  <c r="U62" i="1"/>
  <c r="AA62" i="1" s="1"/>
  <c r="AY62" i="1" s="1"/>
  <c r="AW64" i="1"/>
  <c r="AK67" i="1"/>
  <c r="U70" i="1"/>
  <c r="AA70" i="1" s="1"/>
  <c r="AY70" i="1" s="1"/>
  <c r="U76" i="1"/>
  <c r="M77" i="1"/>
  <c r="F30" i="3" s="1"/>
  <c r="J30" i="3" s="1"/>
  <c r="AK77" i="1"/>
  <c r="H31" i="3" s="1"/>
  <c r="U79" i="1"/>
  <c r="AW79" i="1"/>
  <c r="M37" i="1"/>
  <c r="T37" i="1" s="1"/>
  <c r="AU59" i="1"/>
  <c r="R73" i="1"/>
  <c r="AI73" i="1"/>
  <c r="M67" i="1"/>
  <c r="U28" i="1"/>
  <c r="Y28" i="1" s="1"/>
  <c r="E17" i="1"/>
  <c r="L17" i="1"/>
  <c r="AW6" i="1"/>
  <c r="AW7" i="1"/>
  <c r="M8" i="1"/>
  <c r="T8" i="1" s="1"/>
  <c r="U8" i="1" s="1"/>
  <c r="X8" i="1" s="1"/>
  <c r="AW8" i="1"/>
  <c r="AW9" i="1"/>
  <c r="M10" i="1"/>
  <c r="T10" i="1" s="1"/>
  <c r="AW10" i="1"/>
  <c r="AW11" i="1"/>
  <c r="M12" i="1"/>
  <c r="T12" i="1" s="1"/>
  <c r="U12" i="1" s="1"/>
  <c r="AW12" i="1"/>
  <c r="AW13" i="1"/>
  <c r="M15" i="1"/>
  <c r="T15" i="1" s="1"/>
  <c r="AW20" i="1"/>
  <c r="M21" i="1"/>
  <c r="T21" i="1" s="1"/>
  <c r="U21" i="1" s="1"/>
  <c r="AW21" i="1"/>
  <c r="AK25" i="1"/>
  <c r="AK26" i="1"/>
  <c r="AK28" i="1"/>
  <c r="AK30" i="1"/>
  <c r="U38" i="1"/>
  <c r="X38" i="1" s="1"/>
  <c r="AW39" i="1"/>
  <c r="AW40" i="1"/>
  <c r="M42" i="1"/>
  <c r="T42" i="1" s="1"/>
  <c r="U42" i="1" s="1"/>
  <c r="AW42" i="1"/>
  <c r="M47" i="1"/>
  <c r="AW49" i="1"/>
  <c r="M51" i="1"/>
  <c r="T51" i="1" s="1"/>
  <c r="M56" i="1"/>
  <c r="T56" i="1" s="1"/>
  <c r="M58" i="1"/>
  <c r="T58" i="1" s="1"/>
  <c r="M61" i="1"/>
  <c r="AW61" i="1"/>
  <c r="M63" i="1"/>
  <c r="U65" i="1"/>
  <c r="M69" i="1"/>
  <c r="X69" i="1" s="1"/>
  <c r="AW69" i="1"/>
  <c r="Y38" i="1"/>
  <c r="R17" i="1"/>
  <c r="AP17" i="1"/>
  <c r="AK6" i="1"/>
  <c r="AK8" i="1"/>
  <c r="AK10" i="1"/>
  <c r="AK12" i="1"/>
  <c r="M16" i="1"/>
  <c r="T16" i="1" s="1"/>
  <c r="AK16" i="1"/>
  <c r="K31" i="1"/>
  <c r="AK19" i="1"/>
  <c r="AK21" i="1"/>
  <c r="AK23" i="1"/>
  <c r="AW26" i="1"/>
  <c r="AK27" i="1"/>
  <c r="AW30" i="1"/>
  <c r="L45" i="1"/>
  <c r="AK35" i="1"/>
  <c r="AW36" i="1"/>
  <c r="AW37" i="1"/>
  <c r="AW41" i="1"/>
  <c r="AU45" i="1"/>
  <c r="AK48" i="1"/>
  <c r="AW50" i="1"/>
  <c r="AK51" i="1"/>
  <c r="M75" i="1"/>
  <c r="U77" i="1"/>
  <c r="Y77" i="1" s="1"/>
  <c r="H30" i="3" s="1"/>
  <c r="K30" i="3" s="1"/>
  <c r="AK79" i="1"/>
  <c r="H37" i="3" s="1"/>
  <c r="U81" i="1"/>
  <c r="AA81" i="1" s="1"/>
  <c r="L31" i="1"/>
  <c r="AU31" i="1"/>
  <c r="E45" i="1"/>
  <c r="P33" i="1"/>
  <c r="I17" i="1"/>
  <c r="AE17" i="1"/>
  <c r="M6" i="1"/>
  <c r="T6" i="1" s="1"/>
  <c r="U6" i="1" s="1"/>
  <c r="M7" i="1"/>
  <c r="T7" i="1" s="1"/>
  <c r="M9" i="1"/>
  <c r="T9" i="1" s="1"/>
  <c r="U10" i="1"/>
  <c r="AA10" i="1" s="1"/>
  <c r="AY10" i="1" s="1"/>
  <c r="M11" i="1"/>
  <c r="T11" i="1" s="1"/>
  <c r="U11" i="1" s="1"/>
  <c r="M13" i="1"/>
  <c r="T13" i="1" s="1"/>
  <c r="U14" i="1"/>
  <c r="AW14" i="1"/>
  <c r="AK15" i="1"/>
  <c r="AU17" i="1"/>
  <c r="E31" i="1"/>
  <c r="M19" i="1"/>
  <c r="T19" i="1" s="1"/>
  <c r="T31" i="1" s="1"/>
  <c r="AP31" i="1"/>
  <c r="M20" i="1"/>
  <c r="T20" i="1" s="1"/>
  <c r="M22" i="1"/>
  <c r="T22" i="1" s="1"/>
  <c r="U22" i="1" s="1"/>
  <c r="M24" i="1"/>
  <c r="T24" i="1" s="1"/>
  <c r="U25" i="1"/>
  <c r="AW28" i="1"/>
  <c r="AK29" i="1"/>
  <c r="AE45" i="1"/>
  <c r="AK36" i="1"/>
  <c r="AK38" i="1"/>
  <c r="M40" i="1"/>
  <c r="T40" i="1" s="1"/>
  <c r="U40" i="1" s="1"/>
  <c r="AK42" i="1"/>
  <c r="M44" i="1"/>
  <c r="T44" i="1" s="1"/>
  <c r="U44" i="1" s="1"/>
  <c r="M49" i="1"/>
  <c r="T49" i="1" s="1"/>
  <c r="U49" i="1" s="1"/>
  <c r="M52" i="1"/>
  <c r="T52" i="1" s="1"/>
  <c r="U52" i="1" s="1"/>
  <c r="U54" i="1"/>
  <c r="AA54" i="1" s="1"/>
  <c r="AY54" i="1" s="1"/>
  <c r="U56" i="1"/>
  <c r="AW58" i="1"/>
  <c r="AE73" i="1"/>
  <c r="AK73" i="1" s="1"/>
  <c r="AW63" i="1"/>
  <c r="AK64" i="1"/>
  <c r="AW67" i="1"/>
  <c r="AK68" i="1"/>
  <c r="AW71" i="1"/>
  <c r="AK72" i="1"/>
  <c r="AU73" i="1"/>
  <c r="U75" i="1"/>
  <c r="AW77" i="1"/>
  <c r="M85" i="1"/>
  <c r="F54" i="3" s="1"/>
  <c r="J54" i="3" s="1"/>
  <c r="R19" i="1"/>
  <c r="R31" i="1" s="1"/>
  <c r="U34" i="1"/>
  <c r="Y34" i="1" s="1"/>
  <c r="U36" i="1"/>
  <c r="Y36" i="1" s="1"/>
  <c r="AA28" i="1"/>
  <c r="AY28" i="1" s="1"/>
  <c r="U7" i="1"/>
  <c r="U9" i="1"/>
  <c r="Y9" i="1" s="1"/>
  <c r="U13" i="1"/>
  <c r="U15" i="1"/>
  <c r="U20" i="1"/>
  <c r="U24" i="1"/>
  <c r="U29" i="1"/>
  <c r="U26" i="1"/>
  <c r="U30" i="1"/>
  <c r="X10" i="1"/>
  <c r="Y14" i="1"/>
  <c r="X14" i="1"/>
  <c r="U16" i="1"/>
  <c r="AA25" i="1"/>
  <c r="AY25" i="1" s="1"/>
  <c r="Y25" i="1"/>
  <c r="X25" i="1"/>
  <c r="X34" i="1"/>
  <c r="AA36" i="1"/>
  <c r="AY36" i="1" s="1"/>
  <c r="X36" i="1"/>
  <c r="M5" i="1"/>
  <c r="AW5" i="1"/>
  <c r="P5" i="1"/>
  <c r="AK5" i="1"/>
  <c r="I45" i="1"/>
  <c r="R33" i="1"/>
  <c r="R45" i="1" s="1"/>
  <c r="AP45" i="1"/>
  <c r="AW45" i="1" s="1"/>
  <c r="M35" i="1"/>
  <c r="T35" i="1" s="1"/>
  <c r="M41" i="1"/>
  <c r="T41" i="1" s="1"/>
  <c r="U41" i="1" s="1"/>
  <c r="T47" i="1"/>
  <c r="AI59" i="1"/>
  <c r="AK47" i="1"/>
  <c r="X77" i="1"/>
  <c r="AI17" i="1"/>
  <c r="AE31" i="1"/>
  <c r="M33" i="1"/>
  <c r="K45" i="1"/>
  <c r="U37" i="1"/>
  <c r="P59" i="1"/>
  <c r="X50" i="1"/>
  <c r="AA50" i="1"/>
  <c r="AY50" i="1" s="1"/>
  <c r="Y50" i="1"/>
  <c r="Y76" i="1"/>
  <c r="H27" i="3" s="1"/>
  <c r="K27" i="3" s="1"/>
  <c r="X76" i="1"/>
  <c r="AA76" i="1"/>
  <c r="AA79" i="1"/>
  <c r="Y79" i="1"/>
  <c r="H36" i="3" s="1"/>
  <c r="K36" i="3" s="1"/>
  <c r="X79" i="1"/>
  <c r="P19" i="1"/>
  <c r="AI31" i="1"/>
  <c r="AI45" i="1"/>
  <c r="AK45" i="1" s="1"/>
  <c r="AW33" i="1"/>
  <c r="AK34" i="1"/>
  <c r="U35" i="1"/>
  <c r="AA38" i="1"/>
  <c r="AY38" i="1" s="1"/>
  <c r="M39" i="1"/>
  <c r="T39" i="1" s="1"/>
  <c r="U39" i="1" s="1"/>
  <c r="M43" i="1"/>
  <c r="T43" i="1" s="1"/>
  <c r="U43" i="1" s="1"/>
  <c r="I59" i="1"/>
  <c r="R47" i="1"/>
  <c r="R59" i="1" s="1"/>
  <c r="M48" i="1"/>
  <c r="T48" i="1" s="1"/>
  <c r="U48" i="1" s="1"/>
  <c r="U51" i="1"/>
  <c r="Y54" i="1"/>
  <c r="X54" i="1"/>
  <c r="AA56" i="1"/>
  <c r="AY56" i="1" s="1"/>
  <c r="Y56" i="1"/>
  <c r="X56" i="1"/>
  <c r="AA75" i="1"/>
  <c r="Y75" i="1"/>
  <c r="H24" i="3" s="1"/>
  <c r="K24" i="3" s="1"/>
  <c r="X75" i="1"/>
  <c r="P45" i="1"/>
  <c r="AA65" i="1"/>
  <c r="AY65" i="1" s="1"/>
  <c r="Y65" i="1"/>
  <c r="X65" i="1"/>
  <c r="AA69" i="1"/>
  <c r="AY69" i="1" s="1"/>
  <c r="Y69" i="1"/>
  <c r="E59" i="1"/>
  <c r="AE59" i="1"/>
  <c r="M53" i="1"/>
  <c r="T53" i="1" s="1"/>
  <c r="U53" i="1" s="1"/>
  <c r="AK54" i="1"/>
  <c r="AW55" i="1"/>
  <c r="M57" i="1"/>
  <c r="T57" i="1" s="1"/>
  <c r="U57" i="1" s="1"/>
  <c r="AW57" i="1"/>
  <c r="K73" i="1"/>
  <c r="M62" i="1"/>
  <c r="Y62" i="1" s="1"/>
  <c r="AW62" i="1"/>
  <c r="AK65" i="1"/>
  <c r="AK66" i="1"/>
  <c r="M70" i="1"/>
  <c r="Y70" i="1" s="1"/>
  <c r="AW70" i="1"/>
  <c r="L73" i="1"/>
  <c r="AG87" i="1"/>
  <c r="AI75" i="1"/>
  <c r="G29" i="3"/>
  <c r="AW76" i="1"/>
  <c r="H29" i="3" s="1"/>
  <c r="U58" i="1"/>
  <c r="U63" i="1"/>
  <c r="U68" i="1"/>
  <c r="U71" i="1"/>
  <c r="K59" i="1"/>
  <c r="AW53" i="1"/>
  <c r="M55" i="1"/>
  <c r="T55" i="1" s="1"/>
  <c r="U55" i="1" s="1"/>
  <c r="AK56" i="1"/>
  <c r="AK57" i="1"/>
  <c r="E73" i="1"/>
  <c r="P61" i="1"/>
  <c r="AK61" i="1"/>
  <c r="AK62" i="1"/>
  <c r="M66" i="1"/>
  <c r="Y66" i="1" s="1"/>
  <c r="AA66" i="1"/>
  <c r="AY66" i="1" s="1"/>
  <c r="AW66" i="1"/>
  <c r="AK69" i="1"/>
  <c r="AK70" i="1"/>
  <c r="AW75" i="1"/>
  <c r="M78" i="1"/>
  <c r="F33" i="3" s="1"/>
  <c r="J33" i="3" s="1"/>
  <c r="AA78" i="1"/>
  <c r="G35" i="3"/>
  <c r="AW78" i="1"/>
  <c r="H35" i="3" s="1"/>
  <c r="L59" i="1"/>
  <c r="AP59" i="1"/>
  <c r="AP73" i="1"/>
  <c r="X62" i="1"/>
  <c r="U64" i="1"/>
  <c r="U67" i="1"/>
  <c r="X70" i="1"/>
  <c r="U72" i="1"/>
  <c r="W87" i="1"/>
  <c r="I73" i="1"/>
  <c r="G46" i="3"/>
  <c r="K46" i="3" s="1"/>
  <c r="AK82" i="1"/>
  <c r="H46" i="3" s="1"/>
  <c r="G52" i="3"/>
  <c r="K52" i="3" s="1"/>
  <c r="AK84" i="1"/>
  <c r="H52" i="3" s="1"/>
  <c r="AK76" i="1"/>
  <c r="H28" i="3" s="1"/>
  <c r="H32" i="3"/>
  <c r="AK78" i="1"/>
  <c r="H34" i="3" s="1"/>
  <c r="H38" i="3"/>
  <c r="T87" i="1"/>
  <c r="G32" i="3"/>
  <c r="H59" i="3"/>
  <c r="AW86" i="1"/>
  <c r="F59" i="3"/>
  <c r="AW85" i="1"/>
  <c r="H56" i="3" s="1"/>
  <c r="H58" i="3"/>
  <c r="F57" i="3"/>
  <c r="J57" i="3" s="1"/>
  <c r="AA86" i="1"/>
  <c r="K55" i="3"/>
  <c r="AK85" i="1"/>
  <c r="H55" i="3" s="1"/>
  <c r="L87" i="1"/>
  <c r="U85" i="1"/>
  <c r="M84" i="1"/>
  <c r="F51" i="3" s="1"/>
  <c r="J51" i="3" s="1"/>
  <c r="U84" i="1"/>
  <c r="H53" i="3"/>
  <c r="AW84" i="1"/>
  <c r="F53" i="3"/>
  <c r="AW83" i="1"/>
  <c r="H50" i="3" s="1"/>
  <c r="H47" i="3"/>
  <c r="AW82" i="1"/>
  <c r="F47" i="3"/>
  <c r="M83" i="1"/>
  <c r="F48" i="3" s="1"/>
  <c r="J48" i="3" s="1"/>
  <c r="U83" i="1"/>
  <c r="E87" i="1"/>
  <c r="M82" i="1"/>
  <c r="F45" i="3" s="1"/>
  <c r="J45" i="3" s="1"/>
  <c r="I87" i="1"/>
  <c r="U82" i="1"/>
  <c r="K87" i="1"/>
  <c r="AA9" i="1"/>
  <c r="AY9" i="1" s="1"/>
  <c r="AA14" i="1"/>
  <c r="AK83" i="1"/>
  <c r="H49" i="3" s="1"/>
  <c r="K43" i="3"/>
  <c r="AK81" i="1"/>
  <c r="G42" i="3"/>
  <c r="AE87" i="1"/>
  <c r="F61" i="3" s="1"/>
  <c r="J61" i="3" s="1"/>
  <c r="AK80" i="1"/>
  <c r="H40" i="3" s="1"/>
  <c r="H44" i="3"/>
  <c r="AW81" i="1"/>
  <c r="F44" i="3"/>
  <c r="AU87" i="1"/>
  <c r="G62" i="3" s="1"/>
  <c r="AP87" i="1"/>
  <c r="AW80" i="1"/>
  <c r="H41" i="3" s="1"/>
  <c r="R80" i="1"/>
  <c r="R87" i="1" s="1"/>
  <c r="P80" i="1"/>
  <c r="M80" i="1"/>
  <c r="K31" i="3"/>
  <c r="K49" i="3"/>
  <c r="K34" i="3"/>
  <c r="K37" i="3"/>
  <c r="K28" i="3"/>
  <c r="K40" i="3"/>
  <c r="X21" i="1" l="1"/>
  <c r="Y21" i="1"/>
  <c r="AA21" i="1"/>
  <c r="AY21" i="1" s="1"/>
  <c r="Y23" i="1"/>
  <c r="AA23" i="1"/>
  <c r="AY23" i="1" s="1"/>
  <c r="AW73" i="1"/>
  <c r="X66" i="1"/>
  <c r="Y10" i="1"/>
  <c r="X28" i="1"/>
  <c r="AW59" i="1"/>
  <c r="AA34" i="1"/>
  <c r="AY34" i="1" s="1"/>
  <c r="X78" i="1"/>
  <c r="AK31" i="1"/>
  <c r="F24" i="3"/>
  <c r="J24" i="3" s="1"/>
  <c r="M87" i="1"/>
  <c r="Y12" i="1"/>
  <c r="AA12" i="1"/>
  <c r="AY12" i="1" s="1"/>
  <c r="X42" i="1"/>
  <c r="AA42" i="1"/>
  <c r="AY42" i="1" s="1"/>
  <c r="Y42" i="1"/>
  <c r="M31" i="1"/>
  <c r="AW17" i="1"/>
  <c r="X52" i="1"/>
  <c r="Y52" i="1"/>
  <c r="AA52" i="1"/>
  <c r="AY52" i="1" s="1"/>
  <c r="AA49" i="1"/>
  <c r="AY49" i="1" s="1"/>
  <c r="Y49" i="1"/>
  <c r="X49" i="1"/>
  <c r="X6" i="1"/>
  <c r="Y6" i="1"/>
  <c r="AA6" i="1"/>
  <c r="AY6" i="1" s="1"/>
  <c r="X23" i="1"/>
  <c r="X12" i="1"/>
  <c r="Y8" i="1"/>
  <c r="AW31" i="1"/>
  <c r="M73" i="1"/>
  <c r="AA77" i="1"/>
  <c r="AK17" i="1"/>
  <c r="AA8" i="1"/>
  <c r="AY8" i="1" s="1"/>
  <c r="X9" i="1"/>
  <c r="X53" i="1"/>
  <c r="AA53" i="1"/>
  <c r="AY53" i="1" s="1"/>
  <c r="Y53" i="1"/>
  <c r="X48" i="1"/>
  <c r="Y48" i="1"/>
  <c r="AA48" i="1"/>
  <c r="AY48" i="1" s="1"/>
  <c r="X55" i="1"/>
  <c r="AA55" i="1"/>
  <c r="AY55" i="1" s="1"/>
  <c r="Y55" i="1"/>
  <c r="Y43" i="1"/>
  <c r="AA43" i="1"/>
  <c r="AY43" i="1" s="1"/>
  <c r="X43" i="1"/>
  <c r="X67" i="1"/>
  <c r="AA67" i="1"/>
  <c r="AY67" i="1" s="1"/>
  <c r="Y67" i="1"/>
  <c r="G27" i="3"/>
  <c r="AY76" i="1"/>
  <c r="V6" i="3" s="1"/>
  <c r="M59" i="1"/>
  <c r="T5" i="1"/>
  <c r="T17" i="1" s="1"/>
  <c r="M17" i="1"/>
  <c r="AA29" i="1"/>
  <c r="AY29" i="1" s="1"/>
  <c r="Y29" i="1"/>
  <c r="X29" i="1"/>
  <c r="AA15" i="1"/>
  <c r="AY15" i="1" s="1"/>
  <c r="Y15" i="1"/>
  <c r="X15" i="1"/>
  <c r="AA7" i="1"/>
  <c r="AY7" i="1" s="1"/>
  <c r="Y7" i="1"/>
  <c r="X7" i="1"/>
  <c r="Y85" i="1"/>
  <c r="H54" i="3" s="1"/>
  <c r="K54" i="3" s="1"/>
  <c r="AA85" i="1"/>
  <c r="AY85" i="1" s="1"/>
  <c r="V15" i="3" s="1"/>
  <c r="AA72" i="1"/>
  <c r="AY72" i="1" s="1"/>
  <c r="Y72" i="1"/>
  <c r="X72" i="1"/>
  <c r="H26" i="3"/>
  <c r="G26" i="3"/>
  <c r="P73" i="1"/>
  <c r="U61" i="1"/>
  <c r="X63" i="1"/>
  <c r="Y63" i="1"/>
  <c r="AA63" i="1"/>
  <c r="AY63" i="1" s="1"/>
  <c r="Y57" i="1"/>
  <c r="X57" i="1"/>
  <c r="AA57" i="1"/>
  <c r="AY57" i="1" s="1"/>
  <c r="G24" i="3"/>
  <c r="AY75" i="1"/>
  <c r="V5" i="3" s="1"/>
  <c r="AA51" i="1"/>
  <c r="AY51" i="1" s="1"/>
  <c r="Y51" i="1"/>
  <c r="X51" i="1"/>
  <c r="Y44" i="1"/>
  <c r="X44" i="1"/>
  <c r="AA44" i="1"/>
  <c r="AY44" i="1" s="1"/>
  <c r="M45" i="1"/>
  <c r="T33" i="1"/>
  <c r="AA24" i="1"/>
  <c r="AY24" i="1" s="1"/>
  <c r="Y24" i="1"/>
  <c r="X24" i="1"/>
  <c r="AA13" i="1"/>
  <c r="AY13" i="1" s="1"/>
  <c r="Y13" i="1"/>
  <c r="X13" i="1"/>
  <c r="AA64" i="1"/>
  <c r="AY64" i="1" s="1"/>
  <c r="Y64" i="1"/>
  <c r="X64" i="1"/>
  <c r="X71" i="1"/>
  <c r="Y71" i="1"/>
  <c r="AA71" i="1"/>
  <c r="AY71" i="1" s="1"/>
  <c r="G25" i="3"/>
  <c r="K25" i="3" s="1"/>
  <c r="AK75" i="1"/>
  <c r="H25" i="3" s="1"/>
  <c r="AI87" i="1"/>
  <c r="G61" i="3" s="1"/>
  <c r="K61" i="3" s="1"/>
  <c r="Y83" i="1"/>
  <c r="H48" i="3" s="1"/>
  <c r="K48" i="3" s="1"/>
  <c r="Y84" i="1"/>
  <c r="H51" i="3" s="1"/>
  <c r="K51" i="3" s="1"/>
  <c r="AA84" i="1"/>
  <c r="G33" i="3"/>
  <c r="AY78" i="1"/>
  <c r="V8" i="3" s="1"/>
  <c r="Y78" i="1"/>
  <c r="H33" i="3" s="1"/>
  <c r="K33" i="3" s="1"/>
  <c r="AA68" i="1"/>
  <c r="AY68" i="1" s="1"/>
  <c r="Y68" i="1"/>
  <c r="X68" i="1"/>
  <c r="X58" i="1"/>
  <c r="Y58" i="1"/>
  <c r="AA58" i="1"/>
  <c r="AY58" i="1" s="1"/>
  <c r="AA35" i="1"/>
  <c r="AY35" i="1" s="1"/>
  <c r="Y35" i="1"/>
  <c r="X35" i="1"/>
  <c r="G36" i="3"/>
  <c r="AY79" i="1"/>
  <c r="V9" i="3" s="1"/>
  <c r="Y40" i="1"/>
  <c r="X40" i="1"/>
  <c r="AA40" i="1"/>
  <c r="AY40" i="1" s="1"/>
  <c r="G30" i="3"/>
  <c r="AY77" i="1"/>
  <c r="V7" i="3" s="1"/>
  <c r="AK59" i="1"/>
  <c r="P17" i="1"/>
  <c r="X30" i="1"/>
  <c r="AA30" i="1"/>
  <c r="AY30" i="1" s="1"/>
  <c r="Y30" i="1"/>
  <c r="AA22" i="1"/>
  <c r="AY22" i="1" s="1"/>
  <c r="Y22" i="1"/>
  <c r="X22" i="1"/>
  <c r="AA11" i="1"/>
  <c r="AY11" i="1" s="1"/>
  <c r="Y11" i="1"/>
  <c r="X11" i="1"/>
  <c r="Y41" i="1"/>
  <c r="AA41" i="1"/>
  <c r="AY41" i="1" s="1"/>
  <c r="X41" i="1"/>
  <c r="P31" i="1"/>
  <c r="U19" i="1"/>
  <c r="U47" i="1"/>
  <c r="Y37" i="1"/>
  <c r="AA37" i="1"/>
  <c r="AY37" i="1" s="1"/>
  <c r="X37" i="1"/>
  <c r="T59" i="1"/>
  <c r="Y39" i="1"/>
  <c r="AA39" i="1"/>
  <c r="AY39" i="1" s="1"/>
  <c r="X39" i="1"/>
  <c r="AA27" i="1"/>
  <c r="AY27" i="1" s="1"/>
  <c r="Y27" i="1"/>
  <c r="X27" i="1"/>
  <c r="X16" i="1"/>
  <c r="AA16" i="1"/>
  <c r="AY16" i="1" s="1"/>
  <c r="Y16" i="1"/>
  <c r="X26" i="1"/>
  <c r="AA26" i="1"/>
  <c r="AY26" i="1" s="1"/>
  <c r="Y26" i="1"/>
  <c r="AA20" i="1"/>
  <c r="AY20" i="1" s="1"/>
  <c r="Y20" i="1"/>
  <c r="X20" i="1"/>
  <c r="X86" i="1"/>
  <c r="Y86" i="1"/>
  <c r="H57" i="3" s="1"/>
  <c r="K57" i="3" s="1"/>
  <c r="G57" i="3"/>
  <c r="AY86" i="1"/>
  <c r="V16" i="3" s="1"/>
  <c r="X85" i="1"/>
  <c r="G54" i="3"/>
  <c r="X84" i="1"/>
  <c r="X83" i="1"/>
  <c r="AA83" i="1"/>
  <c r="AY83" i="1" s="1"/>
  <c r="V13" i="3" s="1"/>
  <c r="AA82" i="1"/>
  <c r="G45" i="3" s="1"/>
  <c r="Y82" i="1"/>
  <c r="H45" i="3" s="1"/>
  <c r="K45" i="3" s="1"/>
  <c r="X82" i="1"/>
  <c r="AY14" i="1"/>
  <c r="H43" i="3"/>
  <c r="X81" i="1"/>
  <c r="Y81" i="1"/>
  <c r="H42" i="3" s="1"/>
  <c r="K42" i="3" s="1"/>
  <c r="AY81" i="1"/>
  <c r="V11" i="3" s="1"/>
  <c r="F62" i="3"/>
  <c r="AW87" i="1"/>
  <c r="H62" i="3" s="1"/>
  <c r="F39" i="3"/>
  <c r="J39" i="3" s="1"/>
  <c r="F60" i="3"/>
  <c r="J60" i="3" s="1"/>
  <c r="P87" i="1"/>
  <c r="U80" i="1"/>
  <c r="AK87" i="1" l="1"/>
  <c r="H61" i="3" s="1"/>
  <c r="U31" i="1"/>
  <c r="Y19" i="1"/>
  <c r="X19" i="1"/>
  <c r="AA19" i="1"/>
  <c r="U5" i="1"/>
  <c r="T45" i="1"/>
  <c r="U33" i="1"/>
  <c r="U73" i="1"/>
  <c r="AA61" i="1"/>
  <c r="Y61" i="1"/>
  <c r="X61" i="1"/>
  <c r="U59" i="1"/>
  <c r="AA47" i="1"/>
  <c r="Y47" i="1"/>
  <c r="X47" i="1"/>
  <c r="G51" i="3"/>
  <c r="AY84" i="1"/>
  <c r="V14" i="3" s="1"/>
  <c r="G48" i="3"/>
  <c r="AY82" i="1"/>
  <c r="V12" i="3" s="1"/>
  <c r="U87" i="1"/>
  <c r="X80" i="1"/>
  <c r="AA80" i="1"/>
  <c r="Y80" i="1"/>
  <c r="H39" i="3" s="1"/>
  <c r="K39" i="3" s="1"/>
  <c r="Y59" i="1" l="1"/>
  <c r="X59" i="1"/>
  <c r="Y73" i="1"/>
  <c r="X73" i="1"/>
  <c r="AY19" i="1"/>
  <c r="AA31" i="1"/>
  <c r="AY31" i="1" s="1"/>
  <c r="Y33" i="1"/>
  <c r="U45" i="1"/>
  <c r="X33" i="1"/>
  <c r="AA33" i="1"/>
  <c r="AY47" i="1"/>
  <c r="AA59" i="1"/>
  <c r="AY59" i="1" s="1"/>
  <c r="AY61" i="1"/>
  <c r="AA73" i="1"/>
  <c r="AY73" i="1" s="1"/>
  <c r="Y5" i="1"/>
  <c r="AA5" i="1"/>
  <c r="X5" i="1"/>
  <c r="U17" i="1"/>
  <c r="X31" i="1"/>
  <c r="Y31" i="1"/>
  <c r="G39" i="3"/>
  <c r="AA87" i="1"/>
  <c r="AY80" i="1"/>
  <c r="V10" i="3" s="1"/>
  <c r="Y87" i="1"/>
  <c r="H60" i="3" s="1"/>
  <c r="K60" i="3" s="1"/>
  <c r="X87" i="1"/>
  <c r="AY5" i="1" l="1"/>
  <c r="AA17" i="1"/>
  <c r="AY17" i="1" s="1"/>
  <c r="X45" i="1"/>
  <c r="Y45" i="1"/>
  <c r="Y17" i="1"/>
  <c r="X17" i="1"/>
  <c r="AY33" i="1"/>
  <c r="AA45" i="1"/>
  <c r="AY45" i="1" s="1"/>
  <c r="G60" i="3"/>
  <c r="AY87" i="1"/>
  <c r="V17" i="3" s="1"/>
</calcChain>
</file>

<file path=xl/comments1.xml><?xml version="1.0" encoding="utf-8"?>
<comments xmlns="http://schemas.openxmlformats.org/spreadsheetml/2006/main">
  <authors>
    <author>Beras Slana Marija</author>
    <author>Vesna P</author>
  </authors>
  <commentList>
    <comment ref="AD3" authorId="0" shapeId="0">
      <text>
        <r>
          <rPr>
            <b/>
            <sz val="9"/>
            <color indexed="81"/>
            <rFont val="Tahoma"/>
            <family val="2"/>
            <charset val="238"/>
          </rPr>
          <t>Beras Slana Marija: Plin se meri v standardnih kubičnih metrih Sm3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M4" authorId="1" shapeId="0">
      <text>
        <r>
          <rPr>
            <b/>
            <sz val="9"/>
            <color indexed="81"/>
            <rFont val="Tahoma"/>
            <family val="2"/>
            <charset val="238"/>
          </rPr>
          <t>Vesna P:</t>
        </r>
        <r>
          <rPr>
            <sz val="9"/>
            <color indexed="81"/>
            <rFont val="Tahoma"/>
            <family val="2"/>
            <charset val="238"/>
          </rPr>
          <t xml:space="preserve">
od dec.2016 se števec imenuje 26208/1
</t>
        </r>
        <r>
          <rPr>
            <b/>
            <sz val="9"/>
            <color indexed="81"/>
            <rFont val="Tahoma"/>
            <family val="2"/>
            <charset val="238"/>
          </rPr>
          <t>DN80 3023873</t>
        </r>
      </text>
    </comment>
    <comment ref="AN4" authorId="0" shapeId="0">
      <text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b/>
            <sz val="9"/>
            <color indexed="81"/>
            <rFont val="Segoe UI"/>
            <family val="2"/>
            <charset val="238"/>
          </rPr>
          <t>DN20 C14SB000371</t>
        </r>
      </text>
    </comment>
    <comment ref="AO4" authorId="0" shapeId="0">
      <text>
        <r>
          <rPr>
            <b/>
            <sz val="9"/>
            <color indexed="81"/>
            <rFont val="Segoe UI"/>
            <family val="2"/>
            <charset val="238"/>
          </rPr>
          <t>DN80 1903962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AR4" authorId="1" shapeId="0">
      <text>
        <r>
          <rPr>
            <b/>
            <sz val="9"/>
            <color indexed="81"/>
            <rFont val="Tahoma"/>
            <family val="2"/>
            <charset val="238"/>
          </rPr>
          <t>Vesna P:</t>
        </r>
        <r>
          <rPr>
            <sz val="9"/>
            <color indexed="81"/>
            <rFont val="Tahoma"/>
            <family val="2"/>
            <charset val="238"/>
          </rPr>
          <t xml:space="preserve">
od dec.2016 je strošek prištet k 26208 Špelina stroški 2</t>
        </r>
      </text>
    </comment>
    <comment ref="AR50" authorId="0" shapeId="0">
      <text>
        <r>
          <rPr>
            <b/>
            <sz val="9"/>
            <color indexed="81"/>
            <rFont val="Tahoma"/>
            <family val="2"/>
            <charset val="238"/>
          </rPr>
          <t>Voda + Omrežnina
Velja tudi od tu naprej</t>
        </r>
      </text>
    </comment>
    <comment ref="P86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Upoštevan popust (11.500,00 €) po pogodbi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M86" authorId="1" shapeId="0">
      <text>
        <r>
          <rPr>
            <sz val="9"/>
            <color indexed="81"/>
            <rFont val="Tahoma"/>
            <family val="2"/>
            <charset val="238"/>
          </rPr>
          <t xml:space="preserve">
Preimenovanje števca 26209 v števec 26208/1 </t>
        </r>
      </text>
    </comment>
    <comment ref="AP87" authorId="0" shapeId="0">
      <text>
        <r>
          <rPr>
            <b/>
            <sz val="9"/>
            <color indexed="81"/>
            <rFont val="Segoe UI"/>
            <family val="2"/>
            <charset val="238"/>
          </rPr>
          <t>Beras Slana Marija:</t>
        </r>
        <r>
          <rPr>
            <sz val="9"/>
            <color indexed="81"/>
            <rFont val="Segoe UI"/>
            <family val="2"/>
            <charset val="238"/>
          </rPr>
          <t xml:space="preserve">
970 m3 porabi Marine, zato je v letnem poročilu o vodi za PPTM navedena količina 10400 m3</t>
        </r>
      </text>
    </comment>
    <comment ref="AR96" authorId="0" shapeId="0">
      <text>
        <r>
          <rPr>
            <b/>
            <sz val="9"/>
            <color indexed="81"/>
            <rFont val="Segoe UI"/>
            <family val="2"/>
            <charset val="238"/>
          </rPr>
          <t>Beras Slana Marija:</t>
        </r>
        <r>
          <rPr>
            <sz val="9"/>
            <color indexed="81"/>
            <rFont val="Segoe UI"/>
            <family val="2"/>
            <charset val="238"/>
          </rPr>
          <t xml:space="preserve">
zaračunana samo omrežnina
</t>
        </r>
      </text>
    </comment>
    <comment ref="AS96" authorId="0" shapeId="0">
      <text>
        <r>
          <rPr>
            <b/>
            <sz val="9"/>
            <color indexed="81"/>
            <rFont val="Segoe UI"/>
            <family val="2"/>
            <charset val="238"/>
          </rPr>
          <t>Beras Slana Marija:</t>
        </r>
        <r>
          <rPr>
            <sz val="9"/>
            <color indexed="81"/>
            <rFont val="Segoe UI"/>
            <family val="2"/>
            <charset val="238"/>
          </rPr>
          <t xml:space="preserve">
zaračunana samo omrežnina
</t>
        </r>
      </text>
    </comment>
    <comment ref="AR97" authorId="0" shapeId="0">
      <text>
        <r>
          <rPr>
            <b/>
            <sz val="9"/>
            <color indexed="81"/>
            <rFont val="Segoe UI"/>
            <family val="2"/>
            <charset val="238"/>
          </rPr>
          <t>Beras Slana Marija:</t>
        </r>
        <r>
          <rPr>
            <sz val="9"/>
            <color indexed="81"/>
            <rFont val="Segoe UI"/>
            <family val="2"/>
            <charset val="238"/>
          </rPr>
          <t xml:space="preserve">
zaračunana samo omrežnina
</t>
        </r>
      </text>
    </comment>
    <comment ref="AS97" authorId="0" shapeId="0">
      <text>
        <r>
          <rPr>
            <b/>
            <sz val="9"/>
            <color indexed="81"/>
            <rFont val="Segoe UI"/>
            <family val="2"/>
            <charset val="238"/>
          </rPr>
          <t>Beras Slana Marija:</t>
        </r>
        <r>
          <rPr>
            <sz val="9"/>
            <color indexed="81"/>
            <rFont val="Segoe UI"/>
            <family val="2"/>
            <charset val="238"/>
          </rPr>
          <t xml:space="preserve">
zaračunana samo omrežnina
</t>
        </r>
      </text>
    </comment>
  </commentList>
</comments>
</file>

<file path=xl/sharedStrings.xml><?xml version="1.0" encoding="utf-8"?>
<sst xmlns="http://schemas.openxmlformats.org/spreadsheetml/2006/main" count="638" uniqueCount="299">
  <si>
    <t>Špelina</t>
  </si>
  <si>
    <t>Jaskova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</si>
  <si>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</si>
  <si>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</si>
  <si>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</si>
  <si>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</si>
  <si>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</si>
  <si>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</si>
  <si>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</si>
  <si>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</si>
  <si>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</si>
  <si>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</si>
  <si>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</si>
  <si>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</si>
  <si>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</si>
  <si>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</si>
  <si>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</si>
  <si>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</si>
  <si>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</si>
  <si>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</si>
  <si>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</si>
  <si>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</si>
  <si>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</si>
  <si>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</si>
  <si>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</si>
  <si>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</si>
  <si>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</si>
  <si>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</si>
  <si>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</si>
  <si>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</si>
  <si>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</si>
  <si>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</si>
  <si>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</si>
  <si>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</si>
  <si>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</si>
  <si>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</si>
  <si>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</si>
  <si>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</si>
  <si>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</si>
  <si>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</si>
  <si>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</si>
  <si>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</si>
  <si>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</si>
  <si>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</si>
  <si>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</si>
  <si>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</si>
  <si>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</si>
  <si>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</si>
  <si>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</si>
  <si>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</si>
  <si>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</si>
  <si>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</si>
  <si>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</si>
  <si>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</si>
  <si>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</si>
  <si>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</si>
  <si>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</si>
  <si>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</si>
  <si>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</si>
  <si>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</si>
  <si>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</si>
  <si>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</si>
  <si>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Euro [€]</t>
  </si>
  <si>
    <t>EUR/m3</t>
  </si>
  <si>
    <t>Elektrika</t>
  </si>
  <si>
    <t>Obdobje</t>
  </si>
  <si>
    <t>Skupaj</t>
  </si>
  <si>
    <t>VT [kWh podnevi] Količina</t>
  </si>
  <si>
    <t>MT [kWh ponoči] Količina</t>
  </si>
  <si>
    <t>Skupna dnevna količina * Dnevna tarifa kWh</t>
  </si>
  <si>
    <t>Skupna nočna količina * Nočna tarifa kWh</t>
  </si>
  <si>
    <t>Skupna Ostalo količina * Tarifa za Ostalo</t>
  </si>
  <si>
    <t>Tarifa za Ostalo</t>
  </si>
  <si>
    <t>Stroški skupaj</t>
  </si>
  <si>
    <t>Omrežnina</t>
  </si>
  <si>
    <t>Cena/kWh z omrežnino</t>
  </si>
  <si>
    <t>Cena/kWh brez omrežnine</t>
  </si>
  <si>
    <t>Elektrika + Omrežnina</t>
  </si>
  <si>
    <t>Plin</t>
  </si>
  <si>
    <t>Skupna količina</t>
  </si>
  <si>
    <t>Skupni stroški</t>
  </si>
  <si>
    <t>Naši stroški</t>
  </si>
  <si>
    <t>Voda</t>
  </si>
  <si>
    <t>Špelina Stroški 1</t>
  </si>
  <si>
    <t>Špelina Stroški 2</t>
  </si>
  <si>
    <t>Jaskova Stroški</t>
  </si>
  <si>
    <t>Vsi stroški skupaj</t>
  </si>
  <si>
    <t>Skupaj Špelina</t>
  </si>
  <si>
    <t>Skupaj Jaskova</t>
  </si>
  <si>
    <t>[kWh Skupaj] Količina (Ostalo)</t>
  </si>
  <si>
    <t>Skupni promet</t>
  </si>
  <si>
    <t>Naprej zaračunano</t>
  </si>
  <si>
    <t>Račun 1</t>
  </si>
  <si>
    <t>Račun 2</t>
  </si>
  <si>
    <t>EUR/m³</t>
  </si>
  <si>
    <t>Količina (m³)</t>
  </si>
  <si>
    <t>Opombe</t>
  </si>
  <si>
    <t>/</t>
  </si>
  <si>
    <t>Pri skupnem prometu, sta združena julij in avgust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</si>
  <si>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</si>
  <si>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</si>
  <si>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</si>
  <si>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</si>
  <si>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</si>
  <si>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</si>
  <si>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</si>
  <si>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</si>
  <si>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</si>
  <si>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</si>
  <si>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</si>
  <si>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</si>
  <si>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Skupna poraba E</t>
  </si>
  <si>
    <t>Skupni stroški E</t>
  </si>
  <si>
    <t>Oznake vrstic</t>
  </si>
  <si>
    <t>Skupna vsota</t>
  </si>
  <si>
    <t>Vsota od Skupna poraba E</t>
  </si>
  <si>
    <t>Vsota od Skupna Ostalo količina * Tarifa za Ostalo</t>
  </si>
  <si>
    <t>Vsota od Omrežnina</t>
  </si>
  <si>
    <t>Stroški porabe</t>
  </si>
  <si>
    <t>Vsota od Stroški porabe</t>
  </si>
  <si>
    <t>Povprečje od Cena/kWh brez omrežnine</t>
  </si>
  <si>
    <t>Povprečje od Cena/kWh z omrežnino</t>
  </si>
  <si>
    <t>skupen strošel el. Energ</t>
  </si>
  <si>
    <t>Poraba vode m3</t>
  </si>
  <si>
    <t>stroški voda</t>
  </si>
  <si>
    <t>Vsota od Poraba vode m3</t>
  </si>
  <si>
    <t>Vsota od stroški voda</t>
  </si>
  <si>
    <t>skupna kol.</t>
  </si>
  <si>
    <t>cena</t>
  </si>
  <si>
    <t>Cena na kWh/m3</t>
  </si>
  <si>
    <t>energent</t>
  </si>
  <si>
    <t>E</t>
  </si>
  <si>
    <t>G</t>
  </si>
  <si>
    <t>W</t>
  </si>
  <si>
    <t>skupaj E+G v kwh</t>
  </si>
  <si>
    <t>opomba</t>
  </si>
  <si>
    <t>1kJ = 0,000277778 kWh</t>
  </si>
  <si>
    <r>
      <t>2</t>
    </r>
    <r>
      <rPr>
        <sz val="14"/>
        <color theme="1"/>
        <rFont val="Calibri"/>
        <family val="2"/>
        <charset val="238"/>
        <scheme val="minor"/>
      </rPr>
      <t>Kalorična vrednost za zemeljski plin = 34.076 kJ/Sm</t>
    </r>
    <r>
      <rPr>
        <vertAlign val="superscript"/>
        <sz val="14"/>
        <color theme="1"/>
        <rFont val="Calibri"/>
        <family val="2"/>
        <charset val="238"/>
        <scheme val="minor"/>
      </rPr>
      <t>3</t>
    </r>
  </si>
  <si>
    <t>Vsota od skupaj E+G v kwh</t>
  </si>
  <si>
    <t>Oznake stolpcev</t>
  </si>
  <si>
    <t>Vsota od cena</t>
  </si>
  <si>
    <t>cena na kWh</t>
  </si>
  <si>
    <t>Povprečje od cena na kWh</t>
  </si>
  <si>
    <t>E-energija G-plin W-voda</t>
  </si>
  <si>
    <t>Skupna količina G</t>
  </si>
  <si>
    <t>Skupni stroški G</t>
  </si>
  <si>
    <t>Naprej zaračunano G</t>
  </si>
  <si>
    <t>Naši stroški G</t>
  </si>
  <si>
    <t>EUR/m³ G</t>
  </si>
  <si>
    <t>EUR/m3 W</t>
  </si>
  <si>
    <t>SKUPNE (SAMODEJNE) TABELE</t>
  </si>
  <si>
    <t>Vsota od Skupna količina G</t>
  </si>
  <si>
    <t>Vsota od Naši stroški G</t>
  </si>
  <si>
    <t>Vsota od EUR/m³ G</t>
  </si>
  <si>
    <t>Povprečje od EUR/m3 W</t>
  </si>
  <si>
    <t>KRATKA NAVODILA</t>
  </si>
  <si>
    <t>Odgovoren oddelek:</t>
  </si>
  <si>
    <t>ECO</t>
  </si>
  <si>
    <t>Odgovorna oseba:</t>
  </si>
  <si>
    <t>Marija Beras Slana</t>
  </si>
  <si>
    <t>Perioda kontrole dokumenta:</t>
  </si>
  <si>
    <t>1x mesečno</t>
  </si>
  <si>
    <t>Podrobna navodila:</t>
  </si>
  <si>
    <t>glej dokument 02_Mesecni energetski stroski_NAVODILA.xlsx</t>
  </si>
  <si>
    <t>Dnevna tarifa [€/kWh]</t>
  </si>
  <si>
    <t>Nočna tarifa  [€/kWh]</t>
  </si>
  <si>
    <t>Pri vodi je od tega datuma dalje všteta omrežnina</t>
  </si>
  <si>
    <t xml:space="preserve">Pri vodi poračun od 29.1.2016 - 25.8.2016 </t>
  </si>
  <si>
    <t>Špelina 1 (26209)</t>
  </si>
  <si>
    <t>Jaskova (29897)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</si>
  <si>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</si>
  <si>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</si>
  <si>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</si>
  <si>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</si>
  <si>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</si>
  <si>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</si>
  <si>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</si>
  <si>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</si>
  <si>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</si>
  <si>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</si>
  <si>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</si>
  <si>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</si>
  <si>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</si>
  <si>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</si>
  <si>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</si>
  <si>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</si>
  <si>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</si>
  <si>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</si>
  <si>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</si>
  <si>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</si>
  <si>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</si>
  <si>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</si>
  <si>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</si>
  <si>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</si>
  <si>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</si>
  <si>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</si>
  <si>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</si>
  <si>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</si>
  <si>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</si>
  <si>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</si>
  <si>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</si>
  <si>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</si>
  <si>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</si>
  <si>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</si>
  <si>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</si>
  <si>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E26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</si>
  <si>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</si>
  <si>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</si>
  <si>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</si>
  <si>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</si>
  <si>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</si>
  <si>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</si>
  <si>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</si>
  <si>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</si>
  <si>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</si>
  <si>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</si>
  <si>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</si>
  <si>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</si>
  <si>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</si>
  <si>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</si>
  <si>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</si>
  <si>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</si>
  <si>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</si>
  <si>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</si>
  <si>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</si>
  <si>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</si>
  <si>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</si>
  <si>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OBD</t>
  </si>
  <si>
    <t>PORABA ENERGENTOV PO LETIH</t>
  </si>
  <si>
    <t>Vsota od S2</t>
  </si>
  <si>
    <t>Skupni stroški [EUR]</t>
  </si>
  <si>
    <t>Vsota od E11</t>
  </si>
  <si>
    <t>Elektrika [kWh]</t>
  </si>
  <si>
    <t>Vsota od E19</t>
  </si>
  <si>
    <t>Elektrika [EUR]</t>
  </si>
  <si>
    <t>Vsota od P3</t>
  </si>
  <si>
    <t>Plin [Sm3]</t>
  </si>
  <si>
    <t>Vsota od P7</t>
  </si>
  <si>
    <t>Plin [EUR]</t>
  </si>
  <si>
    <t>Voda [m3]</t>
  </si>
  <si>
    <t>Voda [EUR]</t>
  </si>
  <si>
    <t>Vsota od V4</t>
  </si>
  <si>
    <t>Vsota od V11</t>
  </si>
  <si>
    <t>Vsota od S1</t>
  </si>
  <si>
    <t>PROMET [EUR]</t>
  </si>
  <si>
    <t>LETO</t>
  </si>
  <si>
    <t>2Kalorična vrednost za zemeljski plin = 34.076 kJ/Sm3</t>
  </si>
  <si>
    <t>CILJ</t>
  </si>
  <si>
    <t>IZHODIŠČE MWh</t>
  </si>
  <si>
    <t>Izhodišče kWh/EUR</t>
  </si>
  <si>
    <t>KPI:  kWh/EUR</t>
  </si>
  <si>
    <t>KPI:  SKUPNA PORABA [MWH]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</si>
  <si>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</si>
  <si>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</si>
  <si>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</si>
  <si>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</si>
  <si>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</si>
  <si>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</si>
  <si>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</si>
  <si>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</si>
  <si>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</si>
  <si>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</si>
  <si>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</si>
  <si>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</si>
  <si>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Pri plinu je poraba navedena v Nm3 (od 1.1.2016 dalje)</t>
  </si>
  <si>
    <t>Špelina 2 (26208)/0</t>
  </si>
  <si>
    <t>LETO:</t>
  </si>
  <si>
    <t>vpiši leto</t>
  </si>
  <si>
    <t>M</t>
  </si>
  <si>
    <t>Stolpec:</t>
  </si>
  <si>
    <t>T</t>
  </si>
  <si>
    <t>U</t>
  </si>
  <si>
    <t>X</t>
  </si>
  <si>
    <t>Y</t>
  </si>
  <si>
    <t>AA</t>
  </si>
  <si>
    <t>AE</t>
  </si>
  <si>
    <t>AG</t>
  </si>
  <si>
    <t>AH</t>
  </si>
  <si>
    <t>AI</t>
  </si>
  <si>
    <t>AK</t>
  </si>
  <si>
    <t>AP</t>
  </si>
  <si>
    <t>AU</t>
  </si>
  <si>
    <t>AW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</si>
  <si>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</si>
  <si>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</si>
  <si>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</si>
  <si>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</si>
  <si>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</si>
  <si>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</si>
  <si>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</si>
  <si>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</si>
  <si>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</si>
  <si>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</si>
  <si>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</si>
  <si>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</si>
  <si>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Cilj presežen predvsem zaradi mile zime in izredno velike prometa, zaradi česar je padel vpliv ogrevanja.</t>
  </si>
  <si>
    <t>Grafe glej</t>
  </si>
  <si>
    <t>2017-02-14_Energetska_ucinkovitosr.R</t>
  </si>
  <si>
    <t>v R mapi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</si>
</sst>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€&quot;_-;\-* #,##0.00\ &quot;€&quot;_-;_-* &quot;-&quot;??\ &quot;€&quot;_-;_-@_-"/>
    <numFmt numFmtId="164" formatCode="#,##0.000"/>
    <numFmt numFmtId="165" formatCode="#,##0.0000"/>
    <numFmt numFmtId="166" formatCode="#,##0.00000"/>
    <numFmt numFmtId="167" formatCode="#,##0.000000"/>
    <numFmt numFmtId="168" formatCode="0.000000"/>
    <numFmt numFmtId="169" formatCode="0.00000"/>
    <numFmt numFmtId="170" formatCode="0.0000"/>
    <numFmt numFmtId="171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color indexed="8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perscript"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</font>
    <font>
      <sz val="1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9"/>
      <color theme="0" tint="-0.249977111117893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Gray">
        <fgColor theme="0" tint="-0.499984740745262"/>
        <bgColor theme="1" tint="0.499984740745262"/>
      </patternFill>
    </fill>
    <fill>
      <patternFill patternType="darkGray">
        <fgColor theme="0" tint="-0.24994659260841701"/>
        <bgColor theme="1" tint="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9999"/>
      </left>
      <right/>
      <top style="double">
        <color rgb="FFFF9999"/>
      </top>
      <bottom style="double">
        <color rgb="FFFF9999"/>
      </bottom>
      <diagonal/>
    </border>
    <border>
      <left/>
      <right/>
      <top style="double">
        <color rgb="FFFF9999"/>
      </top>
      <bottom style="double">
        <color rgb="FFFF9999"/>
      </bottom>
      <diagonal/>
    </border>
    <border>
      <left/>
      <right style="double">
        <color rgb="FFFF9999"/>
      </right>
      <top style="double">
        <color rgb="FFFF9999"/>
      </top>
      <bottom style="double">
        <color rgb="FFFF9999"/>
      </bottom>
      <diagonal/>
    </border>
    <border>
      <left style="double">
        <color theme="7" tint="0.79998168889431442"/>
      </left>
      <right/>
      <top style="double">
        <color theme="7" tint="0.79998168889431442"/>
      </top>
      <bottom/>
      <diagonal/>
    </border>
    <border>
      <left/>
      <right/>
      <top style="double">
        <color theme="7" tint="0.79998168889431442"/>
      </top>
      <bottom/>
      <diagonal/>
    </border>
    <border>
      <left/>
      <right style="double">
        <color theme="7" tint="0.79998168889431442"/>
      </right>
      <top style="double">
        <color theme="7" tint="0.79998168889431442"/>
      </top>
      <bottom/>
      <diagonal/>
    </border>
    <border>
      <left style="double">
        <color theme="7" tint="0.79998168889431442"/>
      </left>
      <right/>
      <top/>
      <bottom/>
      <diagonal/>
    </border>
    <border>
      <left/>
      <right style="double">
        <color theme="7" tint="0.79998168889431442"/>
      </right>
      <top/>
      <bottom/>
      <diagonal/>
    </border>
    <border>
      <left style="double">
        <color theme="7" tint="0.79998168889431442"/>
      </left>
      <right/>
      <top/>
      <bottom style="double">
        <color theme="7" tint="0.79998168889431442"/>
      </bottom>
      <diagonal/>
    </border>
    <border>
      <left/>
      <right/>
      <top/>
      <bottom style="double">
        <color theme="7" tint="0.79998168889431442"/>
      </bottom>
      <diagonal/>
    </border>
    <border>
      <left/>
      <right style="double">
        <color theme="7" tint="0.79998168889431442"/>
      </right>
      <top/>
      <bottom style="double">
        <color theme="7" tint="0.79998168889431442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8" xfId="0" applyNumberForma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18" xfId="0" applyNumberFormat="1" applyFont="1" applyBorder="1" applyAlignment="1">
      <alignment horizontal="center" vertical="center" wrapText="1"/>
    </xf>
    <xf numFmtId="165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168" fontId="2" fillId="0" borderId="9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3" fontId="2" fillId="0" borderId="23" xfId="0" applyNumberFormat="1" applyFont="1" applyBorder="1" applyAlignment="1">
      <alignment horizontal="center" vertical="center" wrapText="1"/>
    </xf>
    <xf numFmtId="166" fontId="1" fillId="0" borderId="23" xfId="0" applyNumberFormat="1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166" fontId="1" fillId="0" borderId="23" xfId="0" applyNumberFormat="1" applyFont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 vertical="center" wrapText="1"/>
    </xf>
    <xf numFmtId="169" fontId="0" fillId="0" borderId="23" xfId="0" applyNumberFormat="1" applyBorder="1" applyAlignment="1">
      <alignment horizontal="center" vertical="center" wrapText="1"/>
    </xf>
    <xf numFmtId="169" fontId="2" fillId="0" borderId="23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165" fontId="1" fillId="0" borderId="23" xfId="0" applyNumberFormat="1" applyFont="1" applyFill="1" applyBorder="1" applyAlignment="1">
      <alignment horizontal="center" vertical="center" wrapText="1"/>
    </xf>
    <xf numFmtId="165" fontId="1" fillId="0" borderId="2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166" fontId="3" fillId="0" borderId="14" xfId="0" applyNumberFormat="1" applyFont="1" applyBorder="1" applyAlignment="1">
      <alignment horizontal="center" vertical="center" wrapText="1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4" fontId="0" fillId="0" borderId="33" xfId="0" applyNumberFormat="1" applyFont="1" applyFill="1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4" fontId="2" fillId="0" borderId="34" xfId="0" applyNumberFormat="1" applyFont="1" applyBorder="1" applyAlignment="1">
      <alignment horizontal="center" vertical="center" wrapText="1"/>
    </xf>
    <xf numFmtId="4" fontId="0" fillId="0" borderId="8" xfId="0" applyNumberFormat="1" applyFont="1" applyFill="1" applyBorder="1" applyAlignment="1">
      <alignment horizontal="center" vertical="center" wrapText="1"/>
    </xf>
    <xf numFmtId="4" fontId="0" fillId="0" borderId="35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0" fillId="0" borderId="23" xfId="0" applyNumberFormat="1" applyFill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4" fontId="0" fillId="0" borderId="38" xfId="0" applyNumberFormat="1" applyFill="1" applyBorder="1" applyAlignment="1">
      <alignment horizontal="center" vertical="center" wrapText="1"/>
    </xf>
    <xf numFmtId="4" fontId="0" fillId="0" borderId="39" xfId="0" applyNumberFormat="1" applyFill="1" applyBorder="1" applyAlignment="1">
      <alignment horizontal="center" vertical="center" wrapText="1"/>
    </xf>
    <xf numFmtId="4" fontId="0" fillId="0" borderId="40" xfId="0" applyNumberForma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8" xfId="0" applyNumberForma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24" xfId="0" applyNumberFormat="1" applyFont="1" applyFill="1" applyBorder="1" applyAlignment="1">
      <alignment horizontal="center" vertical="center" wrapText="1"/>
    </xf>
    <xf numFmtId="4" fontId="0" fillId="0" borderId="22" xfId="0" applyNumberForma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3" fontId="2" fillId="0" borderId="43" xfId="0" applyNumberFormat="1" applyFon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" fontId="2" fillId="0" borderId="47" xfId="0" applyNumberFormat="1" applyFont="1" applyBorder="1" applyAlignment="1">
      <alignment horizontal="center" vertical="center" wrapText="1"/>
    </xf>
    <xf numFmtId="4" fontId="2" fillId="0" borderId="48" xfId="0" applyNumberFormat="1" applyFont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4" fontId="2" fillId="0" borderId="50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4" fontId="2" fillId="0" borderId="51" xfId="0" applyNumberFormat="1" applyFont="1" applyBorder="1" applyAlignment="1">
      <alignment horizontal="center" vertical="center" wrapText="1"/>
    </xf>
    <xf numFmtId="4" fontId="2" fillId="0" borderId="52" xfId="0" applyNumberFormat="1" applyFont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center" vertical="center" wrapText="1"/>
    </xf>
    <xf numFmtId="3" fontId="0" fillId="0" borderId="53" xfId="0" applyNumberFormat="1" applyFill="1" applyBorder="1" applyAlignment="1">
      <alignment horizontal="center" vertical="center" wrapText="1"/>
    </xf>
    <xf numFmtId="3" fontId="0" fillId="0" borderId="53" xfId="0" applyNumberFormat="1" applyBorder="1" applyAlignment="1">
      <alignment horizontal="center" vertical="center" wrapText="1"/>
    </xf>
    <xf numFmtId="3" fontId="0" fillId="0" borderId="54" xfId="0" applyNumberForma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/>
    </xf>
    <xf numFmtId="3" fontId="0" fillId="0" borderId="54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0" fillId="0" borderId="23" xfId="0" applyNumberFormat="1" applyFont="1" applyBorder="1" applyAlignment="1">
      <alignment horizontal="center" vertical="center" wrapText="1"/>
    </xf>
    <xf numFmtId="4" fontId="0" fillId="0" borderId="22" xfId="0" applyNumberFormat="1" applyFon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" fontId="0" fillId="0" borderId="50" xfId="0" applyNumberFormat="1" applyFont="1" applyBorder="1" applyAlignment="1">
      <alignment horizontal="center" vertical="center" wrapText="1"/>
    </xf>
    <xf numFmtId="4" fontId="0" fillId="0" borderId="21" xfId="0" applyNumberFormat="1" applyFont="1" applyBorder="1" applyAlignment="1">
      <alignment horizontal="center" vertical="center" wrapText="1"/>
    </xf>
    <xf numFmtId="4" fontId="2" fillId="0" borderId="12" xfId="0" applyNumberFormat="1" applyFont="1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4" fontId="0" fillId="0" borderId="37" xfId="0" applyNumberFormat="1" applyFill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49" xfId="0" applyNumberFormat="1" applyFont="1" applyBorder="1" applyAlignment="1">
      <alignment horizontal="center" vertical="center" wrapText="1"/>
    </xf>
    <xf numFmtId="4" fontId="2" fillId="0" borderId="29" xfId="0" applyNumberFormat="1" applyFont="1" applyBorder="1" applyAlignment="1">
      <alignment horizontal="center" vertical="center" wrapText="1"/>
    </xf>
    <xf numFmtId="4" fontId="3" fillId="0" borderId="28" xfId="0" applyNumberFormat="1" applyFont="1" applyFill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167" fontId="0" fillId="0" borderId="23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66" fontId="2" fillId="0" borderId="12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4" fontId="2" fillId="0" borderId="42" xfId="0" applyNumberFormat="1" applyFont="1" applyFill="1" applyBorder="1" applyAlignment="1">
      <alignment horizontal="center" vertical="center" wrapText="1"/>
    </xf>
    <xf numFmtId="4" fontId="2" fillId="0" borderId="4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5" fillId="0" borderId="23" xfId="0" applyNumberFormat="1" applyFont="1" applyFill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58" xfId="0" applyNumberFormat="1" applyFill="1" applyBorder="1" applyAlignment="1">
      <alignment horizontal="center" vertical="center" wrapText="1"/>
    </xf>
    <xf numFmtId="3" fontId="0" fillId="0" borderId="23" xfId="0" applyNumberFormat="1" applyFill="1" applyBorder="1" applyAlignment="1">
      <alignment horizontal="center" vertical="center" wrapText="1"/>
    </xf>
    <xf numFmtId="4" fontId="0" fillId="0" borderId="50" xfId="0" applyNumberFormat="1" applyFont="1" applyFill="1" applyBorder="1" applyAlignment="1">
      <alignment horizontal="center" vertical="center" wrapText="1"/>
    </xf>
    <xf numFmtId="4" fontId="0" fillId="0" borderId="43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2" fillId="4" borderId="38" xfId="0" applyFont="1" applyFill="1" applyBorder="1"/>
    <xf numFmtId="3" fontId="2" fillId="4" borderId="63" xfId="0" applyNumberFormat="1" applyFont="1" applyFill="1" applyBorder="1"/>
    <xf numFmtId="164" fontId="0" fillId="0" borderId="0" xfId="0" applyNumberFormat="1"/>
    <xf numFmtId="4" fontId="2" fillId="4" borderId="26" xfId="0" applyNumberFormat="1" applyFont="1" applyFill="1" applyBorder="1" applyAlignment="1">
      <alignment horizontal="center" vertical="center" wrapText="1"/>
    </xf>
    <xf numFmtId="4" fontId="2" fillId="4" borderId="7" xfId="0" applyNumberFormat="1" applyFont="1" applyFill="1" applyBorder="1" applyAlignment="1">
      <alignment horizontal="center" vertical="center" wrapText="1"/>
    </xf>
    <xf numFmtId="4" fontId="2" fillId="4" borderId="16" xfId="0" applyNumberFormat="1" applyFont="1" applyFill="1" applyBorder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4" fontId="2" fillId="4" borderId="23" xfId="0" applyNumberFormat="1" applyFont="1" applyFill="1" applyBorder="1" applyAlignment="1">
      <alignment horizontal="center" vertical="center" wrapText="1"/>
    </xf>
    <xf numFmtId="4" fontId="2" fillId="4" borderId="22" xfId="0" applyNumberFormat="1" applyFont="1" applyFill="1" applyBorder="1" applyAlignment="1">
      <alignment horizontal="center" vertical="center" wrapText="1"/>
    </xf>
    <xf numFmtId="3" fontId="2" fillId="6" borderId="23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3" fontId="3" fillId="6" borderId="12" xfId="0" applyNumberFormat="1" applyFont="1" applyFill="1" applyBorder="1" applyAlignment="1">
      <alignment horizontal="center" vertical="center" wrapText="1"/>
    </xf>
    <xf numFmtId="3" fontId="2" fillId="6" borderId="4" xfId="0" applyNumberFormat="1" applyFont="1" applyFill="1" applyBorder="1" applyAlignment="1">
      <alignment horizontal="center" vertical="center" wrapText="1"/>
    </xf>
    <xf numFmtId="3" fontId="2" fillId="6" borderId="18" xfId="0" applyNumberFormat="1" applyFont="1" applyFill="1" applyBorder="1" applyAlignment="1">
      <alignment horizontal="center" vertical="center" wrapText="1"/>
    </xf>
    <xf numFmtId="169" fontId="2" fillId="5" borderId="23" xfId="0" applyNumberFormat="1" applyFont="1" applyFill="1" applyBorder="1" applyAlignment="1">
      <alignment horizontal="center" vertical="center" wrapText="1"/>
    </xf>
    <xf numFmtId="169" fontId="2" fillId="5" borderId="1" xfId="0" applyNumberFormat="1" applyFont="1" applyFill="1" applyBorder="1" applyAlignment="1">
      <alignment horizontal="center" vertical="center" wrapText="1"/>
    </xf>
    <xf numFmtId="169" fontId="2" fillId="5" borderId="8" xfId="0" applyNumberFormat="1" applyFont="1" applyFill="1" applyBorder="1" applyAlignment="1">
      <alignment horizontal="center" vertical="center" wrapText="1"/>
    </xf>
    <xf numFmtId="4" fontId="2" fillId="5" borderId="29" xfId="0" applyNumberFormat="1" applyFont="1" applyFill="1" applyBorder="1" applyAlignment="1">
      <alignment horizontal="center" vertical="center" wrapText="1"/>
    </xf>
    <xf numFmtId="4" fontId="2" fillId="5" borderId="47" xfId="0" applyNumberFormat="1" applyFont="1" applyFill="1" applyBorder="1" applyAlignment="1">
      <alignment horizontal="center" vertical="center" wrapText="1"/>
    </xf>
    <xf numFmtId="4" fontId="2" fillId="5" borderId="34" xfId="0" applyNumberFormat="1" applyFont="1" applyFill="1" applyBorder="1" applyAlignment="1">
      <alignment horizontal="center" vertical="center" wrapText="1"/>
    </xf>
    <xf numFmtId="4" fontId="3" fillId="5" borderId="28" xfId="0" applyNumberFormat="1" applyFont="1" applyFill="1" applyBorder="1" applyAlignment="1">
      <alignment horizontal="center" vertical="center" wrapText="1"/>
    </xf>
    <xf numFmtId="166" fontId="3" fillId="5" borderId="12" xfId="0" applyNumberFormat="1" applyFont="1" applyFill="1" applyBorder="1" applyAlignment="1">
      <alignment horizontal="center" vertical="center" wrapText="1"/>
    </xf>
    <xf numFmtId="3" fontId="0" fillId="0" borderId="0" xfId="0" applyNumberFormat="1" applyBorder="1"/>
    <xf numFmtId="3" fontId="0" fillId="0" borderId="0" xfId="0" applyNumberFormat="1" applyAlignment="1">
      <alignment wrapText="1"/>
    </xf>
    <xf numFmtId="0" fontId="0" fillId="0" borderId="25" xfId="0" applyBorder="1" applyAlignment="1" applyProtection="1">
      <alignment horizontal="center" vertical="center" wrapText="1"/>
    </xf>
    <xf numFmtId="3" fontId="0" fillId="6" borderId="0" xfId="0" applyNumberFormat="1" applyFill="1" applyBorder="1" applyProtection="1"/>
    <xf numFmtId="4" fontId="0" fillId="4" borderId="0" xfId="0" applyNumberFormat="1" applyFill="1" applyBorder="1" applyProtection="1"/>
    <xf numFmtId="169" fontId="0" fillId="5" borderId="41" xfId="0" applyNumberFormat="1" applyFill="1" applyBorder="1" applyProtection="1"/>
    <xf numFmtId="0" fontId="0" fillId="0" borderId="20" xfId="0" applyFill="1" applyBorder="1" applyAlignment="1" applyProtection="1">
      <alignment horizontal="center"/>
    </xf>
    <xf numFmtId="3" fontId="0" fillId="6" borderId="46" xfId="0" applyNumberFormat="1" applyFill="1" applyBorder="1" applyProtection="1"/>
    <xf numFmtId="169" fontId="0" fillId="5" borderId="19" xfId="0" applyNumberFormat="1" applyFill="1" applyBorder="1" applyProtection="1"/>
    <xf numFmtId="4" fontId="0" fillId="5" borderId="41" xfId="0" applyNumberFormat="1" applyFill="1" applyBorder="1" applyProtection="1"/>
    <xf numFmtId="0" fontId="0" fillId="0" borderId="30" xfId="0" applyFill="1" applyBorder="1" applyAlignment="1" applyProtection="1">
      <alignment horizontal="center"/>
    </xf>
    <xf numFmtId="3" fontId="0" fillId="0" borderId="45" xfId="0" applyNumberFormat="1" applyBorder="1" applyProtection="1"/>
    <xf numFmtId="0" fontId="0" fillId="5" borderId="41" xfId="0" applyFill="1" applyBorder="1" applyProtection="1"/>
    <xf numFmtId="3" fontId="0" fillId="6" borderId="45" xfId="0" applyNumberFormat="1" applyFill="1" applyBorder="1" applyProtection="1"/>
    <xf numFmtId="0" fontId="0" fillId="0" borderId="64" xfId="0" applyBorder="1" applyAlignment="1" applyProtection="1">
      <alignment horizontal="center" vertical="center" wrapText="1"/>
    </xf>
    <xf numFmtId="0" fontId="2" fillId="0" borderId="2" xfId="0" applyFont="1" applyBorder="1" applyProtection="1"/>
    <xf numFmtId="3" fontId="0" fillId="0" borderId="46" xfId="0" applyNumberFormat="1" applyBorder="1" applyProtection="1"/>
    <xf numFmtId="3" fontId="0" fillId="0" borderId="9" xfId="0" applyNumberFormat="1" applyBorder="1" applyProtection="1"/>
    <xf numFmtId="166" fontId="0" fillId="0" borderId="19" xfId="0" applyNumberFormat="1" applyBorder="1" applyProtection="1"/>
    <xf numFmtId="3" fontId="0" fillId="0" borderId="0" xfId="0" applyNumberFormat="1" applyBorder="1" applyProtection="1"/>
    <xf numFmtId="4" fontId="0" fillId="0" borderId="41" xfId="0" applyNumberFormat="1" applyBorder="1" applyProtection="1"/>
    <xf numFmtId="0" fontId="0" fillId="0" borderId="45" xfId="0" applyBorder="1" applyProtection="1"/>
    <xf numFmtId="3" fontId="0" fillId="0" borderId="65" xfId="0" applyNumberFormat="1" applyBorder="1" applyProtection="1"/>
    <xf numFmtId="4" fontId="0" fillId="0" borderId="10" xfId="0" applyNumberFormat="1" applyBorder="1" applyProtection="1"/>
    <xf numFmtId="4" fontId="0" fillId="0" borderId="66" xfId="0" applyNumberFormat="1" applyBorder="1" applyProtection="1"/>
    <xf numFmtId="0" fontId="0" fillId="0" borderId="55" xfId="0" applyFill="1" applyBorder="1" applyAlignment="1" applyProtection="1">
      <alignment horizontal="center"/>
    </xf>
    <xf numFmtId="0" fontId="0" fillId="0" borderId="65" xfId="0" applyBorder="1" applyProtection="1"/>
    <xf numFmtId="0" fontId="0" fillId="5" borderId="66" xfId="0" applyFill="1" applyBorder="1" applyProtection="1"/>
    <xf numFmtId="165" fontId="0" fillId="0" borderId="0" xfId="0" applyNumberFormat="1"/>
    <xf numFmtId="4" fontId="2" fillId="5" borderId="48" xfId="0" applyNumberFormat="1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wrapText="1"/>
    </xf>
    <xf numFmtId="0" fontId="2" fillId="4" borderId="2" xfId="0" applyFont="1" applyFill="1" applyBorder="1" applyAlignment="1" applyProtection="1">
      <alignment wrapText="1"/>
    </xf>
    <xf numFmtId="0" fontId="2" fillId="5" borderId="2" xfId="0" applyFont="1" applyFill="1" applyBorder="1" applyAlignment="1" applyProtection="1">
      <alignment wrapText="1"/>
    </xf>
    <xf numFmtId="0" fontId="2" fillId="0" borderId="2" xfId="0" applyFon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0" fillId="0" borderId="0" xfId="0" applyBorder="1"/>
    <xf numFmtId="0" fontId="0" fillId="0" borderId="10" xfId="0" applyBorder="1"/>
    <xf numFmtId="3" fontId="0" fillId="0" borderId="10" xfId="0" applyNumberFormat="1" applyBorder="1"/>
    <xf numFmtId="0" fontId="0" fillId="0" borderId="10" xfId="0" applyFont="1" applyBorder="1"/>
    <xf numFmtId="3" fontId="2" fillId="6" borderId="8" xfId="0" applyNumberFormat="1" applyFont="1" applyFill="1" applyBorder="1" applyAlignment="1">
      <alignment horizontal="center" vertical="center" wrapText="1"/>
    </xf>
    <xf numFmtId="4" fontId="2" fillId="0" borderId="23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3" borderId="36" xfId="0" applyFont="1" applyFill="1" applyBorder="1" applyAlignment="1" applyProtection="1">
      <alignment horizontal="center" vertical="center" wrapText="1"/>
    </xf>
    <xf numFmtId="0" fontId="0" fillId="0" borderId="41" xfId="0" applyFill="1" applyBorder="1" applyAlignment="1" applyProtection="1">
      <alignment horizontal="center" vertical="center" wrapText="1"/>
    </xf>
    <xf numFmtId="0" fontId="3" fillId="3" borderId="29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3" fontId="2" fillId="6" borderId="1" xfId="0" applyNumberFormat="1" applyFont="1" applyFill="1" applyBorder="1" applyAlignment="1" applyProtection="1">
      <alignment horizontal="center" vertical="center" wrapText="1"/>
    </xf>
    <xf numFmtId="4" fontId="0" fillId="0" borderId="23" xfId="0" applyNumberFormat="1" applyFill="1" applyBorder="1" applyAlignment="1" applyProtection="1">
      <alignment horizontal="center" vertical="center" wrapText="1"/>
    </xf>
    <xf numFmtId="4" fontId="2" fillId="0" borderId="1" xfId="0" applyNumberFormat="1" applyFont="1" applyBorder="1" applyAlignment="1" applyProtection="1">
      <alignment horizontal="center" vertical="center" wrapText="1"/>
    </xf>
    <xf numFmtId="169" fontId="0" fillId="0" borderId="1" xfId="0" applyNumberFormat="1" applyBorder="1" applyAlignment="1" applyProtection="1">
      <alignment horizontal="center" vertical="center" wrapText="1"/>
    </xf>
    <xf numFmtId="169" fontId="2" fillId="5" borderId="1" xfId="0" applyNumberFormat="1" applyFont="1" applyFill="1" applyBorder="1" applyAlignment="1" applyProtection="1">
      <alignment horizontal="center" vertical="center" wrapText="1"/>
    </xf>
    <xf numFmtId="4" fontId="2" fillId="4" borderId="7" xfId="0" applyNumberFormat="1" applyFont="1" applyFill="1" applyBorder="1" applyAlignment="1" applyProtection="1">
      <alignment horizontal="center" vertical="center" wrapText="1"/>
    </xf>
    <xf numFmtId="3" fontId="2" fillId="6" borderId="23" xfId="0" applyNumberFormat="1" applyFont="1" applyFill="1" applyBorder="1" applyAlignment="1" applyProtection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 wrapText="1"/>
    </xf>
    <xf numFmtId="4" fontId="0" fillId="0" borderId="23" xfId="0" applyNumberFormat="1" applyFont="1" applyBorder="1" applyAlignment="1" applyProtection="1">
      <alignment horizontal="center" vertical="center" wrapText="1"/>
    </xf>
    <xf numFmtId="4" fontId="2" fillId="4" borderId="1" xfId="0" applyNumberFormat="1" applyFont="1" applyFill="1" applyBorder="1" applyAlignment="1" applyProtection="1">
      <alignment horizontal="center" vertical="center" wrapText="1"/>
    </xf>
    <xf numFmtId="4" fontId="2" fillId="5" borderId="47" xfId="0" applyNumberFormat="1" applyFont="1" applyFill="1" applyBorder="1" applyAlignment="1" applyProtection="1">
      <alignment horizontal="center" vertical="center" wrapText="1"/>
    </xf>
    <xf numFmtId="0" fontId="0" fillId="0" borderId="41" xfId="0" applyBorder="1" applyAlignment="1" applyProtection="1">
      <alignment horizontal="center" vertical="center" wrapText="1"/>
    </xf>
    <xf numFmtId="4" fontId="2" fillId="4" borderId="23" xfId="0" applyNumberFormat="1" applyFont="1" applyFill="1" applyBorder="1" applyAlignment="1" applyProtection="1">
      <alignment horizontal="center" vertical="center" wrapText="1"/>
    </xf>
    <xf numFmtId="4" fontId="2" fillId="0" borderId="31" xfId="0" applyNumberFormat="1" applyFont="1" applyBorder="1" applyAlignment="1" applyProtection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59" xfId="0" applyBorder="1" applyAlignment="1" applyProtection="1">
      <alignment horizontal="center" vertical="center" wrapText="1"/>
    </xf>
    <xf numFmtId="0" fontId="0" fillId="0" borderId="39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3" fontId="2" fillId="6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4" fontId="2" fillId="0" borderId="12" xfId="0" applyNumberFormat="1" applyFont="1" applyBorder="1" applyAlignment="1" applyProtection="1">
      <alignment horizontal="center" vertical="center" wrapText="1"/>
    </xf>
    <xf numFmtId="4" fontId="3" fillId="0" borderId="2" xfId="0" applyNumberFormat="1" applyFont="1" applyBorder="1" applyAlignment="1" applyProtection="1">
      <alignment horizontal="center" vertical="center" wrapText="1"/>
    </xf>
    <xf numFmtId="0" fontId="0" fillId="0" borderId="61" xfId="0" applyBorder="1" applyAlignment="1" applyProtection="1">
      <alignment horizontal="center" vertical="center" wrapText="1"/>
    </xf>
    <xf numFmtId="0" fontId="0" fillId="0" borderId="40" xfId="0" applyBorder="1" applyAlignment="1" applyProtection="1">
      <alignment horizontal="center" vertical="center" wrapText="1"/>
    </xf>
    <xf numFmtId="0" fontId="0" fillId="0" borderId="62" xfId="0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wrapText="1"/>
    </xf>
    <xf numFmtId="3" fontId="0" fillId="0" borderId="0" xfId="0" applyNumberFormat="1" applyProtection="1"/>
    <xf numFmtId="0" fontId="12" fillId="0" borderId="0" xfId="0" applyFont="1" applyAlignment="1" applyProtection="1">
      <alignment horizontal="center" vertical="center"/>
    </xf>
    <xf numFmtId="0" fontId="11" fillId="0" borderId="0" xfId="0" applyFont="1" applyProtection="1"/>
    <xf numFmtId="0" fontId="9" fillId="0" borderId="0" xfId="0" applyFont="1" applyAlignment="1" applyProtection="1">
      <alignment horizontal="left" vertical="top"/>
    </xf>
    <xf numFmtId="0" fontId="10" fillId="0" borderId="0" xfId="0" applyFont="1" applyProtection="1"/>
    <xf numFmtId="0" fontId="8" fillId="0" borderId="0" xfId="0" applyFont="1" applyAlignment="1" applyProtection="1">
      <alignment horizontal="justify" vertical="center"/>
    </xf>
    <xf numFmtId="0" fontId="0" fillId="0" borderId="0" xfId="0" applyAlignment="1" applyProtection="1">
      <alignment horizontal="justify" vertical="center"/>
    </xf>
    <xf numFmtId="0" fontId="2" fillId="0" borderId="0" xfId="0" applyFont="1" applyProtection="1"/>
    <xf numFmtId="0" fontId="0" fillId="7" borderId="70" xfId="0" applyFill="1" applyBorder="1" applyProtection="1"/>
    <xf numFmtId="0" fontId="0" fillId="7" borderId="71" xfId="0" applyFill="1" applyBorder="1" applyProtection="1"/>
    <xf numFmtId="0" fontId="0" fillId="7" borderId="72" xfId="0" applyFill="1" applyBorder="1" applyProtection="1"/>
    <xf numFmtId="0" fontId="0" fillId="7" borderId="73" xfId="0" applyFill="1" applyBorder="1" applyProtection="1"/>
    <xf numFmtId="0" fontId="0" fillId="7" borderId="74" xfId="0" applyFill="1" applyBorder="1" applyProtection="1"/>
    <xf numFmtId="0" fontId="0" fillId="7" borderId="75" xfId="0" applyFill="1" applyBorder="1" applyProtection="1"/>
    <xf numFmtId="0" fontId="13" fillId="7" borderId="76" xfId="0" applyFont="1" applyFill="1" applyBorder="1" applyProtection="1"/>
    <xf numFmtId="0" fontId="5" fillId="7" borderId="76" xfId="0" applyFont="1" applyFill="1" applyBorder="1" applyProtection="1"/>
    <xf numFmtId="0" fontId="0" fillId="7" borderId="77" xfId="0" applyFill="1" applyBorder="1" applyProtection="1"/>
    <xf numFmtId="0" fontId="13" fillId="8" borderId="67" xfId="0" applyFont="1" applyFill="1" applyBorder="1" applyProtection="1"/>
    <xf numFmtId="0" fontId="5" fillId="8" borderId="68" xfId="0" applyFont="1" applyFill="1" applyBorder="1" applyProtection="1"/>
    <xf numFmtId="0" fontId="5" fillId="8" borderId="69" xfId="0" applyFont="1" applyFill="1" applyBorder="1" applyProtection="1"/>
    <xf numFmtId="0" fontId="11" fillId="0" borderId="0" xfId="0" applyFont="1"/>
    <xf numFmtId="0" fontId="2" fillId="9" borderId="78" xfId="0" applyFont="1" applyFill="1" applyBorder="1"/>
    <xf numFmtId="0" fontId="2" fillId="9" borderId="79" xfId="0" applyFont="1" applyFill="1" applyBorder="1"/>
    <xf numFmtId="0" fontId="2" fillId="9" borderId="9" xfId="0" applyFont="1" applyFill="1" applyBorder="1"/>
    <xf numFmtId="0" fontId="0" fillId="0" borderId="45" xfId="0" applyBorder="1" applyAlignment="1">
      <alignment horizontal="left"/>
    </xf>
    <xf numFmtId="4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65" xfId="0" applyBorder="1" applyAlignment="1">
      <alignment horizontal="left"/>
    </xf>
    <xf numFmtId="44" fontId="0" fillId="0" borderId="10" xfId="0" applyNumberFormat="1" applyBorder="1"/>
    <xf numFmtId="0" fontId="0" fillId="0" borderId="10" xfId="0" applyNumberFormat="1" applyBorder="1"/>
    <xf numFmtId="1" fontId="0" fillId="0" borderId="10" xfId="0" applyNumberFormat="1" applyBorder="1"/>
    <xf numFmtId="0" fontId="2" fillId="10" borderId="46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19" xfId="0" applyBorder="1"/>
    <xf numFmtId="0" fontId="0" fillId="0" borderId="4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171" fontId="2" fillId="0" borderId="45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1" fontId="15" fillId="0" borderId="0" xfId="0" applyNumberFormat="1" applyFont="1" applyBorder="1" applyAlignment="1">
      <alignment horizontal="center"/>
    </xf>
    <xf numFmtId="0" fontId="0" fillId="0" borderId="65" xfId="0" applyBorder="1"/>
    <xf numFmtId="0" fontId="2" fillId="10" borderId="46" xfId="0" applyFont="1" applyFill="1" applyBorder="1"/>
    <xf numFmtId="0" fontId="2" fillId="10" borderId="9" xfId="0" applyFont="1" applyFill="1" applyBorder="1"/>
    <xf numFmtId="0" fontId="2" fillId="10" borderId="19" xfId="0" applyFont="1" applyFill="1" applyBorder="1"/>
    <xf numFmtId="0" fontId="0" fillId="0" borderId="41" xfId="0" applyBorder="1" applyAlignment="1">
      <alignment horizontal="center"/>
    </xf>
    <xf numFmtId="171" fontId="15" fillId="11" borderId="10" xfId="0" applyNumberFormat="1" applyFont="1" applyFill="1" applyBorder="1" applyAlignment="1">
      <alignment horizontal="center"/>
    </xf>
    <xf numFmtId="170" fontId="0" fillId="0" borderId="41" xfId="0" applyNumberFormat="1" applyBorder="1" applyAlignment="1">
      <alignment horizontal="center"/>
    </xf>
    <xf numFmtId="170" fontId="0" fillId="11" borderId="66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4" fontId="0" fillId="0" borderId="80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69" fontId="2" fillId="5" borderId="4" xfId="0" applyNumberFormat="1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3" fontId="0" fillId="0" borderId="4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3" fontId="0" fillId="0" borderId="1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46" xfId="0" pivotButton="1" applyFont="1" applyBorder="1"/>
    <xf numFmtId="0" fontId="14" fillId="0" borderId="9" xfId="0" applyFont="1" applyBorder="1"/>
    <xf numFmtId="0" fontId="14" fillId="0" borderId="19" xfId="0" applyFont="1" applyBorder="1"/>
    <xf numFmtId="44" fontId="0" fillId="0" borderId="41" xfId="0" applyNumberFormat="1" applyBorder="1"/>
    <xf numFmtId="44" fontId="0" fillId="0" borderId="66" xfId="0" applyNumberFormat="1" applyBorder="1"/>
    <xf numFmtId="0" fontId="11" fillId="12" borderId="0" xfId="0" applyFont="1" applyFill="1" applyProtection="1"/>
    <xf numFmtId="0" fontId="18" fillId="0" borderId="0" xfId="0" applyFont="1" applyAlignment="1" applyProtection="1">
      <alignment horizontal="center"/>
    </xf>
    <xf numFmtId="0" fontId="18" fillId="0" borderId="0" xfId="0" applyFont="1" applyAlignment="1">
      <alignment horizontal="center" vertical="center" wrapText="1"/>
    </xf>
    <xf numFmtId="4" fontId="0" fillId="0" borderId="50" xfId="0" applyNumberFormat="1" applyFill="1" applyBorder="1" applyAlignment="1" applyProtection="1">
      <alignment horizontal="center" vertical="center" wrapText="1"/>
    </xf>
    <xf numFmtId="4" fontId="2" fillId="0" borderId="8" xfId="0" applyNumberFormat="1" applyFont="1" applyBorder="1" applyAlignment="1" applyProtection="1">
      <alignment horizontal="center" vertical="center" wrapText="1"/>
    </xf>
    <xf numFmtId="169" fontId="0" fillId="0" borderId="8" xfId="0" applyNumberFormat="1" applyBorder="1" applyAlignment="1" applyProtection="1">
      <alignment horizontal="center" vertical="center" wrapText="1"/>
    </xf>
    <xf numFmtId="169" fontId="2" fillId="5" borderId="8" xfId="0" applyNumberFormat="1" applyFont="1" applyFill="1" applyBorder="1" applyAlignment="1" applyProtection="1">
      <alignment horizontal="center" vertical="center" wrapText="1"/>
    </xf>
    <xf numFmtId="4" fontId="2" fillId="4" borderId="16" xfId="0" applyNumberFormat="1" applyFont="1" applyFill="1" applyBorder="1" applyAlignment="1" applyProtection="1">
      <alignment horizontal="center" vertical="center" wrapText="1"/>
    </xf>
    <xf numFmtId="3" fontId="2" fillId="6" borderId="12" xfId="0" applyNumberFormat="1" applyFont="1" applyFill="1" applyBorder="1" applyAlignment="1" applyProtection="1">
      <alignment horizontal="center" vertical="center" wrapText="1"/>
    </xf>
    <xf numFmtId="169" fontId="2" fillId="5" borderId="12" xfId="0" applyNumberFormat="1" applyFont="1" applyFill="1" applyBorder="1" applyAlignment="1" applyProtection="1">
      <alignment horizontal="center" vertical="center" wrapText="1"/>
    </xf>
    <xf numFmtId="4" fontId="2" fillId="4" borderId="13" xfId="0" applyNumberFormat="1" applyFont="1" applyFill="1" applyBorder="1" applyAlignment="1" applyProtection="1">
      <alignment horizontal="center" vertical="center" wrapText="1"/>
    </xf>
    <xf numFmtId="4" fontId="2" fillId="0" borderId="12" xfId="0" applyNumberFormat="1" applyFont="1" applyFill="1" applyBorder="1" applyAlignment="1" applyProtection="1">
      <alignment horizontal="center" vertical="center" wrapText="1"/>
    </xf>
    <xf numFmtId="169" fontId="2" fillId="0" borderId="12" xfId="0" applyNumberFormat="1" applyFont="1" applyBorder="1" applyAlignment="1" applyProtection="1">
      <alignment horizontal="center" vertical="center" wrapText="1"/>
    </xf>
    <xf numFmtId="3" fontId="2" fillId="6" borderId="50" xfId="0" applyNumberFormat="1" applyFont="1" applyFill="1" applyBorder="1" applyAlignment="1" applyProtection="1">
      <alignment horizontal="center" vertical="center" wrapText="1"/>
    </xf>
    <xf numFmtId="4" fontId="0" fillId="0" borderId="8" xfId="0" applyNumberFormat="1" applyBorder="1" applyAlignment="1" applyProtection="1">
      <alignment horizontal="center" vertical="center" wrapText="1"/>
    </xf>
    <xf numFmtId="4" fontId="0" fillId="0" borderId="50" xfId="0" applyNumberFormat="1" applyFont="1" applyBorder="1" applyAlignment="1" applyProtection="1">
      <alignment horizontal="center" vertical="center" wrapText="1"/>
    </xf>
    <xf numFmtId="4" fontId="2" fillId="4" borderId="8" xfId="0" applyNumberFormat="1" applyFont="1" applyFill="1" applyBorder="1" applyAlignment="1" applyProtection="1">
      <alignment horizontal="center" vertical="center" wrapText="1"/>
    </xf>
    <xf numFmtId="4" fontId="2" fillId="5" borderId="48" xfId="0" applyNumberFormat="1" applyFont="1" applyFill="1" applyBorder="1" applyAlignment="1" applyProtection="1">
      <alignment horizontal="center" vertical="center" wrapText="1"/>
    </xf>
    <xf numFmtId="4" fontId="2" fillId="4" borderId="12" xfId="0" applyNumberFormat="1" applyFont="1" applyFill="1" applyBorder="1" applyAlignment="1" applyProtection="1">
      <alignment horizontal="center" vertical="center" wrapText="1"/>
    </xf>
    <xf numFmtId="4" fontId="2" fillId="5" borderId="28" xfId="0" applyNumberFormat="1" applyFont="1" applyFill="1" applyBorder="1" applyAlignment="1" applyProtection="1">
      <alignment horizontal="center" vertical="center" wrapText="1"/>
    </xf>
    <xf numFmtId="4" fontId="2" fillId="4" borderId="50" xfId="0" applyNumberFormat="1" applyFont="1" applyFill="1" applyBorder="1" applyAlignment="1" applyProtection="1">
      <alignment horizontal="center" vertical="center" wrapText="1"/>
    </xf>
    <xf numFmtId="0" fontId="2" fillId="0" borderId="45" xfId="0" applyFont="1" applyFill="1" applyBorder="1" applyAlignment="1">
      <alignment horizontal="left"/>
    </xf>
    <xf numFmtId="4" fontId="2" fillId="0" borderId="3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" fontId="2" fillId="0" borderId="44" xfId="0" applyNumberFormat="1" applyFont="1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</cellXfs>
  <cellStyles count="2">
    <cellStyle name="Navadno" xfId="0" builtinId="0"/>
    <cellStyle name="Navadno 5" xfId="1"/>
  </cellStyles>
  <dxfs count="4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font>
        <sz val="9"/>
      </font>
    </dxf>
    <dxf>
      <font>
        <sz val="9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00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5F5F5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[02_Mesecni energetski stroski_od 2011_v02.xlsx]G&amp;E&amp;(W)!Vrtilna tabela3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v kWh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20000"/>
                <a:lumOff val="8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'G&amp;E&amp;(W)'!$B$3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'G&amp;E&amp;(W)'!$A$4:$A$16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'G&amp;E&amp;(W)'!$B$4:$B$16</c:f>
              <c:numCache>
                <c:formatCode>#,##0</c:formatCode>
                <c:ptCount val="12"/>
                <c:pt idx="0">
                  <c:v>1009979.5337175227</c:v>
                </c:pt>
                <c:pt idx="1">
                  <c:v>1216197.437942896</c:v>
                </c:pt>
                <c:pt idx="2">
                  <c:v>1001466.7783305716</c:v>
                </c:pt>
                <c:pt idx="3">
                  <c:v>421943.70849509723</c:v>
                </c:pt>
                <c:pt idx="4">
                  <c:v>380584.45238954062</c:v>
                </c:pt>
                <c:pt idx="5">
                  <c:v>281886.04927741125</c:v>
                </c:pt>
                <c:pt idx="6">
                  <c:v>286397.46114000783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8EE-86C3-89552DE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34464"/>
        <c:axId val="82336000"/>
      </c:barChart>
      <c:catAx>
        <c:axId val="823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36000"/>
        <c:crosses val="autoZero"/>
        <c:auto val="1"/>
        <c:lblAlgn val="ctr"/>
        <c:lblOffset val="100"/>
        <c:noMultiLvlLbl val="0"/>
      </c:catAx>
      <c:valAx>
        <c:axId val="82336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33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[02_Mesecni energetski stroski_od 2011_v02.xlsx]Poraba G!Vrtilna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zemeljskega plina</a:t>
            </a:r>
            <a:endParaRPr lang="en-US"/>
          </a:p>
        </c:rich>
      </c:tx>
      <c:layout>
        <c:manualLayout>
          <c:xMode val="edge"/>
          <c:yMode val="edge"/>
          <c:x val="0.29529513888888892"/>
          <c:y val="6.6250000000000003E-2"/>
        </c:manualLayout>
      </c:layout>
      <c:overlay val="0"/>
    </c:title>
    <c:autoTitleDeleted val="0"/>
    <c:pivotFmts>
      <c:pivotFmt>
        <c:idx val="0"/>
      </c:pivotFmt>
      <c:pivotFmt>
        <c:idx val="1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G'!$B$3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'Poraba G'!$A$4:$A$16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G'!$B$4:$B$16</c:f>
              <c:numCache>
                <c:formatCode>#,##0</c:formatCode>
                <c:ptCount val="12"/>
                <c:pt idx="0">
                  <c:v>106700.4170866402</c:v>
                </c:pt>
                <c:pt idx="1">
                  <c:v>128486.5381485094</c:v>
                </c:pt>
                <c:pt idx="2">
                  <c:v>105801.07752576721</c:v>
                </c:pt>
                <c:pt idx="3">
                  <c:v>44576.714854602702</c:v>
                </c:pt>
                <c:pt idx="4">
                  <c:v>40207.270000000004</c:v>
                </c:pt>
                <c:pt idx="5">
                  <c:v>29780.166849615802</c:v>
                </c:pt>
                <c:pt idx="6">
                  <c:v>30256.78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5D3-A4A0-8D84111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6128"/>
        <c:axId val="83058048"/>
      </c:lineChart>
      <c:catAx>
        <c:axId val="830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058048"/>
        <c:crosses val="autoZero"/>
        <c:auto val="1"/>
        <c:lblAlgn val="ctr"/>
        <c:lblOffset val="100"/>
        <c:noMultiLvlLbl val="0"/>
      </c:catAx>
      <c:valAx>
        <c:axId val="8305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Poraba v m3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305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G!Vrtilna tabela3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Zemeljskega plina</a:t>
            </a:r>
          </a:p>
        </c:rich>
      </c:tx>
      <c:layout>
        <c:manualLayout>
          <c:xMode val="edge"/>
          <c:yMode val="edge"/>
          <c:x val="0.52913126105060304"/>
          <c:y val="1.2301905375600506E-2"/>
        </c:manualLayout>
      </c:layout>
      <c:overlay val="1"/>
    </c:title>
    <c:autoTitleDeleted val="0"/>
    <c:pivotFmts>
      <c:pivotFmt>
        <c:idx val="0"/>
        <c:spPr>
          <a:ln w="28575">
            <a:solidFill>
              <a:schemeClr val="accent1">
                <a:lumMod val="60000"/>
                <a:lumOff val="40000"/>
              </a:schemeClr>
            </a:solidFill>
          </a:ln>
        </c:spPr>
        <c:marker>
          <c:spPr>
            <a:solidFill>
              <a:schemeClr val="tx2">
                <a:lumMod val="75000"/>
              </a:schemeClr>
            </a:solidFill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</c:marker>
      </c:pivotFmt>
      <c:pivotFmt>
        <c:idx val="1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  <c:pivotFmt>
        <c:idx val="2"/>
        <c:spPr>
          <a:ln w="28575">
            <a:solidFill>
              <a:schemeClr val="accent2">
                <a:lumMod val="60000"/>
                <a:lumOff val="40000"/>
              </a:schemeClr>
            </a:solidFill>
          </a:ln>
        </c:spPr>
        <c:marker>
          <c:spPr>
            <a:solidFill>
              <a:schemeClr val="accent2">
                <a:lumMod val="50000"/>
              </a:schemeClr>
            </a:solidFill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</c:marker>
      </c:pivotFmt>
      <c:pivotFmt>
        <c:idx val="3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rgbClr val="00B050"/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'Stroški G'!$B$3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00B050"/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'Stroški G'!$A$4:$A$16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G'!$B$4:$B$16</c:f>
              <c:numCache>
                <c:formatCode>#,##0</c:formatCode>
                <c:ptCount val="12"/>
                <c:pt idx="0">
                  <c:v>39517.18</c:v>
                </c:pt>
                <c:pt idx="1">
                  <c:v>42980</c:v>
                </c:pt>
                <c:pt idx="2">
                  <c:v>36811.86</c:v>
                </c:pt>
                <c:pt idx="3">
                  <c:v>16198.529999999999</c:v>
                </c:pt>
                <c:pt idx="4">
                  <c:v>16381.800000000001</c:v>
                </c:pt>
                <c:pt idx="5">
                  <c:v>15570.85</c:v>
                </c:pt>
                <c:pt idx="6">
                  <c:v>15934.350000000002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C-4A9D-A9BA-3BE3EF36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9584"/>
        <c:axId val="83141760"/>
      </c:lineChart>
      <c:catAx>
        <c:axId val="8313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41760"/>
        <c:crosses val="autoZero"/>
        <c:auto val="1"/>
        <c:lblAlgn val="ctr"/>
        <c:lblOffset val="100"/>
        <c:noMultiLvlLbl val="0"/>
      </c:catAx>
      <c:valAx>
        <c:axId val="83141760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313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[02_Mesecni energetski stroski_od 2011_v02.xlsx]Cena G na m3!Vrtilna tabela4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plina na m3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28575">
            <a:solidFill>
              <a:schemeClr val="accent3">
                <a:lumMod val="5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'Cena G na m3'!$B$3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'Cena G na m3'!$A$4:$A$16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G na m3'!$B$4:$B$16</c:f>
              <c:numCache>
                <c:formatCode>#,##0.000</c:formatCode>
                <c:ptCount val="12"/>
                <c:pt idx="0">
                  <c:v>0.37035637796909687</c:v>
                </c:pt>
                <c:pt idx="1">
                  <c:v>0.33450975191130261</c:v>
                </c:pt>
                <c:pt idx="2">
                  <c:v>0.34793464169620292</c:v>
                </c:pt>
                <c:pt idx="3">
                  <c:v>0.36338545926579074</c:v>
                </c:pt>
                <c:pt idx="4">
                  <c:v>0.40743378001043096</c:v>
                </c:pt>
                <c:pt idx="5">
                  <c:v>0.52285973005557163</c:v>
                </c:pt>
                <c:pt idx="6">
                  <c:v>0.52663733549967984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001-A5F4-7E8DDC30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7488"/>
        <c:axId val="83173376"/>
      </c:barChart>
      <c:catAx>
        <c:axId val="831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73376"/>
        <c:crosses val="autoZero"/>
        <c:auto val="1"/>
        <c:lblAlgn val="ctr"/>
        <c:lblOffset val="100"/>
        <c:noMultiLvlLbl val="0"/>
      </c:catAx>
      <c:valAx>
        <c:axId val="83173376"/>
        <c:scaling>
          <c:orientation val="minMax"/>
        </c:scaling>
        <c:delete val="0"/>
        <c:axPos val="l"/>
        <c:majorGridlines/>
        <c:numFmt formatCode="#,##0.000\ &quot;€&quot;" sourceLinked="0"/>
        <c:majorTickMark val="out"/>
        <c:minorTickMark val="none"/>
        <c:tickLblPos val="nextTo"/>
        <c:crossAx val="831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2011_v02.xlsx]Poraba W!Vrtilna tabela5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vode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ln w="28575">
            <a:solidFill>
              <a:schemeClr val="accent1">
                <a:lumMod val="50000"/>
              </a:schemeClr>
            </a:solidFill>
          </a:ln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28575">
              <a:solidFill>
                <a:schemeClr val="accent1">
                  <a:lumMod val="5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W'!$B$3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1">
                  <a:lumMod val="5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strRef>
              <c:f>'Poraba W'!$A$4:$A$16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W'!$B$4:$B$16</c:f>
              <c:numCache>
                <c:formatCode>#,##0</c:formatCode>
                <c:ptCount val="12"/>
                <c:pt idx="0">
                  <c:v>838</c:v>
                </c:pt>
                <c:pt idx="1">
                  <c:v>736</c:v>
                </c:pt>
                <c:pt idx="2">
                  <c:v>1014.494</c:v>
                </c:pt>
                <c:pt idx="3">
                  <c:v>942</c:v>
                </c:pt>
                <c:pt idx="4">
                  <c:v>857</c:v>
                </c:pt>
                <c:pt idx="5">
                  <c:v>653</c:v>
                </c:pt>
                <c:pt idx="6">
                  <c:v>884</c:v>
                </c:pt>
                <c:pt idx="7">
                  <c:v>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E-4492-82A9-34B5418A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408"/>
        <c:axId val="83315328"/>
      </c:lineChart>
      <c:catAx>
        <c:axId val="833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15328"/>
        <c:crosses val="autoZero"/>
        <c:auto val="1"/>
        <c:lblAlgn val="ctr"/>
        <c:lblOffset val="100"/>
        <c:noMultiLvlLbl val="0"/>
      </c:catAx>
      <c:valAx>
        <c:axId val="83315328"/>
        <c:scaling>
          <c:orientation val="minMax"/>
          <c:min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Poraba v m3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33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W!Vrtilna tabela1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Vode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'Stroški W'!$B$3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'Stroški W'!$A$4:$A$16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W'!$B$4:$B$16</c:f>
              <c:numCache>
                <c:formatCode>#,##0</c:formatCode>
                <c:ptCount val="12"/>
                <c:pt idx="0">
                  <c:v>913.17399999999998</c:v>
                </c:pt>
                <c:pt idx="1">
                  <c:v>843.61800000000005</c:v>
                </c:pt>
                <c:pt idx="2">
                  <c:v>1033.8847008</c:v>
                </c:pt>
                <c:pt idx="3">
                  <c:v>984.35200000000009</c:v>
                </c:pt>
                <c:pt idx="4">
                  <c:v>926.2804000000001</c:v>
                </c:pt>
                <c:pt idx="5">
                  <c:v>786.90879999999993</c:v>
                </c:pt>
                <c:pt idx="6">
                  <c:v>944.72799999999995</c:v>
                </c:pt>
                <c:pt idx="7">
                  <c:v>926.27800000000002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7B1-811F-1C38FBC2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8624"/>
        <c:axId val="83740544"/>
      </c:lineChart>
      <c:catAx>
        <c:axId val="8373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40544"/>
        <c:crosses val="autoZero"/>
        <c:auto val="1"/>
        <c:lblAlgn val="ctr"/>
        <c:lblOffset val="100"/>
        <c:noMultiLvlLbl val="0"/>
      </c:catAx>
      <c:valAx>
        <c:axId val="83740544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373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2011_v02.xlsx]Cena W na m3!Vrtilna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vode na m3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accent1">
                <a:lumMod val="50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'Cena W na m3'!$B$3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'Cena W na m3'!$A$4:$A$16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W na m3'!$B$4:$B$16</c:f>
              <c:numCache>
                <c:formatCode>#,##0.000</c:formatCode>
                <c:ptCount val="12"/>
                <c:pt idx="0">
                  <c:v>1.0897064439140811</c:v>
                </c:pt>
                <c:pt idx="1">
                  <c:v>1.1462201086956523</c:v>
                </c:pt>
                <c:pt idx="2">
                  <c:v>1.0191136673060659</c:v>
                </c:pt>
                <c:pt idx="3">
                  <c:v>1.04495966029724</c:v>
                </c:pt>
                <c:pt idx="4">
                  <c:v>1.0808406067677947</c:v>
                </c:pt>
                <c:pt idx="5">
                  <c:v>1.2050670750382848</c:v>
                </c:pt>
                <c:pt idx="6">
                  <c:v>1.0686968325791855</c:v>
                </c:pt>
                <c:pt idx="7">
                  <c:v>1.0808378063010502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1-496A-BCEA-6D32473C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47936"/>
        <c:axId val="81453824"/>
      </c:barChart>
      <c:catAx>
        <c:axId val="814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53824"/>
        <c:crosses val="autoZero"/>
        <c:auto val="1"/>
        <c:lblAlgn val="ctr"/>
        <c:lblOffset val="100"/>
        <c:noMultiLvlLbl val="0"/>
      </c:catAx>
      <c:valAx>
        <c:axId val="81453824"/>
        <c:scaling>
          <c:orientation val="minMax"/>
        </c:scaling>
        <c:delete val="0"/>
        <c:axPos val="l"/>
        <c:majorGridlines/>
        <c:numFmt formatCode="#,##0.000\ &quot;€&quot;" sourceLinked="0"/>
        <c:majorTickMark val="out"/>
        <c:minorTickMark val="none"/>
        <c:tickLblPos val="nextTo"/>
        <c:crossAx val="8144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2011_v02.xlsx]G&amp;E&amp;(W)!Vrtilna tabela6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Strošek energentov na mesec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20000"/>
                <a:lumOff val="8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'G&amp;E&amp;(W)'!$B$24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'G&amp;E&amp;(W)'!$A$25:$A$37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'G&amp;E&amp;(W)'!$B$25:$B$37</c:f>
              <c:numCache>
                <c:formatCode>#,##0</c:formatCode>
                <c:ptCount val="12"/>
                <c:pt idx="0">
                  <c:v>113946.95947999999</c:v>
                </c:pt>
                <c:pt idx="1">
                  <c:v>111691.10336000001</c:v>
                </c:pt>
                <c:pt idx="2">
                  <c:v>113449.2112408</c:v>
                </c:pt>
                <c:pt idx="3">
                  <c:v>81683.226519999982</c:v>
                </c:pt>
                <c:pt idx="4">
                  <c:v>87811.236090000006</c:v>
                </c:pt>
                <c:pt idx="5">
                  <c:v>84914.798220000011</c:v>
                </c:pt>
                <c:pt idx="6">
                  <c:v>95963.739750000008</c:v>
                </c:pt>
                <c:pt idx="7">
                  <c:v>54155.462679999997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27E-8BAF-AEFDB386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56864"/>
        <c:axId val="82272640"/>
      </c:barChart>
      <c:catAx>
        <c:axId val="823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72640"/>
        <c:crosses val="autoZero"/>
        <c:auto val="1"/>
        <c:lblAlgn val="ctr"/>
        <c:lblOffset val="100"/>
        <c:noMultiLvlLbl val="0"/>
      </c:catAx>
      <c:valAx>
        <c:axId val="82272640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235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2011_v02.xlsx]G&amp;E&amp;(W)!Vrtilna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energenta na kWh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accent1">
                <a:lumMod val="40000"/>
                <a:lumOff val="6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'G&amp;E&amp;(W)'!$B$45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'G&amp;E&amp;(W)'!$A$46:$A$58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'G&amp;E&amp;(W)'!$B$46:$B$58</c:f>
              <c:numCache>
                <c:formatCode>#,##0.0000</c:formatCode>
                <c:ptCount val="12"/>
                <c:pt idx="0">
                  <c:v>6.0826432004963266E-2</c:v>
                </c:pt>
                <c:pt idx="1">
                  <c:v>6.0075557179402474E-2</c:v>
                </c:pt>
                <c:pt idx="2">
                  <c:v>5.9502409959873506E-2</c:v>
                </c:pt>
                <c:pt idx="3">
                  <c:v>5.8871634176435143E-2</c:v>
                </c:pt>
                <c:pt idx="4">
                  <c:v>6.0631783984237339E-2</c:v>
                </c:pt>
                <c:pt idx="5">
                  <c:v>6.7326628415465301E-2</c:v>
                </c:pt>
                <c:pt idx="6">
                  <c:v>7.2601056050021401E-2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698-8D8E-8F2760B8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09888"/>
        <c:axId val="82311424"/>
      </c:barChart>
      <c:catAx>
        <c:axId val="82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11424"/>
        <c:crosses val="autoZero"/>
        <c:auto val="1"/>
        <c:lblAlgn val="ctr"/>
        <c:lblOffset val="100"/>
        <c:noMultiLvlLbl val="0"/>
      </c:catAx>
      <c:valAx>
        <c:axId val="8231142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823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</a:t>
            </a:r>
            <a:r>
              <a:rPr lang="sl-SI" baseline="0"/>
              <a:t> energentov v kWh</a:t>
            </a:r>
            <a:endParaRPr lang="sl-SI"/>
          </a:p>
        </c:rich>
      </c:tx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28575">
            <a:solidFill>
              <a:schemeClr val="tx2">
                <a:lumMod val="75000"/>
              </a:schemeClr>
            </a:solidFill>
          </a:ln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40971649082108"/>
          <c:y val="0.19778444960566979"/>
          <c:w val="0.73933721457622326"/>
          <c:h val="0.60034391384530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'G+E+(W)'!$B$4:$B$5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strRef>
              <c:f>'G+E+(W)'!$A$6:$A$18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'G+E+(W)'!$B$6:$B$18</c:f>
              <c:numCache>
                <c:formatCode>#,##0</c:formatCode>
                <c:ptCount val="12"/>
                <c:pt idx="0">
                  <c:v>890828</c:v>
                </c:pt>
                <c:pt idx="1">
                  <c:v>800216</c:v>
                </c:pt>
                <c:pt idx="2">
                  <c:v>919226</c:v>
                </c:pt>
                <c:pt idx="3">
                  <c:v>812828</c:v>
                </c:pt>
                <c:pt idx="4">
                  <c:v>901347</c:v>
                </c:pt>
                <c:pt idx="5">
                  <c:v>863274</c:v>
                </c:pt>
                <c:pt idx="6">
                  <c:v>882987</c:v>
                </c:pt>
                <c:pt idx="7">
                  <c:v>531212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44BA-933B-76882C196FF9}"/>
            </c:ext>
          </c:extLst>
        </c:ser>
        <c:ser>
          <c:idx val="1"/>
          <c:order val="1"/>
          <c:tx>
            <c:strRef>
              <c:f>'G+E+(W)'!$C$4:$C$5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'G+E+(W)'!$A$6:$A$18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'G+E+(W)'!$C$6:$C$18</c:f>
              <c:numCache>
                <c:formatCode>#,##0</c:formatCode>
                <c:ptCount val="12"/>
                <c:pt idx="0">
                  <c:v>1009979.5337175227</c:v>
                </c:pt>
                <c:pt idx="1">
                  <c:v>1216197.437942896</c:v>
                </c:pt>
                <c:pt idx="2">
                  <c:v>1001466.7783305716</c:v>
                </c:pt>
                <c:pt idx="3">
                  <c:v>421943.70849509723</c:v>
                </c:pt>
                <c:pt idx="4">
                  <c:v>380584.45238954062</c:v>
                </c:pt>
                <c:pt idx="5">
                  <c:v>281886.04927741125</c:v>
                </c:pt>
                <c:pt idx="6">
                  <c:v>286397.46114000783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1-44BA-933B-76882C19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19050"/>
          </c:spPr>
        </c:serLines>
        <c:axId val="82453248"/>
        <c:axId val="82454784"/>
      </c:barChart>
      <c:catAx>
        <c:axId val="8245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454784"/>
        <c:crosses val="autoZero"/>
        <c:auto val="1"/>
        <c:lblAlgn val="ctr"/>
        <c:lblOffset val="100"/>
        <c:noMultiLvlLbl val="0"/>
      </c:catAx>
      <c:valAx>
        <c:axId val="82454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4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Strošek</a:t>
            </a:r>
            <a:r>
              <a:rPr lang="sl-SI" baseline="0"/>
              <a:t> energentov</a:t>
            </a:r>
            <a:endParaRPr lang="sl-SI"/>
          </a:p>
        </c:rich>
      </c:tx>
      <c:layout>
        <c:manualLayout>
          <c:xMode val="edge"/>
          <c:yMode val="edge"/>
          <c:x val="0.37268871694068545"/>
          <c:y val="9.2189968791214546E-3"/>
        </c:manualLayout>
      </c:layout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2"/>
        <c:spPr>
          <a:solidFill>
            <a:schemeClr val="accent3">
              <a:lumMod val="50000"/>
            </a:schemeClr>
          </a:solidFill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801513658376348E-2"/>
          <c:y val="0.10242801739334823"/>
          <c:w val="0.80467432277285045"/>
          <c:h val="0.74887818127211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'G+E+(W)'!$B$26:$B$27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'G+E+(W)'!$B$28:$B$40</c:f>
              <c:numCache>
                <c:formatCode>#,##0</c:formatCode>
                <c:ptCount val="12"/>
                <c:pt idx="0">
                  <c:v>73516.605479999998</c:v>
                </c:pt>
                <c:pt idx="1">
                  <c:v>67867.485360000006</c:v>
                </c:pt>
                <c:pt idx="2">
                  <c:v>75603.466539999994</c:v>
                </c:pt>
                <c:pt idx="3">
                  <c:v>64500.344519999991</c:v>
                </c:pt>
                <c:pt idx="4">
                  <c:v>70503.15569</c:v>
                </c:pt>
                <c:pt idx="5">
                  <c:v>68557.039420000001</c:v>
                </c:pt>
                <c:pt idx="6">
                  <c:v>79084.661749999999</c:v>
                </c:pt>
                <c:pt idx="7">
                  <c:v>53229.184679999998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691-A08B-DD9C8C0A3346}"/>
            </c:ext>
          </c:extLst>
        </c:ser>
        <c:ser>
          <c:idx val="1"/>
          <c:order val="1"/>
          <c:tx>
            <c:strRef>
              <c:f>'G+E+(W)'!$C$26:$C$27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'G+E+(W)'!$C$28:$C$40</c:f>
              <c:numCache>
                <c:formatCode>#,##0</c:formatCode>
                <c:ptCount val="12"/>
                <c:pt idx="0">
                  <c:v>39517.18</c:v>
                </c:pt>
                <c:pt idx="1">
                  <c:v>42980</c:v>
                </c:pt>
                <c:pt idx="2">
                  <c:v>36811.86</c:v>
                </c:pt>
                <c:pt idx="3">
                  <c:v>16198.529999999999</c:v>
                </c:pt>
                <c:pt idx="4">
                  <c:v>16381.800000000001</c:v>
                </c:pt>
                <c:pt idx="5">
                  <c:v>15570.85</c:v>
                </c:pt>
                <c:pt idx="6">
                  <c:v>15934.350000000002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3-4691-A08B-DD9C8C0A3346}"/>
            </c:ext>
          </c:extLst>
        </c:ser>
        <c:ser>
          <c:idx val="2"/>
          <c:order val="2"/>
          <c:tx>
            <c:strRef>
              <c:f>'G+E+(W)'!$D$26:$D$27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'G+E+(W)'!$D$28:$D$40</c:f>
              <c:numCache>
                <c:formatCode>#,##0</c:formatCode>
                <c:ptCount val="12"/>
                <c:pt idx="0">
                  <c:v>913.17399999999998</c:v>
                </c:pt>
                <c:pt idx="1">
                  <c:v>843.61800000000005</c:v>
                </c:pt>
                <c:pt idx="2">
                  <c:v>1033.8847008</c:v>
                </c:pt>
                <c:pt idx="3">
                  <c:v>984.35200000000009</c:v>
                </c:pt>
                <c:pt idx="4">
                  <c:v>926.2804000000001</c:v>
                </c:pt>
                <c:pt idx="5">
                  <c:v>786.90879999999993</c:v>
                </c:pt>
                <c:pt idx="6">
                  <c:v>944.72799999999995</c:v>
                </c:pt>
                <c:pt idx="7">
                  <c:v>926.27800000000002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3-4691-A08B-DD9C8C0A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40352"/>
        <c:axId val="82741888"/>
      </c:barChart>
      <c:catAx>
        <c:axId val="827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41888"/>
        <c:crosses val="autoZero"/>
        <c:auto val="1"/>
        <c:lblAlgn val="ctr"/>
        <c:lblOffset val="100"/>
        <c:noMultiLvlLbl val="0"/>
      </c:catAx>
      <c:valAx>
        <c:axId val="82741888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2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energentov na kWh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  <c:dLbl>
          <c:idx val="0"/>
          <c:numFmt formatCode="#,##0.000" sourceLinked="0"/>
          <c:spPr>
            <a:ln w="28575">
              <a:solidFill>
                <a:schemeClr val="accent2">
                  <a:lumMod val="75000"/>
                </a:schemeClr>
              </a:solidFill>
            </a:ln>
          </c:spPr>
          <c:txPr>
            <a:bodyPr/>
            <a:lstStyle/>
            <a:p>
              <a:pPr>
                <a:defRPr b="1"/>
              </a:pPr>
              <a:endParaRPr lang="sl-S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  <c:dLbl>
          <c:idx val="0"/>
          <c:numFmt formatCode="#,##0.000" sourceLinked="0"/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txPr>
            <a:bodyPr/>
            <a:lstStyle/>
            <a:p>
              <a:pPr>
                <a:defRPr/>
              </a:pPr>
              <a:endParaRPr lang="sl-SI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'G+E+(W)'!$B$48:$B$49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numFmt formatCode="#,##0.000" sourceLinked="0"/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'G+E+(W)'!$A$50:$A$62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'G+E+(W)'!$B$50:$B$62</c:f>
              <c:numCache>
                <c:formatCode>0.0000</c:formatCode>
                <c:ptCount val="12"/>
                <c:pt idx="0">
                  <c:v>8.252615036797227E-2</c:v>
                </c:pt>
                <c:pt idx="1">
                  <c:v>8.4811457606446261E-2</c:v>
                </c:pt>
                <c:pt idx="2">
                  <c:v>8.2246875675840325E-2</c:v>
                </c:pt>
                <c:pt idx="3">
                  <c:v>7.9353005211434638E-2</c:v>
                </c:pt>
                <c:pt idx="4">
                  <c:v>7.8219770732026628E-2</c:v>
                </c:pt>
                <c:pt idx="5">
                  <c:v>7.9415156045473403E-2</c:v>
                </c:pt>
                <c:pt idx="6">
                  <c:v>8.9564921963743521E-2</c:v>
                </c:pt>
                <c:pt idx="7">
                  <c:v>0.10020327982048598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7-4F7A-848F-78663C17A632}"/>
            </c:ext>
          </c:extLst>
        </c:ser>
        <c:ser>
          <c:idx val="1"/>
          <c:order val="1"/>
          <c:tx>
            <c:strRef>
              <c:f>'G+E+(W)'!$C$48:$C$49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0" sourceLinked="0"/>
            <c:spPr>
              <a:solidFill>
                <a:schemeClr val="accent1">
                  <a:lumMod val="40000"/>
                  <a:lumOff val="60000"/>
                </a:schemeClr>
              </a:solidFill>
              <a:ln w="285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'G+E+(W)'!$A$50:$A$62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'G+E+(W)'!$C$50:$C$62</c:f>
              <c:numCache>
                <c:formatCode>0.0000</c:formatCode>
                <c:ptCount val="12"/>
                <c:pt idx="0">
                  <c:v>3.9126713641954261E-2</c:v>
                </c:pt>
                <c:pt idx="1">
                  <c:v>3.5339656752358686E-2</c:v>
                </c:pt>
                <c:pt idx="2">
                  <c:v>3.675794424390668E-2</c:v>
                </c:pt>
                <c:pt idx="3">
                  <c:v>3.8390263141435649E-2</c:v>
                </c:pt>
                <c:pt idx="4">
                  <c:v>4.3043797236448043E-2</c:v>
                </c:pt>
                <c:pt idx="5">
                  <c:v>5.5238100785457211E-2</c:v>
                </c:pt>
                <c:pt idx="6">
                  <c:v>5.5637190136299287E-2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7-4F7A-848F-78663C1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36320"/>
        <c:axId val="82537856"/>
      </c:barChart>
      <c:catAx>
        <c:axId val="825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7856"/>
        <c:crosses val="autoZero"/>
        <c:auto val="1"/>
        <c:lblAlgn val="ctr"/>
        <c:lblOffset val="100"/>
        <c:noMultiLvlLbl val="0"/>
      </c:catAx>
      <c:valAx>
        <c:axId val="825378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825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[02_Mesecni energetski stroski_od 2011_v02.xlsx]Poraba E!Vrtilna tabela1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</a:t>
            </a:r>
            <a:r>
              <a:rPr lang="sl-SI" baseline="0"/>
              <a:t> Elektrike v kWh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ln w="28575">
            <a:solidFill>
              <a:schemeClr val="accent2">
                <a:lumMod val="60000"/>
                <a:lumOff val="40000"/>
              </a:schemeClr>
            </a:solidFill>
          </a:ln>
        </c:spPr>
        <c:marker>
          <c:spPr>
            <a:solidFill>
              <a:schemeClr val="accent2">
                <a:lumMod val="50000"/>
              </a:schemeClr>
            </a:solidFill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E'!$B$3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 w="285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'Poraba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E'!$B$4:$B$16</c:f>
              <c:numCache>
                <c:formatCode>#,##0</c:formatCode>
                <c:ptCount val="12"/>
                <c:pt idx="0">
                  <c:v>890828</c:v>
                </c:pt>
                <c:pt idx="1">
                  <c:v>800216</c:v>
                </c:pt>
                <c:pt idx="2">
                  <c:v>919226</c:v>
                </c:pt>
                <c:pt idx="3">
                  <c:v>812828</c:v>
                </c:pt>
                <c:pt idx="4">
                  <c:v>901347</c:v>
                </c:pt>
                <c:pt idx="5">
                  <c:v>863274</c:v>
                </c:pt>
                <c:pt idx="6">
                  <c:v>882987</c:v>
                </c:pt>
                <c:pt idx="7">
                  <c:v>531212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E-4484-BDC4-04B9A379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0800"/>
        <c:axId val="81519360"/>
      </c:lineChart>
      <c:catAx>
        <c:axId val="8150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519360"/>
        <c:crosses val="autoZero"/>
        <c:auto val="1"/>
        <c:lblAlgn val="ctr"/>
        <c:lblOffset val="100"/>
        <c:noMultiLvlLbl val="0"/>
      </c:catAx>
      <c:valAx>
        <c:axId val="81519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sl-SI" sz="1200"/>
                  <a:t>Poraba kWh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8150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E!Vrtilna tabela4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električne energije</a:t>
            </a:r>
          </a:p>
        </c:rich>
      </c:tx>
      <c:overlay val="0"/>
    </c:title>
    <c:autoTitleDeleted val="0"/>
    <c:pivotFmts>
      <c:pivotFmt>
        <c:idx val="0"/>
        <c:spPr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28575"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  <c:pivotFmt>
        <c:idx val="2"/>
        <c:spPr>
          <a:solidFill>
            <a:schemeClr val="tx2">
              <a:lumMod val="75000"/>
            </a:schemeClr>
          </a:solidFill>
          <a:ln w="28575">
            <a:solidFill>
              <a:schemeClr val="tx2">
                <a:lumMod val="40000"/>
                <a:lumOff val="60000"/>
              </a:schemeClr>
            </a:solidFill>
          </a:ln>
        </c:spPr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7.6375711463033416E-2"/>
          <c:y val="0.15444962410183646"/>
          <c:w val="0.69827413848272324"/>
          <c:h val="0.69789658637400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'Stroški E'!$B$3</c:f>
              <c:strCache>
                <c:ptCount val="1"/>
                <c:pt idx="0">
                  <c:v>Vsota od Stroški porabe</c:v>
                </c:pt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E'!$B$4:$B$16</c:f>
              <c:numCache>
                <c:formatCode>#,##0</c:formatCode>
                <c:ptCount val="12"/>
                <c:pt idx="0">
                  <c:v>58615.455479999997</c:v>
                </c:pt>
                <c:pt idx="1">
                  <c:v>53557.45536</c:v>
                </c:pt>
                <c:pt idx="2">
                  <c:v>60403.216539999994</c:v>
                </c:pt>
                <c:pt idx="3">
                  <c:v>54056.854519999993</c:v>
                </c:pt>
                <c:pt idx="4">
                  <c:v>59419.715690000005</c:v>
                </c:pt>
                <c:pt idx="5">
                  <c:v>57526.309420000005</c:v>
                </c:pt>
                <c:pt idx="6">
                  <c:v>68169.371750000006</c:v>
                </c:pt>
                <c:pt idx="7">
                  <c:v>42436.824679999998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4DB2-BAF4-CD4696448999}"/>
            </c:ext>
          </c:extLst>
        </c:ser>
        <c:ser>
          <c:idx val="1"/>
          <c:order val="1"/>
          <c:tx>
            <c:strRef>
              <c:f>'Stroški E'!$C$3</c:f>
              <c:strCache>
                <c:ptCount val="1"/>
                <c:pt idx="0">
                  <c:v>Vsota od Skupna Ostalo količina * Tarifa za Ostalo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solidFill>
                <a:schemeClr val="accent3">
                  <a:lumMod val="7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E'!$C$4:$C$16</c:f>
              <c:numCache>
                <c:formatCode>#,##0</c:formatCode>
                <c:ptCount val="12"/>
                <c:pt idx="0">
                  <c:v>11985.42</c:v>
                </c:pt>
                <c:pt idx="1">
                  <c:v>11834.25</c:v>
                </c:pt>
                <c:pt idx="2">
                  <c:v>12151.84</c:v>
                </c:pt>
                <c:pt idx="3">
                  <c:v>11863.91</c:v>
                </c:pt>
                <c:pt idx="4">
                  <c:v>12359.96</c:v>
                </c:pt>
                <c:pt idx="5">
                  <c:v>12475.39</c:v>
                </c:pt>
                <c:pt idx="6">
                  <c:v>12167.78</c:v>
                </c:pt>
                <c:pt idx="7">
                  <c:v>8834.74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F-4DB2-BAF4-CD4696448999}"/>
            </c:ext>
          </c:extLst>
        </c:ser>
        <c:ser>
          <c:idx val="2"/>
          <c:order val="2"/>
          <c:tx>
            <c:strRef>
              <c:f>'Stroški E'!$D$3</c:f>
              <c:strCache>
                <c:ptCount val="1"/>
                <c:pt idx="0">
                  <c:v>Vsota od Omrežnina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E'!$D$4:$D$16</c:f>
              <c:numCache>
                <c:formatCode>#,##0</c:formatCode>
                <c:ptCount val="12"/>
                <c:pt idx="0">
                  <c:v>14901.15</c:v>
                </c:pt>
                <c:pt idx="1">
                  <c:v>14310.03</c:v>
                </c:pt>
                <c:pt idx="2">
                  <c:v>15200.25</c:v>
                </c:pt>
                <c:pt idx="3">
                  <c:v>10443.49</c:v>
                </c:pt>
                <c:pt idx="4">
                  <c:v>11083.44</c:v>
                </c:pt>
                <c:pt idx="5">
                  <c:v>11030.73</c:v>
                </c:pt>
                <c:pt idx="6">
                  <c:v>10915.29</c:v>
                </c:pt>
                <c:pt idx="7">
                  <c:v>10792.36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F-4DB2-BAF4-CD4696448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/>
        <c:axId val="81630336"/>
        <c:axId val="81631872"/>
      </c:barChart>
      <c:catAx>
        <c:axId val="8163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631872"/>
        <c:crosses val="autoZero"/>
        <c:auto val="1"/>
        <c:lblAlgn val="ctr"/>
        <c:lblOffset val="100"/>
        <c:noMultiLvlLbl val="0"/>
      </c:catAx>
      <c:valAx>
        <c:axId val="81631872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163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8601922909102"/>
          <c:y val="0.29795138888888889"/>
          <c:w val="0.1696417048477516"/>
          <c:h val="0.5789108333333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2011_v02.xlsx]Cena E na kWh!Vrtilna tabela2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elektrike po kWh</a:t>
            </a:r>
          </a:p>
        </c:rich>
      </c:tx>
      <c:layout>
        <c:manualLayout>
          <c:xMode val="edge"/>
          <c:yMode val="edge"/>
          <c:x val="0.40340771150451016"/>
          <c:y val="6.7196246486888253E-2"/>
        </c:manualLayout>
      </c:layout>
      <c:overlay val="0"/>
    </c:title>
    <c:autoTitleDeleted val="0"/>
    <c:pivotFmts>
      <c:pivotFmt>
        <c:idx val="0"/>
        <c:spPr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  <c:dLbl>
          <c:idx val="0"/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 w="28575" cap="flat" cmpd="sng" algn="ctr">
            <a:solidFill>
              <a:schemeClr val="accent3">
                <a:lumMod val="75000"/>
              </a:schemeClr>
            </a:solidFill>
            <a:prstDash val="solid"/>
          </a:ln>
          <a:effectLst/>
        </c:spPr>
        <c:marker>
          <c:symbol val="none"/>
        </c:marker>
        <c:dLbl>
          <c:idx val="0"/>
          <c:numFmt formatCode="#,##0.0000" sourceLinked="0"/>
          <c:spPr/>
          <c:txPr>
            <a:bodyPr/>
            <a:lstStyle/>
            <a:p>
              <a:pPr>
                <a:defRPr/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1.4169324995671104E-3"/>
              <c:y val="0.10029498525073746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1.4169324995671104E-3"/>
              <c:y val="0.12094395280235988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4169324995671104E-3"/>
              <c:y val="0.11504424778761062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4169324995671364E-3"/>
              <c:y val="0.12979351032448377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4169324995671104E-3"/>
              <c:y val="0.13274336283185842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layout>
            <c:manualLayout>
              <c:x val="-1.4169324995671104E-3"/>
              <c:y val="0"/>
            </c:manualLayout>
          </c:layout>
          <c:numFmt formatCode="#,##0.0000" sourceLinked="0"/>
          <c:spPr/>
          <c:txPr>
            <a:bodyPr/>
            <a:lstStyle/>
            <a:p>
              <a:pPr>
                <a:defRPr/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40080481090991E-2"/>
          <c:y val="0.18246928204770863"/>
          <c:w val="0.87879831796528018"/>
          <c:h val="0.64369498060530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'Cena E na kWh'!$B$1</c:f>
              <c:strCache>
                <c:ptCount val="1"/>
                <c:pt idx="0">
                  <c:v>Povprečje od Cena/kWh brez omrežnine</c:v>
                </c:pt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numFmt formatCode="#,##0.0000" sourceLinked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chemeClr val="tx2">
                    <a:lumMod val="50000"/>
                  </a:schemeClr>
                </a:solidFill>
              </a:ln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'Cena E na kWh'!$A$2:$A$14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E na kWh'!$B$2:$B$14</c:f>
              <c:numCache>
                <c:formatCode>0.0000</c:formatCode>
                <c:ptCount val="12"/>
                <c:pt idx="0">
                  <c:v>6.5798847229768254E-2</c:v>
                </c:pt>
                <c:pt idx="1">
                  <c:v>6.6928748437921765E-2</c:v>
                </c:pt>
                <c:pt idx="2">
                  <c:v>6.5710953062685346E-2</c:v>
                </c:pt>
                <c:pt idx="3">
                  <c:v>6.6504665833362037E-2</c:v>
                </c:pt>
                <c:pt idx="4">
                  <c:v>6.5923241204552743E-2</c:v>
                </c:pt>
                <c:pt idx="5">
                  <c:v>6.6637370545157157E-2</c:v>
                </c:pt>
                <c:pt idx="6">
                  <c:v>7.7203143138007704E-2</c:v>
                </c:pt>
                <c:pt idx="7">
                  <c:v>7.9886796006114313E-2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96-457F-9A72-24926500DD76}"/>
            </c:ext>
          </c:extLst>
        </c:ser>
        <c:ser>
          <c:idx val="1"/>
          <c:order val="1"/>
          <c:tx>
            <c:strRef>
              <c:f>'Cena E na kWh'!$C$1</c:f>
              <c:strCache>
                <c:ptCount val="1"/>
                <c:pt idx="0">
                  <c:v>Povprečje od Cena/kWh z omrežnino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8575" cap="flat" cmpd="sng" algn="ctr">
              <a:solidFill>
                <a:schemeClr val="accent3">
                  <a:lumMod val="75000"/>
                </a:schemeClr>
              </a:solidFill>
              <a:prstDash val="solid"/>
            </a:ln>
            <a:effectLst/>
          </c:spPr>
          <c:invertIfNegative val="0"/>
          <c:dLbls>
            <c:numFmt formatCode="#,##0.0000" sourceLinked="0"/>
            <c:spPr/>
            <c:txPr>
              <a:bodyPr/>
              <a:lstStyle/>
              <a:p>
                <a:pPr>
                  <a:defRPr/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'Cena E na kWh'!$A$2:$A$14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E na kWh'!$C$2:$C$14</c:f>
              <c:numCache>
                <c:formatCode>0.0000</c:formatCode>
                <c:ptCount val="12"/>
                <c:pt idx="0">
                  <c:v>8.252615036797227E-2</c:v>
                </c:pt>
                <c:pt idx="1">
                  <c:v>8.4811457606446261E-2</c:v>
                </c:pt>
                <c:pt idx="2">
                  <c:v>8.2246875675840325E-2</c:v>
                </c:pt>
                <c:pt idx="3">
                  <c:v>7.9353005211434638E-2</c:v>
                </c:pt>
                <c:pt idx="4">
                  <c:v>7.8219770732026628E-2</c:v>
                </c:pt>
                <c:pt idx="5">
                  <c:v>7.9415156045473403E-2</c:v>
                </c:pt>
                <c:pt idx="6">
                  <c:v>8.9564921963743521E-2</c:v>
                </c:pt>
                <c:pt idx="7">
                  <c:v>0.10020327982048598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96-457F-9A72-24926500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2705024"/>
        <c:axId val="82588032"/>
      </c:barChart>
      <c:catAx>
        <c:axId val="8270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588032"/>
        <c:crosses val="autoZero"/>
        <c:auto val="1"/>
        <c:lblAlgn val="ctr"/>
        <c:lblOffset val="100"/>
        <c:noMultiLvlLbl val="0"/>
      </c:catAx>
      <c:valAx>
        <c:axId val="82588032"/>
        <c:scaling>
          <c:orientation val="minMax"/>
          <c:min val="5.000000000000001E-2"/>
        </c:scaling>
        <c:delete val="0"/>
        <c:axPos val="l"/>
        <c:majorGridlines/>
        <c:numFmt formatCode="#,##0.000\ &quot;€&quot;" sourceLinked="0"/>
        <c:majorTickMark val="none"/>
        <c:minorTickMark val="none"/>
        <c:tickLblPos val="nextTo"/>
        <c:crossAx val="8270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6214214512652"/>
          <c:y val="0.39741806630563409"/>
          <c:w val="0.2583783107129915"/>
          <c:h val="0.270458663754483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314324</xdr:colOff>
      <xdr:row>5</xdr:row>
      <xdr:rowOff>9525</xdr:rowOff>
    </xdr:from>
    <xdr:to>
      <xdr:col>6</xdr:col>
      <xdr:colOff>285749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nerg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799" y="1352550"/>
              <a:ext cx="24098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6</xdr:col>
      <xdr:colOff>600073</xdr:colOff>
      <xdr:row>2</xdr:row>
      <xdr:rowOff>9524</xdr:rowOff>
    </xdr:from>
    <xdr:to>
      <xdr:col>16</xdr:col>
      <xdr:colOff>264073</xdr:colOff>
      <xdr:row>20</xdr:row>
      <xdr:rowOff>180524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161924</xdr:colOff>
      <xdr:row>28</xdr:row>
      <xdr:rowOff>9526</xdr:rowOff>
    </xdr:from>
    <xdr:to>
      <xdr:col>6</xdr:col>
      <xdr:colOff>400049</xdr:colOff>
      <xdr:row>34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nerg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" y="5362576"/>
              <a:ext cx="267652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7</xdr:col>
      <xdr:colOff>9523</xdr:colOff>
      <xdr:row>23</xdr:row>
      <xdr:rowOff>0</xdr:rowOff>
    </xdr:from>
    <xdr:to>
      <xdr:col>16</xdr:col>
      <xdr:colOff>283123</xdr:colOff>
      <xdr:row>41</xdr:row>
      <xdr:rowOff>170997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171450</xdr:colOff>
      <xdr:row>49</xdr:row>
      <xdr:rowOff>47625</xdr:rowOff>
    </xdr:from>
    <xdr:to>
      <xdr:col>6</xdr:col>
      <xdr:colOff>285749</xdr:colOff>
      <xdr:row>55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nergen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9410700"/>
              <a:ext cx="2552699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44</xdr:row>
      <xdr:rowOff>28575</xdr:rowOff>
    </xdr:from>
    <xdr:to>
      <xdr:col>16</xdr:col>
      <xdr:colOff>283125</xdr:colOff>
      <xdr:row>63</xdr:row>
      <xdr:rowOff>9075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161925</xdr:rowOff>
    </xdr:from>
    <xdr:to>
      <xdr:col>15</xdr:col>
      <xdr:colOff>464100</xdr:colOff>
      <xdr:row>23</xdr:row>
      <xdr:rowOff>142425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273600</xdr:colOff>
      <xdr:row>19</xdr:row>
      <xdr:rowOff>180525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10</xdr:col>
      <xdr:colOff>1638300</xdr:colOff>
      <xdr:row>47</xdr:row>
      <xdr:rowOff>95250</xdr:rowOff>
    </xdr:to>
    <xdr:pic>
      <xdr:nvPicPr>
        <xdr:cNvPr id="6" name="Slika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3990975"/>
          <a:ext cx="80295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22</xdr:col>
      <xdr:colOff>0</xdr:colOff>
      <xdr:row>47</xdr:row>
      <xdr:rowOff>95250</xdr:rowOff>
    </xdr:to>
    <xdr:pic>
      <xdr:nvPicPr>
        <xdr:cNvPr id="8" name="Slika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3990975"/>
          <a:ext cx="80295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0</xdr:rowOff>
    </xdr:from>
    <xdr:to>
      <xdr:col>14</xdr:col>
      <xdr:colOff>778424</xdr:colOff>
      <xdr:row>21</xdr:row>
      <xdr:rowOff>171000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25</xdr:row>
      <xdr:rowOff>0</xdr:rowOff>
    </xdr:from>
    <xdr:to>
      <xdr:col>14</xdr:col>
      <xdr:colOff>787949</xdr:colOff>
      <xdr:row>43</xdr:row>
      <xdr:rowOff>171000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47</xdr:row>
      <xdr:rowOff>9524</xdr:rowOff>
    </xdr:from>
    <xdr:to>
      <xdr:col>14</xdr:col>
      <xdr:colOff>787950</xdr:colOff>
      <xdr:row>65</xdr:row>
      <xdr:rowOff>180524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9525</xdr:rowOff>
    </xdr:from>
    <xdr:to>
      <xdr:col>5</xdr:col>
      <xdr:colOff>1340400</xdr:colOff>
      <xdr:row>22</xdr:row>
      <xdr:rowOff>180525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990601</xdr:colOff>
      <xdr:row>17</xdr:row>
      <xdr:rowOff>38099</xdr:rowOff>
    </xdr:from>
    <xdr:to>
      <xdr:col>3</xdr:col>
      <xdr:colOff>1235626</xdr:colOff>
      <xdr:row>36</xdr:row>
      <xdr:rowOff>18599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15</xdr:row>
      <xdr:rowOff>47624</xdr:rowOff>
    </xdr:from>
    <xdr:to>
      <xdr:col>6</xdr:col>
      <xdr:colOff>66675</xdr:colOff>
      <xdr:row>35</xdr:row>
      <xdr:rowOff>123826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28573</xdr:colOff>
      <xdr:row>10</xdr:row>
      <xdr:rowOff>85723</xdr:rowOff>
    </xdr:from>
    <xdr:to>
      <xdr:col>12</xdr:col>
      <xdr:colOff>302173</xdr:colOff>
      <xdr:row>29</xdr:row>
      <xdr:rowOff>66223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28575</xdr:rowOff>
    </xdr:from>
    <xdr:to>
      <xdr:col>14</xdr:col>
      <xdr:colOff>457201</xdr:colOff>
      <xdr:row>26</xdr:row>
      <xdr:rowOff>76200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</xdr:row>
      <xdr:rowOff>19050</xdr:rowOff>
    </xdr:from>
    <xdr:to>
      <xdr:col>12</xdr:col>
      <xdr:colOff>235499</xdr:colOff>
      <xdr:row>19</xdr:row>
      <xdr:rowOff>190050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17</xdr:row>
      <xdr:rowOff>142874</xdr:rowOff>
    </xdr:from>
    <xdr:to>
      <xdr:col>7</xdr:col>
      <xdr:colOff>400050</xdr:colOff>
      <xdr:row>36</xdr:row>
      <xdr:rowOff>38099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64930553" createdVersion="4" refreshedVersion="6" minRefreshableVersion="3" recordCount="36">
  <cacheSource type="worksheet">
    <worksheetSource ref="E23:J59" sheet="Tabela za vrtilno"/>
  </cacheSource>
  <cacheFields count="6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." numFmtId="3">
      <sharedItems containsSemiMixedTypes="0" containsString="0" containsNumber="1" minValue="0" maxValue="919226"/>
    </cacheField>
    <cacheField name="cena" numFmtId="4">
      <sharedItems containsSemiMixedTypes="0" containsString="0" containsNumber="1" minValue="0" maxValue="79084.661749999999"/>
    </cacheField>
    <cacheField name="Cena na kWh/m3" numFmtId="0">
      <sharedItems containsMixedTypes="1" containsNumber="1" minValue="7.8219770732026628E-2" maxValue="1.2050670750382848"/>
    </cacheField>
    <cacheField name="energent" numFmtId="0">
      <sharedItems count="3">
        <s v="E"/>
        <s v="G"/>
        <s v="W"/>
      </sharedItems>
    </cacheField>
    <cacheField name="skupaj E+G v kwh" numFmtId="3">
      <sharedItems containsString="0" containsBlank="1" containsNumber="1" minValue="0" maxValue="1216197.437942896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67361109" createdVersion="4" refreshedVersion="6" minRefreshableVersion="3" recordCount="12">
  <cacheSource type="worksheet">
    <worksheetSource ref="J4:O16" sheet="Tabela za vrtilno"/>
  </cacheSource>
  <cacheFields count="6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ičina G" numFmtId="3">
      <sharedItems containsSemiMixedTypes="0" containsString="0" containsNumber="1" minValue="0" maxValue="128486.5381485094"/>
    </cacheField>
    <cacheField name="Skupni stroški G" numFmtId="4">
      <sharedItems containsSemiMixedTypes="0" containsString="0" containsNumber="1" minValue="0" maxValue="61807.18"/>
    </cacheField>
    <cacheField name="Naprej zaračunano G" numFmtId="4">
      <sharedItems containsSemiMixedTypes="0" containsString="0" containsNumber="1" minValue="0" maxValue="18827.18"/>
    </cacheField>
    <cacheField name="Naši stroški G" numFmtId="4">
      <sharedItems containsSemiMixedTypes="0" containsString="0" containsNumber="1" minValue="0" maxValue="42980"/>
    </cacheField>
    <cacheField name="EUR/m³ G" numFmtId="4">
      <sharedItems containsMixedTypes="1" containsNumber="1" minValue="0.33450975191130261" maxValue="0.52663733549967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67708332" createdVersion="4" refreshedVersion="6" minRefreshableVersion="3" recordCount="12">
  <cacheSource type="worksheet">
    <worksheetSource ref="A4:H16" sheet="Tabela za vrtilno"/>
  </cacheSource>
  <cacheFields count="8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poraba E" numFmtId="3">
      <sharedItems containsSemiMixedTypes="0" containsString="0" containsNumber="1" containsInteger="1" minValue="0" maxValue="919226"/>
    </cacheField>
    <cacheField name="Skupna Ostalo količina * Tarifa za Ostalo" numFmtId="4">
      <sharedItems containsSemiMixedTypes="0" containsString="0" containsNumber="1" minValue="0" maxValue="12475.39"/>
    </cacheField>
    <cacheField name="Stroški porabe" numFmtId="4">
      <sharedItems containsSemiMixedTypes="0" containsString="0" containsNumber="1" minValue="0" maxValue="68169.371750000006"/>
    </cacheField>
    <cacheField name="Omrežnina" numFmtId="4">
      <sharedItems containsSemiMixedTypes="0" containsString="0" containsNumber="1" minValue="0" maxValue="15200.25"/>
    </cacheField>
    <cacheField name="Cena/kWh brez omrežnine" numFmtId="169">
      <sharedItems containsMixedTypes="1" containsNumber="1" minValue="6.5710953062685346E-2" maxValue="7.9886796006114313E-2"/>
    </cacheField>
    <cacheField name="Cena/kWh z omrežnino" numFmtId="169">
      <sharedItems containsMixedTypes="1" containsNumber="1" minValue="7.8219770732026628E-2" maxValue="0.10020327982048598"/>
    </cacheField>
    <cacheField name="Skupni stroški E" numFmtId="4">
      <sharedItems containsSemiMixedTypes="0" containsString="0" containsNumber="1" minValue="0" maxValue="79084.6617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72685182" createdVersion="4" refreshedVersion="6" minRefreshableVersion="3" recordCount="12">
  <cacheSource type="worksheet">
    <worksheetSource ref="Q4:T16" sheet="Tabela za vrtilno"/>
  </cacheSource>
  <cacheFields count="4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Poraba vode m3" numFmtId="3">
      <sharedItems containsSemiMixedTypes="0" containsString="0" containsNumber="1" minValue="0" maxValue="1014.494"/>
    </cacheField>
    <cacheField name="stroški voda" numFmtId="4">
      <sharedItems containsSemiMixedTypes="0" containsString="0" containsNumber="1" minValue="0" maxValue="1033.8847008"/>
    </cacheField>
    <cacheField name="EUR/m3 W" numFmtId="4">
      <sharedItems containsMixedTypes="1" containsNumber="1" minValue="1.0191136673060659" maxValue="1.2050670750382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73495374" createdVersion="4" refreshedVersion="6" minRefreshableVersion="3" recordCount="36">
  <cacheSource type="worksheet">
    <worksheetSource ref="E23:K59" sheet="Tabela za vrtilno"/>
  </cacheSource>
  <cacheFields count="7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." numFmtId="3">
      <sharedItems containsSemiMixedTypes="0" containsString="0" containsNumber="1" minValue="0" maxValue="919226"/>
    </cacheField>
    <cacheField name="cena" numFmtId="4">
      <sharedItems containsSemiMixedTypes="0" containsString="0" containsNumber="1" minValue="0" maxValue="79084.661749999999"/>
    </cacheField>
    <cacheField name="Cena na kWh/m3" numFmtId="0">
      <sharedItems containsMixedTypes="1" containsNumber="1" minValue="7.8219770732026628E-2" maxValue="1.2050670750382848"/>
    </cacheField>
    <cacheField name="energent" numFmtId="0">
      <sharedItems count="3">
        <s v="E"/>
        <s v="G"/>
        <s v="W"/>
      </sharedItems>
    </cacheField>
    <cacheField name="skupaj E+G v kwh" numFmtId="3">
      <sharedItems containsString="0" containsBlank="1" containsNumber="1" minValue="0" maxValue="1216197.437942896"/>
    </cacheField>
    <cacheField name="cena na kWh" numFmtId="0">
      <sharedItems containsBlank="1" containsMixedTypes="1" containsNumber="1" minValue="3.5339656752358686E-2" maxValue="0.10020327982048598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eras Slana Marija" refreshedDate="43364.351374189813" createdVersion="4" refreshedVersion="6" minRefreshableVersion="3" recordCount="115">
  <cacheSource type="worksheet">
    <worksheetSource ref="B2:BG1501" sheet="Mesečni energetski stroški"/>
  </cacheSource>
  <cacheFields count="58">
    <cacheField name="OBD" numFmtId="0">
      <sharedItems containsBlank="1" containsMixedTypes="1" containsNumber="1" containsInteger="1" minValue="2011" maxValue="2018" count="107">
        <s v="Elektrika"/>
        <s v="Obdobje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n v="2011"/>
        <m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n v="20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n v="2013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n v="2014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n v="2015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n v="2016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n v="2017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n v="2018"/>
      </sharedItems>
    </cacheField>
    <cacheField name="E1" numFmtId="0">
      <sharedItems containsBlank="1" containsMixedTypes="1" containsNumber="1" containsInteger="1" minValue="43081" maxValue="992419"/>
    </cacheField>
    <cacheField name="E2" numFmtId="0">
      <sharedItems containsBlank="1" containsMixedTypes="1" containsNumber="1" containsInteger="1" minValue="232500" maxValue="4902090"/>
    </cacheField>
    <cacheField name="E3" numFmtId="0">
      <sharedItems containsBlank="1" containsMixedTypes="1" containsNumber="1" containsInteger="1" minValue="0" maxValue="5814799"/>
    </cacheField>
    <cacheField name="E4" numFmtId="0">
      <sharedItems containsNonDate="0" containsString="0" containsBlank="1"/>
    </cacheField>
    <cacheField name="E5" numFmtId="0">
      <sharedItems containsBlank="1" containsMixedTypes="1" containsNumber="1" containsInteger="1" minValue="15771" maxValue="492310"/>
    </cacheField>
    <cacheField name="E6" numFmtId="0">
      <sharedItems containsBlank="1" containsMixedTypes="1" containsNumber="1" containsInteger="1" minValue="119760" maxValue="2802600"/>
    </cacheField>
    <cacheField name="E7" numFmtId="0">
      <sharedItems containsBlank="1" containsMixedTypes="1" containsNumber="1" containsInteger="1" minValue="0" maxValue="3278029"/>
    </cacheField>
    <cacheField name="E8" numFmtId="0">
      <sharedItems containsNonDate="0" containsString="0" containsBlank="1"/>
    </cacheField>
    <cacheField name="E9" numFmtId="0">
      <sharedItems containsBlank="1" containsMixedTypes="1" containsNumber="1" containsInteger="1" minValue="61667" maxValue="1484729"/>
    </cacheField>
    <cacheField name="E10" numFmtId="0">
      <sharedItems containsBlank="1" containsMixedTypes="1" containsNumber="1" containsInteger="1" minValue="353940" maxValue="7704690"/>
    </cacheField>
    <cacheField name="E11" numFmtId="0">
      <sharedItems containsBlank="1" containsMixedTypes="1" containsNumber="1" containsInteger="1" minValue="0" maxValue="9087272"/>
    </cacheField>
    <cacheField name="E12" numFmtId="0">
      <sharedItems containsNonDate="0" containsString="0" containsBlank="1"/>
    </cacheField>
    <cacheField name="E13" numFmtId="0">
      <sharedItems containsBlank="1" containsMixedTypes="1" containsNumber="1" minValue="4.5620000000000001E-2" maxValue="7.7380000000000004E-2"/>
    </cacheField>
    <cacheField name="E14" numFmtId="0">
      <sharedItems containsBlank="1" containsMixedTypes="1" containsNumber="1" minValue="0" maxValue="381037.00389999995"/>
    </cacheField>
    <cacheField name="E15" numFmtId="0">
      <sharedItems containsBlank="1" containsMixedTypes="1" containsNumber="1" minValue="3.0409999999999996E-2" maxValue="5.1380000000000002E-2"/>
    </cacheField>
    <cacheField name="E16" numFmtId="0">
      <sharedItems containsBlank="1" containsMixedTypes="1" containsNumber="1" minValue="4735.0720000000001" maxValue="115759.28649999999"/>
    </cacheField>
    <cacheField name="E17" numFmtId="0">
      <sharedItems containsBlank="1" containsMixedTypes="1" containsNumber="1" minValue="3.5499999999999998E-3" maxValue="3.5500000000000002E-3"/>
    </cacheField>
    <cacheField name="E18" numFmtId="0">
      <sharedItems containsBlank="1" containsMixedTypes="1" containsNumber="1" minValue="1475.4048500000001" maxValue="130860.06"/>
    </cacheField>
    <cacheField name="E19" numFmtId="0">
      <sharedItems containsBlank="1" containsMixedTypes="1" containsNumber="1" minValue="0" maxValue="522258.44565000001"/>
    </cacheField>
    <cacheField name="E20" numFmtId="0">
      <sharedItems containsNonDate="0" containsString="0" containsBlank="1"/>
    </cacheField>
    <cacheField name="E21" numFmtId="0">
      <sharedItems containsBlank="1" containsMixedTypes="1" containsNumber="1" minValue="7253.74" maxValue="212170.61"/>
    </cacheField>
    <cacheField name="E22" numFmtId="0">
      <sharedItems containsBlank="1" containsMixedTypes="1" containsNumber="1" minValue="4.1406906723308774E-2" maxValue="7.9886796006114313E-2"/>
    </cacheField>
    <cacheField name="E23" numFmtId="0">
      <sharedItems containsBlank="1" containsMixedTypes="1" containsNumber="1" minValue="6.0324225215401782E-2" maxValue="0.10020327982048598"/>
    </cacheField>
    <cacheField name="E24" numFmtId="0">
      <sharedItems containsNonDate="0" containsString="0" containsBlank="1"/>
    </cacheField>
    <cacheField name="E25" numFmtId="0">
      <sharedItems containsBlank="1" containsMixedTypes="1" containsNumber="1" minValue="0" maxValue="734429.05564999999"/>
    </cacheField>
    <cacheField name="E26" numFmtId="0">
      <sharedItems containsNonDate="0" containsString="0" containsBlank="1"/>
    </cacheField>
    <cacheField name="P1" numFmtId="0">
      <sharedItems containsBlank="1" containsMixedTypes="1" containsNumber="1" minValue="-824.69330000000002" maxValue="439289"/>
    </cacheField>
    <cacheField name="P2" numFmtId="0">
      <sharedItems containsBlank="1" containsMixedTypes="1" containsNumber="1" minValue="7985" maxValue="477388"/>
    </cacheField>
    <cacheField name="P3" numFmtId="0">
      <sharedItems containsBlank="1" containsMixedTypes="1" containsNumber="1" minValue="0" maxValue="916677"/>
    </cacheField>
    <cacheField name="P4" numFmtId="0">
      <sharedItems containsNonDate="0" containsString="0" containsBlank="1"/>
    </cacheField>
    <cacheField name="P5" numFmtId="0">
      <sharedItems containsBlank="1" containsMixedTypes="1" containsNumber="1" minValue="10540.19" maxValue="681527.95"/>
    </cacheField>
    <cacheField name="P6" numFmtId="0">
      <sharedItems containsBlank="1" containsMixedTypes="1" containsNumber="1" minValue="0" maxValue="204443.36"/>
    </cacheField>
    <cacheField name="P7" numFmtId="0">
      <sharedItems containsBlank="1" containsMixedTypes="1" containsNumber="1" minValue="0" maxValue="477084.58999999991"/>
    </cacheField>
    <cacheField name="P8" numFmtId="0">
      <sharedItems containsNonDate="0" containsString="0" containsBlank="1"/>
    </cacheField>
    <cacheField name="P9" numFmtId="0">
      <sharedItems containsBlank="1" containsMixedTypes="1" containsNumber="1" minValue="0.26016794134711746" maxValue="1.345108929853962"/>
    </cacheField>
    <cacheField name="P10" numFmtId="0">
      <sharedItems containsNonDate="0" containsString="0" containsBlank="1"/>
    </cacheField>
    <cacheField name="V1" numFmtId="0">
      <sharedItems containsBlank="1" containsMixedTypes="1" containsNumber="1" minValue="0" maxValue="1110.2739999999999"/>
    </cacheField>
    <cacheField name="V2" numFmtId="0">
      <sharedItems containsBlank="1" containsMixedTypes="1" containsNumber="1" minValue="0" maxValue="4641.1139999999996"/>
    </cacheField>
    <cacheField name="V3" numFmtId="0">
      <sharedItems containsBlank="1" containsMixedTypes="1" containsNumber="1" containsInteger="1" minValue="258" maxValue="5995"/>
    </cacheField>
    <cacheField name="V4" numFmtId="0">
      <sharedItems containsBlank="1" containsMixedTypes="1" containsNumber="1" minValue="0" maxValue="11369.878000000001"/>
    </cacheField>
    <cacheField name="V5" numFmtId="0">
      <sharedItems containsNonDate="0" containsString="0" containsBlank="1"/>
    </cacheField>
    <cacheField name="V6" numFmtId="0">
      <sharedItems containsBlank="1" containsMixedTypes="1" containsNumber="1" minValue="29.75" maxValue="2970.9977879999997"/>
    </cacheField>
    <cacheField name="V7" numFmtId="0">
      <sharedItems containsBlank="1" containsMixedTypes="1" containsNumber="1" minValue="38.630000000000003" maxValue="3237.5240949000004"/>
    </cacheField>
    <cacheField name="V8" numFmtId="0">
      <sharedItems containsBlank="1" containsMixedTypes="1" containsNumber="1" minValue="232.33" maxValue="6191.4659999999994"/>
    </cacheField>
    <cacheField name="V9" numFmtId="0">
      <sharedItems containsBlank="1" containsMixedTypes="1" containsNumber="1" minValue="0" maxValue="12300.111825999998"/>
    </cacheField>
    <cacheField name="V10" numFmtId="0">
      <sharedItems containsNonDate="0" containsString="0" containsBlank="1"/>
    </cacheField>
    <cacheField name="V11" numFmtId="0">
      <sharedItems containsBlank="1" containsMixedTypes="1" containsNumber="1" minValue="0.85974006866110841" maxValue="1.4961139240506329"/>
    </cacheField>
    <cacheField name="V12" numFmtId="0">
      <sharedItems containsNonDate="0" containsString="0" containsBlank="1"/>
    </cacheField>
    <cacheField name="S1" numFmtId="0">
      <sharedItems containsBlank="1" containsMixedTypes="1" containsNumber="1" minValue="0" maxValue="1170950.1149499998"/>
    </cacheField>
    <cacheField name="S2" numFmtId="0">
      <sharedItems containsBlank="1" containsMixedTypes="1" containsNumber="1" minValue="0" maxValue="95143993.210000008"/>
    </cacheField>
    <cacheField name="S3" numFmtId="0">
      <sharedItems containsNonDate="0" containsString="0" containsBlank="1"/>
    </cacheField>
    <cacheField name="S4" numFmtId="0">
      <sharedItems containsBlank="1"/>
    </cacheField>
    <cacheField name="S5" numFmtId="0">
      <sharedItems containsNonDate="0" containsString="0" containsBlank="1"/>
    </cacheField>
    <cacheField name="S6" numFmtId="0">
      <sharedItems containsNonDate="0" containsString="0" containsBlank="1"/>
    </cacheField>
    <cacheField name="S7" numFmtId="0">
      <sharedItems containsNonDate="0" containsString="0" containsBlank="1"/>
    </cacheField>
    <cacheField name="S8" numFmtId="0">
      <sharedItems containsNonDate="0" containsString="0" containsBlank="1"/>
    </cacheField>
    <cacheField name="S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890828"/>
    <n v="73516.605479999998"/>
    <n v="8.252615036797227E-2"/>
    <x v="0"/>
    <n v="890828"/>
  </r>
  <r>
    <x v="0"/>
    <n v="106700.4170866402"/>
    <n v="39517.18"/>
    <n v="0.37035637796909687"/>
    <x v="1"/>
    <n v="1009979.5337175227"/>
  </r>
  <r>
    <x v="0"/>
    <n v="838"/>
    <n v="913.17399999999998"/>
    <n v="1.0897064439140811"/>
    <x v="2"/>
    <m/>
  </r>
  <r>
    <x v="1"/>
    <n v="800216"/>
    <n v="67867.485360000006"/>
    <n v="8.4811457606446261E-2"/>
    <x v="0"/>
    <n v="800216"/>
  </r>
  <r>
    <x v="1"/>
    <n v="128486.5381485094"/>
    <n v="42980"/>
    <n v="0.33450975191130261"/>
    <x v="1"/>
    <n v="1216197.437942896"/>
  </r>
  <r>
    <x v="1"/>
    <n v="736"/>
    <n v="843.61800000000005"/>
    <n v="1.1462201086956523"/>
    <x v="2"/>
    <m/>
  </r>
  <r>
    <x v="2"/>
    <n v="919226"/>
    <n v="75603.466539999994"/>
    <n v="8.2246875675840325E-2"/>
    <x v="0"/>
    <n v="919226"/>
  </r>
  <r>
    <x v="2"/>
    <n v="105801.07752576721"/>
    <n v="36811.86"/>
    <n v="0.34793464169620292"/>
    <x v="1"/>
    <n v="1001466.7783305716"/>
  </r>
  <r>
    <x v="2"/>
    <n v="1014.494"/>
    <n v="1033.8847008"/>
    <n v="1.0191136673060659"/>
    <x v="2"/>
    <m/>
  </r>
  <r>
    <x v="3"/>
    <n v="812828"/>
    <n v="64500.344519999991"/>
    <n v="7.9353005211434638E-2"/>
    <x v="0"/>
    <n v="812828"/>
  </r>
  <r>
    <x v="3"/>
    <n v="44576.714854602702"/>
    <n v="16198.529999999999"/>
    <n v="0.36338545926579074"/>
    <x v="1"/>
    <n v="421943.70849509723"/>
  </r>
  <r>
    <x v="3"/>
    <n v="942"/>
    <n v="984.35200000000009"/>
    <n v="1.04495966029724"/>
    <x v="2"/>
    <m/>
  </r>
  <r>
    <x v="4"/>
    <n v="901347"/>
    <n v="70503.15569"/>
    <n v="7.8219770732026628E-2"/>
    <x v="0"/>
    <n v="901347"/>
  </r>
  <r>
    <x v="4"/>
    <n v="40207.270000000004"/>
    <n v="16381.800000000001"/>
    <n v="0.40743378001043096"/>
    <x v="1"/>
    <n v="380584.45238954062"/>
  </r>
  <r>
    <x v="4"/>
    <n v="857"/>
    <n v="926.2804000000001"/>
    <n v="1.0808406067677947"/>
    <x v="2"/>
    <m/>
  </r>
  <r>
    <x v="5"/>
    <n v="863274"/>
    <n v="68557.039420000001"/>
    <n v="7.9415156045473403E-2"/>
    <x v="0"/>
    <n v="863274"/>
  </r>
  <r>
    <x v="5"/>
    <n v="29780.166849615802"/>
    <n v="15570.85"/>
    <n v="0.52285973005557163"/>
    <x v="1"/>
    <n v="281886.04927741125"/>
  </r>
  <r>
    <x v="5"/>
    <n v="653"/>
    <n v="786.90879999999993"/>
    <n v="1.2050670750382848"/>
    <x v="2"/>
    <m/>
  </r>
  <r>
    <x v="6"/>
    <n v="882987"/>
    <n v="79084.661749999999"/>
    <n v="8.9564921963743521E-2"/>
    <x v="0"/>
    <n v="882987"/>
  </r>
  <r>
    <x v="6"/>
    <n v="30256.78"/>
    <n v="15934.350000000002"/>
    <n v="0.52663733549967984"/>
    <x v="1"/>
    <n v="286397.46114000783"/>
  </r>
  <r>
    <x v="6"/>
    <n v="884"/>
    <n v="944.72799999999995"/>
    <n v="1.0686968325791855"/>
    <x v="2"/>
    <m/>
  </r>
  <r>
    <x v="7"/>
    <n v="531212"/>
    <n v="53229.184679999998"/>
    <n v="0.10020327982048598"/>
    <x v="0"/>
    <n v="531212"/>
  </r>
  <r>
    <x v="7"/>
    <n v="0"/>
    <n v="0"/>
    <e v="#DIV/0!"/>
    <x v="1"/>
    <n v="0"/>
  </r>
  <r>
    <x v="7"/>
    <n v="857"/>
    <n v="926.27800000000002"/>
    <n v="1.0808378063010502"/>
    <x v="2"/>
    <m/>
  </r>
  <r>
    <x v="8"/>
    <n v="0"/>
    <n v="0"/>
    <e v="#DIV/0!"/>
    <x v="0"/>
    <n v="0"/>
  </r>
  <r>
    <x v="8"/>
    <n v="0"/>
    <n v="0"/>
    <e v="#DIV/0!"/>
    <x v="1"/>
    <n v="0"/>
  </r>
  <r>
    <x v="8"/>
    <n v="0"/>
    <n v="0"/>
    <e v="#DIV/0!"/>
    <x v="2"/>
    <m/>
  </r>
  <r>
    <x v="9"/>
    <n v="0"/>
    <n v="0"/>
    <e v="#DIV/0!"/>
    <x v="0"/>
    <n v="0"/>
  </r>
  <r>
    <x v="9"/>
    <n v="0"/>
    <n v="0"/>
    <e v="#DIV/0!"/>
    <x v="1"/>
    <n v="0"/>
  </r>
  <r>
    <x v="9"/>
    <n v="0"/>
    <n v="0"/>
    <e v="#DIV/0!"/>
    <x v="2"/>
    <m/>
  </r>
  <r>
    <x v="10"/>
    <n v="0"/>
    <n v="0"/>
    <e v="#DIV/0!"/>
    <x v="0"/>
    <n v="0"/>
  </r>
  <r>
    <x v="10"/>
    <n v="0"/>
    <n v="0"/>
    <e v="#DIV/0!"/>
    <x v="1"/>
    <n v="0"/>
  </r>
  <r>
    <x v="10"/>
    <n v="0"/>
    <n v="0"/>
    <e v="#DIV/0!"/>
    <x v="2"/>
    <m/>
  </r>
  <r>
    <x v="11"/>
    <n v="0"/>
    <n v="0"/>
    <e v="#DIV/0!"/>
    <x v="0"/>
    <n v="0"/>
  </r>
  <r>
    <x v="11"/>
    <n v="0"/>
    <n v="0"/>
    <e v="#DIV/0!"/>
    <x v="1"/>
    <n v="0"/>
  </r>
  <r>
    <x v="11"/>
    <n v="0"/>
    <n v="0"/>
    <e v="#DIV/0!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106700.4170866402"/>
    <n v="55856.3"/>
    <n v="16339.12"/>
    <n v="39517.18"/>
    <n v="0.37035637796909687"/>
  </r>
  <r>
    <x v="1"/>
    <n v="128486.5381485094"/>
    <n v="61807.18"/>
    <n v="18827.18"/>
    <n v="42980"/>
    <n v="0.33450975191130261"/>
  </r>
  <r>
    <x v="2"/>
    <n v="105801.07752576721"/>
    <n v="52218.89"/>
    <n v="15407.03"/>
    <n v="36811.86"/>
    <n v="0.34793464169620292"/>
  </r>
  <r>
    <x v="3"/>
    <n v="44576.714854602702"/>
    <n v="21597.26"/>
    <n v="5398.73"/>
    <n v="16198.529999999999"/>
    <n v="0.36338545926579074"/>
  </r>
  <r>
    <x v="4"/>
    <n v="40207.270000000004"/>
    <n v="20453.22"/>
    <n v="4071.42"/>
    <n v="16381.800000000001"/>
    <n v="0.40743378001043096"/>
  </r>
  <r>
    <x v="5"/>
    <n v="29780.166849615802"/>
    <n v="19521.79"/>
    <n v="3950.94"/>
    <n v="15570.85"/>
    <n v="0.52285973005557163"/>
  </r>
  <r>
    <x v="6"/>
    <n v="30256.78"/>
    <n v="19695.150000000001"/>
    <n v="3760.8"/>
    <n v="15934.350000000002"/>
    <n v="0.52663733549967984"/>
  </r>
  <r>
    <x v="7"/>
    <n v="0"/>
    <n v="0"/>
    <n v="0"/>
    <n v="0"/>
    <e v="#DIV/0!"/>
  </r>
  <r>
    <x v="8"/>
    <n v="0"/>
    <n v="0"/>
    <n v="0"/>
    <n v="0"/>
    <e v="#DIV/0!"/>
  </r>
  <r>
    <x v="9"/>
    <n v="0"/>
    <n v="0"/>
    <n v="0"/>
    <n v="0"/>
    <e v="#DIV/0!"/>
  </r>
  <r>
    <x v="10"/>
    <n v="0"/>
    <n v="0"/>
    <n v="0"/>
    <n v="0"/>
    <e v="#DIV/0!"/>
  </r>
  <r>
    <x v="11"/>
    <n v="0"/>
    <n v="0"/>
    <n v="0"/>
    <n v="0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890828"/>
    <n v="11985.42"/>
    <n v="58615.455479999997"/>
    <n v="14901.15"/>
    <n v="6.5798847229768254E-2"/>
    <n v="8.252615036797227E-2"/>
    <n v="73516.605479999998"/>
  </r>
  <r>
    <x v="1"/>
    <n v="800216"/>
    <n v="11834.25"/>
    <n v="53557.45536"/>
    <n v="14310.03"/>
    <n v="6.6928748437921765E-2"/>
    <n v="8.4811457606446261E-2"/>
    <n v="67867.485360000006"/>
  </r>
  <r>
    <x v="2"/>
    <n v="919226"/>
    <n v="12151.84"/>
    <n v="60403.216539999994"/>
    <n v="15200.25"/>
    <n v="6.5710953062685346E-2"/>
    <n v="8.2246875675840325E-2"/>
    <n v="75603.466539999994"/>
  </r>
  <r>
    <x v="3"/>
    <n v="812828"/>
    <n v="11863.91"/>
    <n v="54056.854519999993"/>
    <n v="10443.49"/>
    <n v="6.6504665833362037E-2"/>
    <n v="7.9353005211434638E-2"/>
    <n v="64500.344519999991"/>
  </r>
  <r>
    <x v="4"/>
    <n v="901347"/>
    <n v="12359.96"/>
    <n v="59419.715690000005"/>
    <n v="11083.44"/>
    <n v="6.5923241204552743E-2"/>
    <n v="7.8219770732026628E-2"/>
    <n v="70503.15569"/>
  </r>
  <r>
    <x v="5"/>
    <n v="863274"/>
    <n v="12475.39"/>
    <n v="57526.309420000005"/>
    <n v="11030.73"/>
    <n v="6.6637370545157157E-2"/>
    <n v="7.9415156045473403E-2"/>
    <n v="68557.039420000001"/>
  </r>
  <r>
    <x v="6"/>
    <n v="882987"/>
    <n v="12167.78"/>
    <n v="68169.371750000006"/>
    <n v="10915.29"/>
    <n v="7.7203143138007704E-2"/>
    <n v="8.9564921963743521E-2"/>
    <n v="79084.661749999999"/>
  </r>
  <r>
    <x v="7"/>
    <n v="531212"/>
    <n v="8834.74"/>
    <n v="42436.824679999998"/>
    <n v="10792.36"/>
    <n v="7.9886796006114313E-2"/>
    <n v="0.10020327982048598"/>
    <n v="53229.184679999998"/>
  </r>
  <r>
    <x v="8"/>
    <n v="0"/>
    <n v="0"/>
    <n v="0"/>
    <n v="0"/>
    <e v="#DIV/0!"/>
    <e v="#DIV/0!"/>
    <n v="0"/>
  </r>
  <r>
    <x v="9"/>
    <n v="0"/>
    <n v="0"/>
    <n v="0"/>
    <n v="0"/>
    <e v="#DIV/0!"/>
    <e v="#DIV/0!"/>
    <n v="0"/>
  </r>
  <r>
    <x v="10"/>
    <n v="0"/>
    <n v="0"/>
    <n v="0"/>
    <n v="0"/>
    <e v="#DIV/0!"/>
    <e v="#DIV/0!"/>
    <n v="0"/>
  </r>
  <r>
    <x v="11"/>
    <n v="0"/>
    <n v="0"/>
    <n v="0"/>
    <n v="0"/>
    <e v="#DIV/0!"/>
    <e v="#DIV/0!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838"/>
    <n v="913.17399999999998"/>
    <n v="1.0897064439140811"/>
  </r>
  <r>
    <x v="1"/>
    <n v="736"/>
    <n v="843.61800000000005"/>
    <n v="1.1462201086956523"/>
  </r>
  <r>
    <x v="2"/>
    <n v="1014.494"/>
    <n v="1033.8847008"/>
    <n v="1.0191136673060659"/>
  </r>
  <r>
    <x v="3"/>
    <n v="942"/>
    <n v="984.35200000000009"/>
    <n v="1.04495966029724"/>
  </r>
  <r>
    <x v="4"/>
    <n v="857"/>
    <n v="926.2804000000001"/>
    <n v="1.0808406067677947"/>
  </r>
  <r>
    <x v="5"/>
    <n v="653"/>
    <n v="786.90879999999993"/>
    <n v="1.2050670750382848"/>
  </r>
  <r>
    <x v="6"/>
    <n v="884"/>
    <n v="944.72799999999995"/>
    <n v="1.0686968325791855"/>
  </r>
  <r>
    <x v="7"/>
    <n v="857"/>
    <n v="926.27800000000002"/>
    <n v="1.0808378063010502"/>
  </r>
  <r>
    <x v="8"/>
    <n v="0"/>
    <n v="0"/>
    <e v="#DIV/0!"/>
  </r>
  <r>
    <x v="9"/>
    <n v="0"/>
    <n v="0"/>
    <e v="#DIV/0!"/>
  </r>
  <r>
    <x v="10"/>
    <n v="0"/>
    <n v="0"/>
    <e v="#DIV/0!"/>
  </r>
  <r>
    <x v="11"/>
    <n v="0"/>
    <n v="0"/>
    <e v="#DIV/0!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">
  <r>
    <x v="0"/>
    <n v="890828"/>
    <n v="73516.605479999998"/>
    <n v="8.252615036797227E-2"/>
    <x v="0"/>
    <n v="890828"/>
    <n v="8.252615036797227E-2"/>
  </r>
  <r>
    <x v="0"/>
    <n v="106700.4170866402"/>
    <n v="39517.18"/>
    <n v="0.37035637796909687"/>
    <x v="1"/>
    <n v="1009979.5337175227"/>
    <n v="3.9126713641954261E-2"/>
  </r>
  <r>
    <x v="0"/>
    <n v="838"/>
    <n v="913.17399999999998"/>
    <n v="1.0897064439140811"/>
    <x v="2"/>
    <m/>
    <m/>
  </r>
  <r>
    <x v="1"/>
    <n v="800216"/>
    <n v="67867.485360000006"/>
    <n v="8.4811457606446261E-2"/>
    <x v="0"/>
    <n v="800216"/>
    <n v="8.4811457606446261E-2"/>
  </r>
  <r>
    <x v="1"/>
    <n v="128486.5381485094"/>
    <n v="42980"/>
    <n v="0.33450975191130261"/>
    <x v="1"/>
    <n v="1216197.437942896"/>
    <n v="3.5339656752358686E-2"/>
  </r>
  <r>
    <x v="1"/>
    <n v="736"/>
    <n v="843.61800000000005"/>
    <n v="1.1462201086956523"/>
    <x v="2"/>
    <m/>
    <m/>
  </r>
  <r>
    <x v="2"/>
    <n v="919226"/>
    <n v="75603.466539999994"/>
    <n v="8.2246875675840325E-2"/>
    <x v="0"/>
    <n v="919226"/>
    <n v="8.2246875675840325E-2"/>
  </r>
  <r>
    <x v="2"/>
    <n v="105801.07752576721"/>
    <n v="36811.86"/>
    <n v="0.34793464169620292"/>
    <x v="1"/>
    <n v="1001466.7783305716"/>
    <n v="3.675794424390668E-2"/>
  </r>
  <r>
    <x v="2"/>
    <n v="1014.494"/>
    <n v="1033.8847008"/>
    <n v="1.0191136673060659"/>
    <x v="2"/>
    <m/>
    <m/>
  </r>
  <r>
    <x v="3"/>
    <n v="812828"/>
    <n v="64500.344519999991"/>
    <n v="7.9353005211434638E-2"/>
    <x v="0"/>
    <n v="812828"/>
    <n v="7.9353005211434638E-2"/>
  </r>
  <r>
    <x v="3"/>
    <n v="44576.714854602702"/>
    <n v="16198.529999999999"/>
    <n v="0.36338545926579074"/>
    <x v="1"/>
    <n v="421943.70849509723"/>
    <n v="3.8390263141435649E-2"/>
  </r>
  <r>
    <x v="3"/>
    <n v="942"/>
    <n v="984.35200000000009"/>
    <n v="1.04495966029724"/>
    <x v="2"/>
    <m/>
    <m/>
  </r>
  <r>
    <x v="4"/>
    <n v="901347"/>
    <n v="70503.15569"/>
    <n v="7.8219770732026628E-2"/>
    <x v="0"/>
    <n v="901347"/>
    <n v="7.8219770732026628E-2"/>
  </r>
  <r>
    <x v="4"/>
    <n v="40207.270000000004"/>
    <n v="16381.800000000001"/>
    <n v="0.40743378001043096"/>
    <x v="1"/>
    <n v="380584.45238954062"/>
    <n v="4.3043797236448043E-2"/>
  </r>
  <r>
    <x v="4"/>
    <n v="857"/>
    <n v="926.2804000000001"/>
    <n v="1.0808406067677947"/>
    <x v="2"/>
    <m/>
    <m/>
  </r>
  <r>
    <x v="5"/>
    <n v="863274"/>
    <n v="68557.039420000001"/>
    <n v="7.9415156045473403E-2"/>
    <x v="0"/>
    <n v="863274"/>
    <n v="7.9415156045473403E-2"/>
  </r>
  <r>
    <x v="5"/>
    <n v="29780.166849615802"/>
    <n v="15570.85"/>
    <n v="0.52285973005557163"/>
    <x v="1"/>
    <n v="281886.04927741125"/>
    <n v="5.5238100785457211E-2"/>
  </r>
  <r>
    <x v="5"/>
    <n v="653"/>
    <n v="786.90879999999993"/>
    <n v="1.2050670750382848"/>
    <x v="2"/>
    <m/>
    <m/>
  </r>
  <r>
    <x v="6"/>
    <n v="882987"/>
    <n v="79084.661749999999"/>
    <n v="8.9564921963743521E-2"/>
    <x v="0"/>
    <n v="882987"/>
    <n v="8.9564921963743521E-2"/>
  </r>
  <r>
    <x v="6"/>
    <n v="30256.78"/>
    <n v="15934.350000000002"/>
    <n v="0.52663733549967984"/>
    <x v="1"/>
    <n v="286397.46114000783"/>
    <n v="5.5637190136299287E-2"/>
  </r>
  <r>
    <x v="6"/>
    <n v="884"/>
    <n v="944.72799999999995"/>
    <n v="1.0686968325791855"/>
    <x v="2"/>
    <m/>
    <m/>
  </r>
  <r>
    <x v="7"/>
    <n v="531212"/>
    <n v="53229.184679999998"/>
    <n v="0.10020327982048598"/>
    <x v="0"/>
    <n v="531212"/>
    <n v="0.10020327982048598"/>
  </r>
  <r>
    <x v="7"/>
    <n v="0"/>
    <n v="0"/>
    <e v="#DIV/0!"/>
    <x v="1"/>
    <n v="0"/>
    <e v="#DIV/0!"/>
  </r>
  <r>
    <x v="7"/>
    <n v="857"/>
    <n v="926.27800000000002"/>
    <n v="1.0808378063010502"/>
    <x v="2"/>
    <m/>
    <m/>
  </r>
  <r>
    <x v="8"/>
    <n v="0"/>
    <n v="0"/>
    <e v="#DIV/0!"/>
    <x v="0"/>
    <n v="0"/>
    <e v="#DIV/0!"/>
  </r>
  <r>
    <x v="8"/>
    <n v="0"/>
    <n v="0"/>
    <e v="#DIV/0!"/>
    <x v="1"/>
    <n v="0"/>
    <e v="#DIV/0!"/>
  </r>
  <r>
    <x v="8"/>
    <n v="0"/>
    <n v="0"/>
    <e v="#DIV/0!"/>
    <x v="2"/>
    <m/>
    <m/>
  </r>
  <r>
    <x v="9"/>
    <n v="0"/>
    <n v="0"/>
    <e v="#DIV/0!"/>
    <x v="0"/>
    <n v="0"/>
    <e v="#DIV/0!"/>
  </r>
  <r>
    <x v="9"/>
    <n v="0"/>
    <n v="0"/>
    <e v="#DIV/0!"/>
    <x v="1"/>
    <n v="0"/>
    <e v="#DIV/0!"/>
  </r>
  <r>
    <x v="9"/>
    <n v="0"/>
    <n v="0"/>
    <e v="#DIV/0!"/>
    <x v="2"/>
    <m/>
    <m/>
  </r>
  <r>
    <x v="10"/>
    <n v="0"/>
    <n v="0"/>
    <e v="#DIV/0!"/>
    <x v="0"/>
    <n v="0"/>
    <e v="#DIV/0!"/>
  </r>
  <r>
    <x v="10"/>
    <n v="0"/>
    <n v="0"/>
    <e v="#DIV/0!"/>
    <x v="1"/>
    <n v="0"/>
    <e v="#DIV/0!"/>
  </r>
  <r>
    <x v="10"/>
    <n v="0"/>
    <n v="0"/>
    <e v="#DIV/0!"/>
    <x v="2"/>
    <m/>
    <m/>
  </r>
  <r>
    <x v="11"/>
    <n v="0"/>
    <n v="0"/>
    <e v="#DIV/0!"/>
    <x v="0"/>
    <n v="0"/>
    <e v="#DIV/0!"/>
  </r>
  <r>
    <x v="11"/>
    <n v="0"/>
    <n v="0"/>
    <e v="#DIV/0!"/>
    <x v="1"/>
    <n v="0"/>
    <e v="#DIV/0!"/>
  </r>
  <r>
    <x v="11"/>
    <n v="0"/>
    <n v="0"/>
    <e v="#DIV/0!"/>
    <x v="2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5">
  <r>
    <x v="0"/>
    <s v="VT [kWh podnevi] Količina"/>
    <m/>
    <m/>
    <m/>
    <s v="MT [kWh ponoči] Količina"/>
    <m/>
    <m/>
    <m/>
    <s v="[kWh Skupaj] Količina (Ostalo)"/>
    <m/>
    <m/>
    <m/>
    <s v="Euro [€]"/>
    <m/>
    <m/>
    <m/>
    <m/>
    <m/>
    <m/>
    <m/>
    <s v="Euro [€]"/>
    <m/>
    <m/>
    <m/>
    <s v="Euro [€]"/>
    <m/>
    <s v="Plin"/>
    <s v="Količina (m³)"/>
    <m/>
    <m/>
    <s v="Euro [€]"/>
    <m/>
    <m/>
    <m/>
    <s v="Euro [€]"/>
    <m/>
    <s v="Voda"/>
    <s v="Količina (m³)"/>
    <m/>
    <m/>
    <m/>
    <s v="Euro [€]"/>
    <m/>
    <m/>
    <m/>
    <m/>
    <s v="Euro [€]"/>
    <m/>
    <s v="Euro [€]"/>
    <m/>
    <m/>
    <m/>
    <m/>
    <m/>
    <m/>
    <m/>
    <m/>
  </r>
  <r>
    <x v="1"/>
    <s v="Špelina"/>
    <s v="Jaskova"/>
    <s v="Skupaj"/>
    <m/>
    <s v="Špelina"/>
    <s v="Jaskova"/>
    <s v="Skupaj"/>
    <m/>
    <s v="Skupaj Špelina"/>
    <s v="Skupaj Jaskova"/>
    <s v="Skupaj"/>
    <m/>
    <s v="Dnevna tarifa [€/kWh]"/>
    <s v="Skupna dnevna količina * Dnevna tarifa kWh"/>
    <s v="Nočna tarifa  [€/kWh]"/>
    <s v="Skupna nočna količina * Nočna tarifa kWh"/>
    <s v="Tarifa za Ostalo"/>
    <s v="Skupna Ostalo količina * Tarifa za Ostalo"/>
    <s v="Stroški skupaj"/>
    <m/>
    <s v="Omrežnina"/>
    <s v="Cena/kWh brez omrežnine"/>
    <s v="Cena/kWh z omrežnino"/>
    <m/>
    <s v="Elektrika + Omrežnina"/>
    <m/>
    <s v="Račun 1"/>
    <s v="Račun 2"/>
    <s v="Skupna količina"/>
    <m/>
    <s v="Skupni stroški"/>
    <s v="Naprej zaračunano"/>
    <s v="Naši stroški"/>
    <m/>
    <s v="EUR/m³"/>
    <m/>
    <s v="Špelina 1 (26209)"/>
    <s v="Špelina 2 (26208)/0"/>
    <s v="Jaskova (29897)"/>
    <s v="Skupaj"/>
    <m/>
    <s v="Špelina Stroški 1"/>
    <s v="Špelina Stroški 2"/>
    <s v="Jaskova Stroški"/>
    <s v="Skupni stroški"/>
    <m/>
    <s v="EUR/m3"/>
    <m/>
    <s v="Vsi stroški skupaj"/>
    <s v="Skupni promet"/>
    <m/>
    <s v="Opombe"/>
    <m/>
    <m/>
    <m/>
    <m/>
    <m/>
  </r>
  <r>
    <x v="2"/>
    <n v="81779"/>
    <n v="371340"/>
    <n v="453119"/>
    <m/>
    <n v="28154"/>
    <n v="163440"/>
    <n v="191594"/>
    <m/>
    <n v="109933"/>
    <n v="534780"/>
    <n v="644713"/>
    <m/>
    <n v="6.2609999999999999E-2"/>
    <n v="28369.780589999998"/>
    <n v="4.1570000000000003E-2"/>
    <n v="7964.5625800000007"/>
    <n v="3.5500000000000002E-3"/>
    <n v="2288.7311500000001"/>
    <n v="38623.07432"/>
    <m/>
    <n v="16742.03"/>
    <n v="5.9907391847225044E-2"/>
    <n v="8.5875582344391993E-2"/>
    <m/>
    <n v="55365.104319999999"/>
    <m/>
    <n v="64560"/>
    <n v="71080"/>
    <n v="135640"/>
    <m/>
    <n v="48830.400000000001"/>
    <n v="0"/>
    <n v="48830.400000000001"/>
    <m/>
    <n v="0.36"/>
    <m/>
    <n v="6"/>
    <n v="41"/>
    <n v="278"/>
    <n v="325"/>
    <m/>
    <n v="29.75"/>
    <n v="38.630000000000003"/>
    <n v="245.77"/>
    <n v="314.14999999999998"/>
    <m/>
    <n v="0.96661538461538454"/>
    <m/>
    <n v="104509.65432"/>
    <n v="5312179.6399999997"/>
    <m/>
    <m/>
    <m/>
    <m/>
    <m/>
    <m/>
    <m/>
  </r>
  <r>
    <x v="3"/>
    <n v="76714"/>
    <n v="349080"/>
    <n v="425794"/>
    <m/>
    <n v="28891"/>
    <n v="154110"/>
    <n v="183001"/>
    <m/>
    <n v="105605"/>
    <n v="503190"/>
    <n v="608795"/>
    <m/>
    <n v="6.2609999999999999E-2"/>
    <n v="26658.962339999998"/>
    <n v="4.1570000000000003E-2"/>
    <n v="7607.3515700000007"/>
    <n v="3.5500000000000002E-3"/>
    <n v="2161.2222500000003"/>
    <n v="36427.536159999996"/>
    <m/>
    <n v="15961.68"/>
    <n v="5.9835471973324346E-2"/>
    <n v="8.6053952742713061E-2"/>
    <m/>
    <n v="52389.216159999996"/>
    <m/>
    <n v="66110"/>
    <n v="67510"/>
    <n v="133620"/>
    <m/>
    <n v="61470.3"/>
    <n v="0"/>
    <n v="61470.3"/>
    <m/>
    <n v="0.46003816793893132"/>
    <m/>
    <n v="30"/>
    <n v="138"/>
    <n v="376"/>
    <n v="544"/>
    <m/>
    <n v="49.49"/>
    <n v="118.39"/>
    <n v="326.33999999999997"/>
    <n v="494.21999999999997"/>
    <m/>
    <n v="0.90849264705882349"/>
    <m/>
    <n v="114353.73616"/>
    <n v="5550293.71"/>
    <m/>
    <m/>
    <m/>
    <m/>
    <m/>
    <m/>
    <m/>
  </r>
  <r>
    <x v="4"/>
    <n v="92615"/>
    <n v="441060"/>
    <n v="533675"/>
    <m/>
    <n v="38476"/>
    <n v="188160"/>
    <n v="226636"/>
    <m/>
    <n v="131091"/>
    <n v="629220"/>
    <n v="760311"/>
    <m/>
    <n v="6.2609999999999999E-2"/>
    <n v="33413.391750000003"/>
    <n v="4.1570000000000003E-2"/>
    <n v="9421.2585200000012"/>
    <n v="3.5500000000000002E-3"/>
    <n v="2699.1040500000004"/>
    <n v="45533.754320000007"/>
    <m/>
    <n v="17541.939999999999"/>
    <n v="5.9888327697481696E-2"/>
    <n v="8.2960386368209862E-2"/>
    <m/>
    <n v="63075.69432000001"/>
    <m/>
    <n v="68230"/>
    <n v="52510"/>
    <n v="120740"/>
    <m/>
    <n v="57879.26"/>
    <n v="0"/>
    <n v="57879.26"/>
    <m/>
    <n v="0.47937104522113633"/>
    <m/>
    <n v="30"/>
    <n v="138"/>
    <n v="348"/>
    <n v="516"/>
    <m/>
    <n v="49.49"/>
    <n v="118.39"/>
    <n v="303.32"/>
    <n v="471.2"/>
    <m/>
    <n v="0.91317829457364341"/>
    <m/>
    <n v="121426.15432000002"/>
    <n v="7153648.29"/>
    <m/>
    <m/>
    <m/>
    <m/>
    <m/>
    <m/>
    <m/>
  </r>
  <r>
    <x v="5"/>
    <n v="71525"/>
    <n v="352650"/>
    <n v="424175"/>
    <m/>
    <n v="29966"/>
    <n v="190650"/>
    <n v="220616"/>
    <m/>
    <n v="101491"/>
    <n v="543300"/>
    <n v="644791"/>
    <m/>
    <n v="6.2609999999999999E-2"/>
    <n v="26557.596750000001"/>
    <n v="4.1570000000000003E-2"/>
    <n v="9171.0071200000002"/>
    <n v="3.5500000000000002E-3"/>
    <n v="2289.0080499999999"/>
    <n v="38017.611919999996"/>
    <m/>
    <n v="13267"/>
    <n v="5.8961139221856376E-2"/>
    <n v="7.9536798621568844E-2"/>
    <m/>
    <n v="51284.611919999996"/>
    <m/>
    <n v="33020"/>
    <n v="20049"/>
    <n v="53069"/>
    <m/>
    <n v="34641.089999999997"/>
    <n v="2212.08"/>
    <n v="32429.009999999995"/>
    <m/>
    <n v="0.61107256590476544"/>
    <m/>
    <n v="30"/>
    <n v="138"/>
    <n v="348"/>
    <n v="516"/>
    <m/>
    <n v="49.49"/>
    <n v="118.39"/>
    <n v="303.32"/>
    <n v="471.2"/>
    <m/>
    <n v="0.91317829457364341"/>
    <m/>
    <n v="84184.821919999988"/>
    <n v="6187704.0700000003"/>
    <m/>
    <m/>
    <m/>
    <m/>
    <m/>
    <m/>
    <m/>
  </r>
  <r>
    <x v="6"/>
    <n v="81999"/>
    <n v="415410"/>
    <n v="497409"/>
    <m/>
    <n v="29763"/>
    <n v="192660"/>
    <n v="222423"/>
    <m/>
    <n v="111762"/>
    <n v="608070"/>
    <n v="719832"/>
    <m/>
    <n v="6.2609999999999999E-2"/>
    <n v="31142.77749"/>
    <n v="4.1570000000000003E-2"/>
    <n v="9246.1241100000007"/>
    <n v="3.5500000000000002E-3"/>
    <n v="2555.4036000000001"/>
    <n v="42944.305199999995"/>
    <m/>
    <n v="13667.71"/>
    <n v="5.9658788717367378E-2"/>
    <n v="7.8646149657142214E-2"/>
    <m/>
    <n v="56612.015199999994"/>
    <m/>
    <n v="23255"/>
    <n v="24287"/>
    <n v="47542"/>
    <m/>
    <n v="29562.47"/>
    <n v="0"/>
    <n v="29562.47"/>
    <m/>
    <n v="0.62181797147785123"/>
    <m/>
    <n v="30"/>
    <n v="138"/>
    <n v="418"/>
    <n v="586"/>
    <m/>
    <n v="49.49"/>
    <n v="118.39"/>
    <n v="360.88"/>
    <n v="528.76"/>
    <m/>
    <n v="0.90232081911262796"/>
    <m/>
    <n v="86703.24519999999"/>
    <n v="6952467.7800000003"/>
    <m/>
    <m/>
    <m/>
    <m/>
    <m/>
    <m/>
    <m/>
  </r>
  <r>
    <x v="7"/>
    <n v="85308"/>
    <n v="414000"/>
    <n v="499308"/>
    <m/>
    <n v="30402"/>
    <n v="175110"/>
    <n v="205512"/>
    <m/>
    <n v="115710"/>
    <n v="589110"/>
    <n v="704820"/>
    <m/>
    <n v="6.2609999999999999E-2"/>
    <n v="31261.673879999998"/>
    <n v="4.1570000000000003E-2"/>
    <n v="8543.1338400000004"/>
    <n v="3.5500000000000002E-3"/>
    <n v="2502.1110000000003"/>
    <n v="42306.918719999994"/>
    <m/>
    <n v="11502.88"/>
    <n v="6.0025139354728856E-2"/>
    <n v="7.6345448086036133E-2"/>
    <m/>
    <n v="53809.798719999992"/>
    <m/>
    <n v="19701"/>
    <n v="19833"/>
    <n v="39534"/>
    <m/>
    <n v="26774"/>
    <n v="241.49"/>
    <n v="26532.51"/>
    <m/>
    <n v="0.67113143117316731"/>
    <m/>
    <n v="30"/>
    <n v="138"/>
    <n v="381"/>
    <n v="549"/>
    <m/>
    <n v="49.49"/>
    <n v="118.39"/>
    <n v="330.47"/>
    <n v="498.35"/>
    <m/>
    <n v="0.90774134790528238"/>
    <m/>
    <n v="80840.658719999992"/>
    <n v="5983371.4400000004"/>
    <m/>
    <m/>
    <m/>
    <m/>
    <m/>
    <m/>
    <m/>
  </r>
  <r>
    <x v="8"/>
    <n v="83747"/>
    <n v="398910"/>
    <n v="482657"/>
    <m/>
    <n v="33514"/>
    <n v="182460"/>
    <n v="215974"/>
    <m/>
    <n v="117261"/>
    <n v="581370"/>
    <n v="698631"/>
    <m/>
    <n v="7.7380000000000004E-2"/>
    <n v="37347.998660000005"/>
    <n v="5.1380000000000002E-2"/>
    <n v="11096.744120000001"/>
    <n v="3.5500000000000002E-3"/>
    <n v="2480.14005"/>
    <n v="50924.88283000001"/>
    <m/>
    <n v="11413.31"/>
    <n v="7.2892389301362243E-2"/>
    <n v="8.9229067748210433E-2"/>
    <m/>
    <n v="62338.192830000007"/>
    <m/>
    <n v="20089"/>
    <n v="20250"/>
    <n v="40339"/>
    <m/>
    <n v="21873.5"/>
    <n v="350.35"/>
    <n v="21523.15"/>
    <m/>
    <n v="0.53355685564838007"/>
    <m/>
    <n v="100"/>
    <n v="228"/>
    <n v="473"/>
    <n v="801"/>
    <m/>
    <n v="107.04"/>
    <n v="192.37"/>
    <n v="406.1"/>
    <n v="705.51"/>
    <m/>
    <n v="0.88078651685393261"/>
    <m/>
    <n v="84566.852830000003"/>
    <n v="9465172.5099999998"/>
    <m/>
    <s v="Pri skupnem prometu, sta združena julij in avgust"/>
    <m/>
    <m/>
    <m/>
    <m/>
    <m/>
  </r>
  <r>
    <x v="9"/>
    <n v="45896"/>
    <n v="232500"/>
    <n v="278396"/>
    <m/>
    <n v="15771"/>
    <n v="121440"/>
    <n v="137211"/>
    <m/>
    <n v="61667"/>
    <n v="353940"/>
    <n v="415607"/>
    <m/>
    <n v="7.7380000000000004E-2"/>
    <n v="21542.282480000002"/>
    <n v="5.1380000000000002E-2"/>
    <n v="7049.9011799999998"/>
    <n v="3.5500000000000002E-3"/>
    <n v="1475.4048500000001"/>
    <n v="30067.588510000001"/>
    <m/>
    <n v="9648.99"/>
    <n v="7.2346203288202557E-2"/>
    <n v="9.5562823797481752E-2"/>
    <m/>
    <n v="39716.578509999999"/>
    <m/>
    <n v="171"/>
    <n v="16537"/>
    <n v="16708"/>
    <m/>
    <n v="23184.44"/>
    <n v="710.36"/>
    <n v="22474.079999999998"/>
    <m/>
    <n v="1.345108929853962"/>
    <m/>
    <n v="30"/>
    <n v="138"/>
    <n v="381"/>
    <n v="549"/>
    <m/>
    <n v="49.49"/>
    <n v="118.39"/>
    <n v="330.47"/>
    <n v="498.35"/>
    <m/>
    <n v="0.90774134790528238"/>
    <m/>
    <n v="62689.008509999992"/>
    <m/>
    <m/>
    <m/>
    <m/>
    <m/>
    <m/>
    <m/>
    <m/>
  </r>
  <r>
    <x v="10"/>
    <n v="85792"/>
    <n v="430860"/>
    <n v="516652"/>
    <m/>
    <n v="31076"/>
    <n v="180060"/>
    <n v="211136"/>
    <m/>
    <n v="116868"/>
    <n v="610920"/>
    <n v="727788"/>
    <m/>
    <n v="7.7380000000000004E-2"/>
    <n v="39978.531760000005"/>
    <n v="5.1380000000000002E-2"/>
    <n v="10848.16768"/>
    <n v="3.5500000000000002E-3"/>
    <n v="2583.6474000000003"/>
    <n v="53410.346840000006"/>
    <m/>
    <n v="11827.36"/>
    <n v="7.3387232051091808E-2"/>
    <n v="8.9638338142426097E-2"/>
    <m/>
    <n v="65237.706840000006"/>
    <m/>
    <n v="22158"/>
    <n v="21520"/>
    <n v="43678"/>
    <m/>
    <n v="32368.46"/>
    <n v="1688.83"/>
    <n v="30679.629999999997"/>
    <m/>
    <n v="0.7024046430697376"/>
    <m/>
    <n v="30"/>
    <n v="138"/>
    <n v="381"/>
    <n v="549"/>
    <m/>
    <n v="49.49"/>
    <n v="118.39"/>
    <n v="330.47"/>
    <n v="498.35"/>
    <m/>
    <n v="0.90774134790528238"/>
    <m/>
    <n v="96415.686840000009"/>
    <n v="6491219.7400000002"/>
    <m/>
    <m/>
    <m/>
    <m/>
    <m/>
    <m/>
    <m/>
  </r>
  <r>
    <x v="11"/>
    <n v="78044"/>
    <n v="392790"/>
    <n v="470834"/>
    <m/>
    <n v="31703"/>
    <n v="180180"/>
    <n v="211883"/>
    <m/>
    <n v="109747"/>
    <n v="572970"/>
    <n v="682717"/>
    <m/>
    <n v="7.7380000000000004E-2"/>
    <n v="36433.134920000004"/>
    <n v="5.1380000000000002E-2"/>
    <n v="10886.54854"/>
    <n v="3.5500000000000002E-3"/>
    <n v="2423.6453500000002"/>
    <n v="49743.328809999999"/>
    <m/>
    <n v="14801.33"/>
    <n v="7.286083224820826E-2"/>
    <n v="9.4540869511085854E-2"/>
    <m/>
    <n v="64544.658810000001"/>
    <m/>
    <n v="35180"/>
    <n v="48280"/>
    <n v="83460"/>
    <m/>
    <n v="53528.97"/>
    <n v="16852.52"/>
    <n v="36676.449999999997"/>
    <m/>
    <n v="0.43944943685597887"/>
    <m/>
    <n v="30"/>
    <n v="138"/>
    <n v="583"/>
    <n v="751"/>
    <m/>
    <n v="49.84"/>
    <n v="119.99"/>
    <n v="503.31"/>
    <n v="673.14"/>
    <m/>
    <n v="0.8963249001331558"/>
    <m/>
    <n v="101894.24881"/>
    <n v="5815404.5800000001"/>
    <m/>
    <m/>
    <m/>
    <m/>
    <m/>
    <m/>
    <m/>
  </r>
  <r>
    <x v="12"/>
    <n v="82628"/>
    <n v="423960"/>
    <n v="506588"/>
    <m/>
    <n v="30038"/>
    <n v="170580"/>
    <n v="200618"/>
    <m/>
    <n v="112666"/>
    <n v="594540"/>
    <n v="707206"/>
    <m/>
    <n v="7.7380000000000004E-2"/>
    <n v="39199.779440000006"/>
    <n v="5.1380000000000002E-2"/>
    <n v="10307.752840000001"/>
    <n v="3.5500000000000002E-3"/>
    <n v="2510.5813000000003"/>
    <n v="52018.113580000005"/>
    <m/>
    <n v="15174.65"/>
    <n v="7.3554400811079099E-2"/>
    <n v="9.5011585846273922E-2"/>
    <m/>
    <n v="67192.763579999999"/>
    <m/>
    <n v="41411"/>
    <n v="62208"/>
    <n v="103619"/>
    <m/>
    <n v="83343.47"/>
    <n v="29401.98"/>
    <n v="53941.490000000005"/>
    <m/>
    <n v="0.52057528059525771"/>
    <m/>
    <n v="44"/>
    <n v="148"/>
    <n v="417"/>
    <n v="609"/>
    <m/>
    <n v="61.5"/>
    <n v="128.32"/>
    <n v="364.89"/>
    <n v="554.71"/>
    <m/>
    <n v="0.91085385878489333"/>
    <m/>
    <n v="121688.96358000001"/>
    <n v="5839244.8200000003"/>
    <m/>
    <m/>
    <m/>
    <m/>
    <m/>
    <m/>
    <m/>
  </r>
  <r>
    <x v="13"/>
    <n v="62668"/>
    <n v="313800"/>
    <n v="376468"/>
    <m/>
    <n v="25801"/>
    <n v="139140"/>
    <n v="164941"/>
    <m/>
    <n v="88469"/>
    <n v="452940"/>
    <n v="541409"/>
    <m/>
    <n v="7.7380000000000004E-2"/>
    <n v="29131.093840000001"/>
    <n v="5.1380000000000002E-2"/>
    <n v="8474.6685799999996"/>
    <n v="3.5500000000000002E-3"/>
    <n v="1922.0019500000001"/>
    <n v="39527.764369999997"/>
    <m/>
    <n v="13603.82"/>
    <n v="7.3009064071709179E-2"/>
    <n v="9.813576126366573E-2"/>
    <m/>
    <n v="53131.584369999997"/>
    <m/>
    <n v="45404"/>
    <n v="53324"/>
    <n v="98728"/>
    <m/>
    <n v="72977.64"/>
    <n v="29656.93"/>
    <n v="43320.71"/>
    <m/>
    <n v="0.43878848958755368"/>
    <m/>
    <n v="37"/>
    <n v="154"/>
    <n v="417"/>
    <n v="608"/>
    <m/>
    <n v="55.66"/>
    <n v="133.33000000000001"/>
    <n v="364.89"/>
    <n v="553.88"/>
    <m/>
    <n v="0.91098684210526315"/>
    <m/>
    <n v="97006.174369999993"/>
    <n v="3787363.3"/>
    <m/>
    <m/>
    <m/>
    <m/>
    <m/>
    <m/>
    <m/>
  </r>
  <r>
    <x v="14"/>
    <n v="928715"/>
    <n v="4536360"/>
    <n v="5465075"/>
    <m/>
    <n v="353555"/>
    <n v="2037990"/>
    <n v="2391545"/>
    <m/>
    <n v="1282270"/>
    <n v="6574350"/>
    <n v="7856620"/>
    <m/>
    <n v="6.9995000000000002E-2"/>
    <n v="381037.00389999995"/>
    <n v="4.6474999999999995E-2"/>
    <n v="110617.22068"/>
    <n v="3.5499999999999998E-3"/>
    <n v="27891.001000000004"/>
    <n v="519545.22557999997"/>
    <m/>
    <n v="165152.69999999998"/>
    <n v="6.6128338341424175E-2"/>
    <n v="8.7149171727791325E-2"/>
    <m/>
    <n v="684697.92558000004"/>
    <m/>
    <n v="439289"/>
    <n v="477388"/>
    <n v="916677"/>
    <m/>
    <n v="546434"/>
    <n v="81114.540000000008"/>
    <n v="465319.46000000008"/>
    <m/>
    <n v="0.5986095681105601"/>
    <m/>
    <n v="427"/>
    <n v="1675"/>
    <n v="4801"/>
    <n v="6903"/>
    <m/>
    <n v="650.22"/>
    <n v="1441.37"/>
    <n v="4170.2300000000005"/>
    <n v="6261.8200000000006"/>
    <m/>
    <n v="0.90711574677676376"/>
    <m/>
    <n v="1156279.2055800001"/>
    <n v="68538069.879999995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n v="73004"/>
    <n v="365550"/>
    <n v="438554"/>
    <m/>
    <n v="28731"/>
    <n v="160830"/>
    <n v="189561"/>
    <m/>
    <n v="101735"/>
    <n v="526380"/>
    <n v="628115"/>
    <m/>
    <n v="6.8500000000000005E-2"/>
    <n v="30040.949000000001"/>
    <n v="4.65E-2"/>
    <n v="8814.5864999999994"/>
    <n v="3.5500000000000002E-3"/>
    <n v="2229.80825"/>
    <n v="41085.34375"/>
    <m/>
    <n v="15117.1"/>
    <n v="6.5410543849454314E-2"/>
    <n v="8.9477951887791243E-2"/>
    <m/>
    <n v="56202.443749999999"/>
    <m/>
    <n v="33705"/>
    <n v="81625"/>
    <n v="115330"/>
    <m/>
    <n v="96982.12"/>
    <n v="34044.54"/>
    <n v="62937.579999999994"/>
    <m/>
    <n v="0.54571733287089219"/>
    <m/>
    <n v="51"/>
    <n v="196"/>
    <n v="258"/>
    <n v="505"/>
    <m/>
    <n v="67.34"/>
    <n v="168.34"/>
    <n v="232.33"/>
    <n v="468.01"/>
    <m/>
    <n v="0.92675247524752469"/>
    <m/>
    <n v="119608.03374999999"/>
    <n v="5174636.17"/>
    <m/>
    <m/>
    <m/>
    <m/>
    <m/>
    <m/>
    <m/>
  </r>
  <r>
    <x v="17"/>
    <n v="87772"/>
    <n v="395220"/>
    <n v="482992"/>
    <m/>
    <n v="38911"/>
    <n v="196620"/>
    <n v="235531"/>
    <m/>
    <n v="126683"/>
    <n v="591840"/>
    <n v="718523"/>
    <m/>
    <n v="6.8500000000000005E-2"/>
    <n v="33084.952000000005"/>
    <n v="4.65E-2"/>
    <n v="10952.191500000001"/>
    <n v="3.5500000000000002E-3"/>
    <n v="2550.7566500000003"/>
    <n v="46587.900150000009"/>
    <m/>
    <n v="15992.13"/>
    <n v="6.4838425701056204E-2"/>
    <n v="8.709537502626917E-2"/>
    <m/>
    <n v="62580.030150000006"/>
    <m/>
    <n v="100650"/>
    <n v="59220"/>
    <n v="159870"/>
    <m/>
    <n v="114987.51"/>
    <n v="43065.4"/>
    <n v="71922.109999999986"/>
    <m/>
    <n v="0.44987871395508844"/>
    <m/>
    <n v="37"/>
    <n v="154"/>
    <n v="417"/>
    <n v="608"/>
    <m/>
    <n v="55.66"/>
    <n v="133.33000000000001"/>
    <n v="364.89"/>
    <n v="553.88"/>
    <m/>
    <n v="0.91098684210526315"/>
    <m/>
    <n v="135056.02015"/>
    <n v="6773980.5999999996"/>
    <m/>
    <m/>
    <m/>
    <m/>
    <m/>
    <m/>
    <m/>
  </r>
  <r>
    <x v="18"/>
    <n v="93912"/>
    <n v="456270"/>
    <n v="550182"/>
    <m/>
    <n v="40469"/>
    <n v="202590"/>
    <n v="243059"/>
    <m/>
    <n v="134381"/>
    <n v="658860"/>
    <n v="793241"/>
    <m/>
    <n v="6.8500000000000005E-2"/>
    <n v="37687.467000000004"/>
    <n v="4.65E-2"/>
    <n v="11302.2435"/>
    <n v="3.5500000000000002E-3"/>
    <n v="2816.0055500000003"/>
    <n v="51805.716050000003"/>
    <m/>
    <n v="16830.2"/>
    <n v="6.5308923832731791E-2"/>
    <n v="8.6525931022224015E-2"/>
    <m/>
    <n v="68635.91605"/>
    <m/>
    <n v="55250"/>
    <n v="40350"/>
    <n v="95600"/>
    <m/>
    <n v="63453.7"/>
    <n v="15137.89"/>
    <n v="48315.81"/>
    <m/>
    <n v="0.5053955020920502"/>
    <m/>
    <n v="37"/>
    <n v="154"/>
    <n v="417"/>
    <n v="608"/>
    <m/>
    <n v="55.66"/>
    <n v="133.33000000000001"/>
    <n v="364.89"/>
    <n v="553.88"/>
    <m/>
    <n v="0.91098684210526315"/>
    <m/>
    <n v="117505.60605"/>
    <n v="7598343.5"/>
    <m/>
    <m/>
    <m/>
    <m/>
    <m/>
    <m/>
    <m/>
  </r>
  <r>
    <x v="19"/>
    <n v="76088"/>
    <n v="373980"/>
    <n v="450068"/>
    <m/>
    <n v="37507"/>
    <n v="194520"/>
    <n v="232027"/>
    <m/>
    <n v="113595"/>
    <n v="568500"/>
    <n v="682095"/>
    <m/>
    <n v="6.8500000000000005E-2"/>
    <n v="30829.658000000003"/>
    <n v="4.65E-2"/>
    <n v="10789.255499999999"/>
    <n v="3.5500000000000002E-3"/>
    <n v="2421.4372499999999"/>
    <n v="44040.350750000005"/>
    <m/>
    <n v="12181.89"/>
    <n v="6.4566300515324124E-2"/>
    <n v="8.2425821549784131E-2"/>
    <m/>
    <n v="56222.240750000004"/>
    <m/>
    <n v="32660"/>
    <n v="32071"/>
    <n v="64731"/>
    <m/>
    <n v="49815.45"/>
    <n v="10531.7"/>
    <n v="39283.75"/>
    <m/>
    <n v="0.60687692141323324"/>
    <m/>
    <n v="54"/>
    <n v="209"/>
    <n v="480"/>
    <n v="743"/>
    <m/>
    <n v="69.849999999999994"/>
    <n v="179.19"/>
    <n v="417.42"/>
    <n v="666.46"/>
    <m/>
    <n v="0.89698519515477793"/>
    <m/>
    <n v="96172.450750000004"/>
    <n v="6490037.3300000001"/>
    <m/>
    <m/>
    <m/>
    <m/>
    <m/>
    <m/>
    <m/>
  </r>
  <r>
    <x v="20"/>
    <n v="85990"/>
    <n v="416340"/>
    <n v="502330"/>
    <m/>
    <n v="33503"/>
    <n v="174900"/>
    <n v="208403"/>
    <m/>
    <n v="119493"/>
    <n v="591240"/>
    <n v="710733"/>
    <m/>
    <n v="6.8500000000000005E-2"/>
    <n v="34409.605000000003"/>
    <n v="4.65E-2"/>
    <n v="9690.7394999999997"/>
    <n v="3.5500000000000002E-3"/>
    <n v="2523.1021500000002"/>
    <n v="46623.446650000005"/>
    <m/>
    <n v="12353.47"/>
    <n v="6.5599102124145076E-2"/>
    <n v="8.2980411279622593E-2"/>
    <m/>
    <n v="58976.916650000006"/>
    <m/>
    <n v="20709"/>
    <n v="29742"/>
    <n v="50451"/>
    <m/>
    <n v="39542.69"/>
    <n v="4949.83"/>
    <n v="34592.86"/>
    <m/>
    <n v="0.6856724346395513"/>
    <m/>
    <n v="37"/>
    <n v="154"/>
    <n v="417"/>
    <n v="608"/>
    <m/>
    <n v="55.66"/>
    <n v="133.33000000000001"/>
    <n v="364.89"/>
    <n v="553.88"/>
    <m/>
    <n v="0.91098684210526315"/>
    <m/>
    <n v="94123.656650000019"/>
    <n v="6157168.8099999996"/>
    <m/>
    <m/>
    <m/>
    <m/>
    <m/>
    <m/>
    <m/>
  </r>
  <r>
    <x v="21"/>
    <n v="81965"/>
    <n v="395070"/>
    <n v="477035"/>
    <m/>
    <n v="33046"/>
    <n v="170580"/>
    <n v="203626"/>
    <m/>
    <n v="115011"/>
    <n v="565650"/>
    <n v="680661"/>
    <m/>
    <n v="6.8500000000000005E-2"/>
    <n v="32676.897500000003"/>
    <n v="4.65E-2"/>
    <n v="9468.6090000000004"/>
    <n v="3.5500000000000002E-3"/>
    <n v="2416.3465500000002"/>
    <n v="44561.853050000005"/>
    <m/>
    <n v="12161.05"/>
    <n v="6.5468497607472739E-2"/>
    <n v="8.3335027348415747E-2"/>
    <m/>
    <n v="56722.903050000008"/>
    <m/>
    <n v="19468"/>
    <n v="19840"/>
    <n v="39308"/>
    <m/>
    <n v="33506.089999999997"/>
    <n v="3542.7"/>
    <n v="29963.389999999996"/>
    <m/>
    <n v="0.76227205657881336"/>
    <m/>
    <n v="37"/>
    <n v="154"/>
    <n v="417"/>
    <n v="608"/>
    <m/>
    <n v="55.66"/>
    <n v="133.33000000000001"/>
    <n v="364.89"/>
    <n v="553.88"/>
    <m/>
    <n v="0.91098684210526315"/>
    <m/>
    <n v="87240.173050000012"/>
    <n v="6209517.1900000004"/>
    <m/>
    <m/>
    <m/>
    <m/>
    <m/>
    <m/>
    <m/>
  </r>
  <r>
    <x v="22"/>
    <n v="84628"/>
    <n v="400470"/>
    <n v="485098"/>
    <m/>
    <n v="38934"/>
    <n v="171810"/>
    <n v="210744"/>
    <m/>
    <n v="123562"/>
    <n v="572280"/>
    <n v="695842"/>
    <m/>
    <n v="6.8500000000000005E-2"/>
    <n v="33229.213000000003"/>
    <n v="4.65E-2"/>
    <n v="9799.5959999999995"/>
    <n v="3.5500000000000002E-3"/>
    <n v="2470.2391000000002"/>
    <n v="45499.0481"/>
    <m/>
    <n v="12263.58"/>
    <n v="6.538703915544046E-2"/>
    <n v="8.3011126232679255E-2"/>
    <m/>
    <n v="57762.628100000002"/>
    <m/>
    <n v="18110"/>
    <n v="20010"/>
    <n v="38120"/>
    <m/>
    <n v="33846.92"/>
    <n v="3209.79"/>
    <n v="30637.129999999997"/>
    <m/>
    <n v="0.80370225603357814"/>
    <m/>
    <n v="85"/>
    <n v="232"/>
    <n v="537"/>
    <n v="854"/>
    <m/>
    <n v="95.69"/>
    <n v="198.36"/>
    <n v="464.94"/>
    <n v="758.99"/>
    <m/>
    <n v="0.88874707259953167"/>
    <m/>
    <n v="89158.748100000012"/>
    <n v="9357630.4399999995"/>
    <m/>
    <m/>
    <m/>
    <m/>
    <m/>
    <m/>
    <m/>
  </r>
  <r>
    <x v="23"/>
    <n v="52916"/>
    <n v="259200"/>
    <n v="312116"/>
    <m/>
    <n v="20721"/>
    <n v="119760"/>
    <n v="140481"/>
    <m/>
    <n v="73637"/>
    <n v="378960"/>
    <n v="452597"/>
    <m/>
    <n v="6.8500000000000005E-2"/>
    <n v="21379.946"/>
    <n v="4.65E-2"/>
    <n v="6532.3665000000001"/>
    <n v="3.5500000000000002E-3"/>
    <n v="1606.7193500000001"/>
    <n v="29519.031849999999"/>
    <m/>
    <n v="10587.44"/>
    <n v="6.5221448330413143E-2"/>
    <n v="8.8614091233481448E-2"/>
    <m/>
    <n v="40106.471850000002"/>
    <m/>
    <n v="1928"/>
    <n v="22492"/>
    <n v="24420"/>
    <m/>
    <n v="26604.1"/>
    <n v="8042.17"/>
    <n v="18561.93"/>
    <m/>
    <n v="0.7601117936117936"/>
    <m/>
    <n v="37"/>
    <n v="154"/>
    <n v="417"/>
    <n v="608"/>
    <m/>
    <n v="55.66"/>
    <n v="133.33000000000001"/>
    <n v="364.89"/>
    <n v="553.88"/>
    <m/>
    <n v="0.91098684210526315"/>
    <m/>
    <n v="59222.281849999999"/>
    <m/>
    <m/>
    <m/>
    <m/>
    <m/>
    <m/>
    <m/>
    <m/>
  </r>
  <r>
    <x v="24"/>
    <n v="83413"/>
    <n v="405660"/>
    <n v="489073"/>
    <m/>
    <n v="34592"/>
    <n v="171840"/>
    <n v="206432"/>
    <m/>
    <n v="118005"/>
    <n v="577500"/>
    <n v="695505"/>
    <m/>
    <n v="6.8500000000000005E-2"/>
    <n v="33501.500500000002"/>
    <n v="4.65E-2"/>
    <n v="9599.0879999999997"/>
    <n v="3.5500000000000002E-3"/>
    <n v="2469.0427500000001"/>
    <n v="45569.631249999999"/>
    <m/>
    <n v="12318.03"/>
    <n v="6.5520206540571238E-2"/>
    <n v="8.3231121631045069E-2"/>
    <m/>
    <n v="57887.661249999997"/>
    <m/>
    <n v="21930"/>
    <n v="21790"/>
    <n v="43720"/>
    <m/>
    <n v="37607"/>
    <n v="5411.84"/>
    <n v="32195.16"/>
    <m/>
    <n v="0.73639432753888379"/>
    <m/>
    <n v="37"/>
    <n v="154"/>
    <n v="417"/>
    <n v="608"/>
    <m/>
    <n v="55.66"/>
    <n v="133.33000000000001"/>
    <n v="364.89"/>
    <n v="553.88"/>
    <m/>
    <n v="0.91098684210526315"/>
    <m/>
    <n v="90636.701249999998"/>
    <n v="5929817.7400000002"/>
    <m/>
    <m/>
    <m/>
    <m/>
    <m/>
    <m/>
    <m/>
  </r>
  <r>
    <x v="25"/>
    <n v="88574"/>
    <n v="422730"/>
    <n v="511304"/>
    <m/>
    <n v="38257"/>
    <n v="158040"/>
    <n v="196297"/>
    <m/>
    <n v="126831"/>
    <n v="580770"/>
    <n v="707601"/>
    <m/>
    <n v="6.8500000000000005E-2"/>
    <n v="35024.324000000001"/>
    <n v="4.65E-2"/>
    <n v="9127.8104999999996"/>
    <n v="3.5500000000000002E-3"/>
    <n v="2511.9835499999999"/>
    <n v="46664.118049999997"/>
    <m/>
    <n v="15894.28"/>
    <n v="6.5946936267755413E-2"/>
    <n v="8.8409143076394747E-2"/>
    <m/>
    <n v="62558.398049999996"/>
    <m/>
    <n v="22050"/>
    <n v="34430"/>
    <n v="56480"/>
    <m/>
    <n v="44751.26"/>
    <n v="14991.29"/>
    <n v="29759.97"/>
    <m/>
    <n v="0.5269116501416431"/>
    <m/>
    <n v="50"/>
    <n v="134"/>
    <n v="459"/>
    <n v="643"/>
    <m/>
    <n v="66.52"/>
    <n v="116.65"/>
    <n v="399.91"/>
    <n v="583.08000000000004"/>
    <m/>
    <n v="0.9068118195956455"/>
    <m/>
    <n v="92901.448049999992"/>
    <n v="5699126.3499999996"/>
    <m/>
    <m/>
    <m/>
    <m/>
    <m/>
    <m/>
    <m/>
  </r>
  <r>
    <x v="26"/>
    <n v="82188"/>
    <n v="390480"/>
    <n v="472668"/>
    <m/>
    <n v="38257"/>
    <n v="158040"/>
    <n v="196297"/>
    <m/>
    <n v="120445"/>
    <n v="548520"/>
    <n v="668965"/>
    <m/>
    <n v="6.8500000000000005E-2"/>
    <n v="32377.758000000002"/>
    <n v="4.65E-2"/>
    <n v="9127.8104999999996"/>
    <n v="3.5500000000000002E-3"/>
    <n v="2374.82575"/>
    <n v="43880.394249999998"/>
    <m/>
    <n v="15491.18"/>
    <n v="6.5594454493134918E-2"/>
    <n v="8.875139095468372E-2"/>
    <m/>
    <n v="59371.574249999998"/>
    <m/>
    <n v="32580"/>
    <n v="48430"/>
    <n v="81010"/>
    <m/>
    <n v="62767.86"/>
    <n v="24865.89"/>
    <n v="37901.97"/>
    <m/>
    <n v="0.46786779409949392"/>
    <m/>
    <n v="37"/>
    <n v="154"/>
    <n v="417"/>
    <n v="608"/>
    <m/>
    <n v="55.66"/>
    <n v="133.33000000000001"/>
    <n v="364.89"/>
    <n v="553.88"/>
    <m/>
    <n v="0.91098684210526315"/>
    <m/>
    <n v="97827.424250000011"/>
    <n v="5463398.7300000004"/>
    <m/>
    <m/>
    <m/>
    <m/>
    <m/>
    <m/>
    <m/>
  </r>
  <r>
    <x v="27"/>
    <n v="64454"/>
    <n v="304470"/>
    <n v="368924"/>
    <m/>
    <n v="37127"/>
    <n v="141210"/>
    <n v="178337"/>
    <m/>
    <n v="101581"/>
    <n v="445680"/>
    <n v="547261"/>
    <m/>
    <n v="6.8500000000000005E-2"/>
    <n v="25271.294000000002"/>
    <n v="4.65E-2"/>
    <n v="8292.6705000000002"/>
    <n v="3.5500000000000002E-3"/>
    <n v="1942.77655"/>
    <n v="35506.741050000004"/>
    <m/>
    <n v="14424.02"/>
    <n v="6.4880817471005617E-2"/>
    <n v="9.1237564982704786E-2"/>
    <m/>
    <n v="49930.761050000001"/>
    <m/>
    <n v="55880"/>
    <n v="41650"/>
    <n v="97530"/>
    <m/>
    <n v="77663.25"/>
    <n v="36650.32"/>
    <n v="41012.93"/>
    <m/>
    <n v="0.42051604634471446"/>
    <m/>
    <n v="37"/>
    <n v="154"/>
    <n v="417"/>
    <n v="608"/>
    <m/>
    <n v="55.66"/>
    <n v="133.33000000000001"/>
    <n v="364.89"/>
    <n v="553.88"/>
    <m/>
    <n v="0.91098684210526315"/>
    <m/>
    <n v="91497.571049999999"/>
    <n v="4365583.8600000003"/>
    <m/>
    <m/>
    <m/>
    <m/>
    <m/>
    <m/>
    <m/>
  </r>
  <r>
    <x v="28"/>
    <n v="954904"/>
    <n v="4585440"/>
    <n v="5540344"/>
    <m/>
    <n v="420055"/>
    <n v="2020740"/>
    <n v="2440795"/>
    <m/>
    <n v="1374959"/>
    <n v="6606180"/>
    <n v="7981139"/>
    <m/>
    <n v="6.8500000000000005E-2"/>
    <n v="379513.56400000001"/>
    <n v="4.6499999999999993E-2"/>
    <n v="113496.9675"/>
    <n v="3.5499999999999998E-3"/>
    <n v="28333.043450000001"/>
    <n v="521343.57495000004"/>
    <m/>
    <n v="165614.37"/>
    <n v="6.5321951534737091E-2"/>
    <n v="8.6072670197825149E-2"/>
    <m/>
    <n v="686957.94494999992"/>
    <m/>
    <n v="414920"/>
    <n v="451650"/>
    <n v="866570"/>
    <m/>
    <n v="681527.95"/>
    <n v="204443.36"/>
    <n v="477084.58999999991"/>
    <m/>
    <n v="0.55054362601982521"/>
    <m/>
    <n v="536"/>
    <n v="2003"/>
    <n v="5070"/>
    <n v="7609"/>
    <m/>
    <n v="744.67999999999984"/>
    <n v="1729.1799999999998"/>
    <n v="4433.7199999999993"/>
    <n v="6907.579999999999"/>
    <m/>
    <n v="0.90781705874622143"/>
    <m/>
    <n v="1170950.1149499998"/>
    <n v="69219240.719999999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n v="89622"/>
    <n v="427830"/>
    <n v="517452"/>
    <m/>
    <n v="42817"/>
    <n v="154950"/>
    <n v="197767"/>
    <m/>
    <n v="132439"/>
    <n v="582780"/>
    <n v="715219"/>
    <m/>
    <n v="6.4799999999999996E-2"/>
    <n v="33530.889599999995"/>
    <n v="4.5370000000000001E-2"/>
    <n v="8972.6887900000002"/>
    <n v="3.5500000000000002E-3"/>
    <n v="2539.02745"/>
    <n v="45042.605839999997"/>
    <m/>
    <n v="16425.169999999998"/>
    <n v="6.2977361954869762E-2"/>
    <n v="8.5942593583224147E-2"/>
    <m/>
    <n v="61467.775839999995"/>
    <m/>
    <n v="45740"/>
    <n v="78300"/>
    <n v="124040"/>
    <m/>
    <n v="94725.15"/>
    <n v="36739.71"/>
    <n v="57985.439999999995"/>
    <m/>
    <n v="0.4674737181554337"/>
    <m/>
    <n v="118"/>
    <n v="223"/>
    <n v="291"/>
    <n v="632"/>
    <m/>
    <n v="123.21"/>
    <n v="190.86"/>
    <n v="259.83"/>
    <n v="573.9"/>
    <m/>
    <n v="0.90806962025316451"/>
    <m/>
    <n v="120027.11583999998"/>
    <n v="5503655.54"/>
    <m/>
    <m/>
    <m/>
    <m/>
    <m/>
    <m/>
    <m/>
  </r>
  <r>
    <x v="30"/>
    <n v="85702"/>
    <n v="416940"/>
    <n v="502642"/>
    <m/>
    <n v="44529"/>
    <n v="185340"/>
    <n v="229869"/>
    <m/>
    <n v="130231"/>
    <n v="602280"/>
    <n v="732511"/>
    <m/>
    <n v="6.4799999999999996E-2"/>
    <n v="32571.201599999997"/>
    <n v="4.5370000000000001E-2"/>
    <n v="10429.15653"/>
    <n v="3.5500000000000002E-3"/>
    <n v="2600.4140500000003"/>
    <n v="45600.772179999993"/>
    <m/>
    <n v="21510.62"/>
    <n v="6.2252679045092831E-2"/>
    <n v="9.1618272189769159E-2"/>
    <m/>
    <n v="67111.392179999995"/>
    <m/>
    <n v="30939"/>
    <n v="64200"/>
    <n v="95139"/>
    <m/>
    <n v="84463.03"/>
    <n v="31992.25"/>
    <n v="52470.78"/>
    <m/>
    <n v="0.55151704348374486"/>
    <m/>
    <n v="51"/>
    <n v="163"/>
    <n v="413"/>
    <n v="627"/>
    <m/>
    <n v="67.72"/>
    <n v="142.05000000000001"/>
    <n v="364.22"/>
    <n v="573.99"/>
    <m/>
    <n v="0.91545454545454552"/>
    <m/>
    <n v="120156.16218"/>
    <n v="6740950.8499999996"/>
    <m/>
    <m/>
    <m/>
    <m/>
    <m/>
    <m/>
    <m/>
  </r>
  <r>
    <x v="31"/>
    <n v="89886"/>
    <n v="435390"/>
    <n v="525276"/>
    <m/>
    <n v="44852"/>
    <n v="191730"/>
    <n v="236582"/>
    <m/>
    <n v="134738"/>
    <n v="627120"/>
    <n v="761858"/>
    <m/>
    <n v="6.4799999999999996E-2"/>
    <n v="34037.8848"/>
    <n v="4.5370000000000001E-2"/>
    <n v="10733.725340000001"/>
    <n v="3.5500000000000002E-3"/>
    <n v="2704.5959000000003"/>
    <n v="47476.206040000005"/>
    <m/>
    <n v="21352.2"/>
    <n v="6.2316345093180098E-2"/>
    <n v="9.0342827718551233E-2"/>
    <m/>
    <n v="68828.406040000002"/>
    <m/>
    <n v="37540"/>
    <n v="64680"/>
    <n v="102220"/>
    <m/>
    <n v="66919.100000000006"/>
    <n v="31595.82"/>
    <n v="35323.280000000006"/>
    <m/>
    <n v="0.34556133828996288"/>
    <m/>
    <n v="51"/>
    <n v="163"/>
    <n v="413"/>
    <n v="627"/>
    <m/>
    <n v="67.760000000000005"/>
    <n v="142.19"/>
    <n v="364.99"/>
    <n v="574.94000000000005"/>
    <m/>
    <n v="0.9169696969696971"/>
    <m/>
    <n v="104726.62604"/>
    <n v="7174660.25"/>
    <m/>
    <m/>
    <m/>
    <m/>
    <m/>
    <m/>
    <m/>
  </r>
  <r>
    <x v="32"/>
    <n v="86322"/>
    <n v="423990"/>
    <n v="510312"/>
    <m/>
    <n v="37636"/>
    <n v="169440"/>
    <n v="207076"/>
    <m/>
    <n v="123958"/>
    <n v="593430"/>
    <n v="717388"/>
    <m/>
    <n v="6.4799999999999996E-2"/>
    <n v="33068.217599999996"/>
    <n v="4.5370000000000001E-2"/>
    <n v="9395.0381199999993"/>
    <n v="3.5500000000000002E-3"/>
    <n v="2546.7274000000002"/>
    <n v="45009.983119999997"/>
    <m/>
    <n v="17238.96"/>
    <n v="6.2741477582563404E-2"/>
    <n v="8.6771653721556527E-2"/>
    <m/>
    <n v="62248.943119999996"/>
    <m/>
    <n v="41330"/>
    <n v="23670"/>
    <n v="65000"/>
    <m/>
    <n v="46186.7"/>
    <n v="11509"/>
    <n v="34677.699999999997"/>
    <m/>
    <n v="0.53350307692307686"/>
    <m/>
    <n v="46"/>
    <n v="266"/>
    <n v="366"/>
    <n v="678"/>
    <m/>
    <n v="63.55"/>
    <n v="228.92"/>
    <n v="325.41000000000003"/>
    <n v="617.88"/>
    <m/>
    <n v="0.91132743362831858"/>
    <m/>
    <n v="97544.523119999998"/>
    <n v="7136916.5099999998"/>
    <m/>
    <m/>
    <m/>
    <m/>
    <m/>
    <m/>
    <m/>
  </r>
  <r>
    <x v="33"/>
    <n v="82745"/>
    <n v="389550"/>
    <n v="472295"/>
    <m/>
    <n v="33745"/>
    <n v="164280"/>
    <n v="198025"/>
    <m/>
    <n v="116490"/>
    <n v="553830"/>
    <n v="670320"/>
    <m/>
    <n v="6.4799999999999996E-2"/>
    <n v="30604.715999999997"/>
    <n v="4.5370000000000001E-2"/>
    <n v="8984.3942499999994"/>
    <n v="3.5500000000000002E-3"/>
    <n v="2379.636"/>
    <n v="41968.746249999997"/>
    <m/>
    <n v="16656.66"/>
    <n v="6.2610016484664036E-2"/>
    <n v="8.745883495942236E-2"/>
    <m/>
    <n v="58625.40625"/>
    <m/>
    <n v="11060"/>
    <n v="21280"/>
    <n v="32340"/>
    <m/>
    <n v="27155.99"/>
    <n v="5796.48"/>
    <n v="21359.510000000002"/>
    <m/>
    <n v="0.66046722325293761"/>
    <m/>
    <n v="52"/>
    <n v="174"/>
    <n v="410"/>
    <n v="636"/>
    <m/>
    <n v="68.61"/>
    <n v="151.44999999999999"/>
    <n v="361.46"/>
    <n v="581.52"/>
    <m/>
    <n v="0.91433962264150936"/>
    <m/>
    <n v="80566.436250000013"/>
    <n v="5241856.62"/>
    <m/>
    <m/>
    <m/>
    <m/>
    <m/>
    <m/>
    <m/>
  </r>
  <r>
    <x v="34"/>
    <n v="76936"/>
    <n v="371910"/>
    <n v="448846"/>
    <m/>
    <n v="45149"/>
    <n v="188580"/>
    <n v="233729"/>
    <m/>
    <n v="122085"/>
    <n v="560490"/>
    <n v="682575"/>
    <m/>
    <n v="6.4799999999999996E-2"/>
    <n v="29085.220799999999"/>
    <n v="4.5370000000000001E-2"/>
    <n v="10604.284729999999"/>
    <n v="3.5500000000000002E-3"/>
    <n v="2423.1412500000001"/>
    <n v="42112.646779999995"/>
    <m/>
    <n v="16803.79"/>
    <n v="6.1696731904918867E-2"/>
    <n v="8.6314964333589705E-2"/>
    <m/>
    <n v="58916.436779999996"/>
    <m/>
    <n v="17060"/>
    <n v="17230"/>
    <n v="34290"/>
    <m/>
    <n v="24463.15"/>
    <n v="3754.4450000000002"/>
    <n v="20708.705000000002"/>
    <m/>
    <n v="0.60392840478273557"/>
    <m/>
    <n v="53"/>
    <n v="181"/>
    <n v="492"/>
    <n v="726"/>
    <m/>
    <n v="69.45"/>
    <n v="157.35"/>
    <n v="431.51"/>
    <n v="658.31"/>
    <m/>
    <n v="0.90676308539944894"/>
    <m/>
    <n v="80283.451780000003"/>
    <n v="5832588.5300000003"/>
    <m/>
    <m/>
    <m/>
    <m/>
    <m/>
    <m/>
    <m/>
  </r>
  <r>
    <x v="35"/>
    <n v="91739"/>
    <n v="443490"/>
    <n v="535229"/>
    <m/>
    <n v="48754"/>
    <n v="173160"/>
    <n v="221914"/>
    <m/>
    <n v="140493"/>
    <n v="616650"/>
    <n v="757143"/>
    <m/>
    <n v="6.4799999999999996E-2"/>
    <n v="34682.839199999995"/>
    <n v="4.5370000000000001E-2"/>
    <n v="10068.23818"/>
    <n v="3.5500000000000002E-3"/>
    <n v="2687.8576500000004"/>
    <n v="47438.935029999993"/>
    <m/>
    <n v="17349.87"/>
    <n v="6.265518538770086E-2"/>
    <n v="8.557010370564079E-2"/>
    <m/>
    <n v="64788.805029999989"/>
    <m/>
    <n v="19170"/>
    <n v="17980"/>
    <n v="37150"/>
    <m/>
    <n v="27504.560000000001"/>
    <n v="2509.79"/>
    <n v="24994.77"/>
    <m/>
    <n v="0.67280672947510101"/>
    <m/>
    <n v="309"/>
    <n v="351"/>
    <n v="1377"/>
    <n v="2037"/>
    <m/>
    <n v="277.41000000000003"/>
    <n v="300.49"/>
    <n v="1184.3900000000001"/>
    <n v="1762.2900000000002"/>
    <m/>
    <n v="0.86513991163475712"/>
    <m/>
    <n v="91545.865029999986"/>
    <n v="10521480.52"/>
    <m/>
    <m/>
    <m/>
    <m/>
    <m/>
    <m/>
    <m/>
  </r>
  <r>
    <x v="36"/>
    <n v="56245"/>
    <n v="264600"/>
    <n v="320845"/>
    <m/>
    <n v="30792"/>
    <n v="128760"/>
    <n v="159552"/>
    <m/>
    <n v="87037"/>
    <n v="393360"/>
    <n v="480397"/>
    <m/>
    <n v="6.4799999999999996E-2"/>
    <n v="20790.755999999998"/>
    <n v="4.5370000000000001E-2"/>
    <n v="7238.8742400000001"/>
    <n v="3.5500000000000002E-3"/>
    <n v="1705.4093500000001"/>
    <n v="29735.03959"/>
    <m/>
    <n v="15707.57"/>
    <n v="6.1896805329758511E-2"/>
    <n v="9.4593866302245852E-2"/>
    <m/>
    <n v="45442.60959"/>
    <m/>
    <n v="2869"/>
    <n v="15650"/>
    <n v="18519"/>
    <m/>
    <n v="20782.45"/>
    <n v="2643.42"/>
    <n v="18139.03"/>
    <m/>
    <n v="0.97948215346400991"/>
    <m/>
    <n v="19"/>
    <n v="100"/>
    <n v="383"/>
    <n v="502"/>
    <m/>
    <n v="40.81"/>
    <n v="89.13"/>
    <n v="339.73"/>
    <n v="469.67"/>
    <m/>
    <n v="0.93559760956175297"/>
    <m/>
    <n v="64051.309589999997"/>
    <m/>
    <m/>
    <m/>
    <m/>
    <m/>
    <m/>
    <m/>
    <m/>
  </r>
  <r>
    <x v="37"/>
    <n v="90240"/>
    <n v="433980"/>
    <n v="524220"/>
    <m/>
    <n v="43347"/>
    <n v="171090"/>
    <n v="214437"/>
    <m/>
    <n v="133587"/>
    <n v="605070"/>
    <n v="738657"/>
    <m/>
    <n v="6.4799999999999996E-2"/>
    <n v="33969.455999999998"/>
    <n v="4.5370000000000001E-2"/>
    <n v="9729.0066900000002"/>
    <n v="3.5500000000000002E-3"/>
    <n v="2622.2323500000002"/>
    <n v="46320.695039999999"/>
    <m/>
    <n v="22238.33"/>
    <n v="6.2709342820822106E-2"/>
    <n v="9.2815779231767939E-2"/>
    <m/>
    <n v="68559.025040000008"/>
    <m/>
    <n v="23151"/>
    <n v="20680"/>
    <n v="43831"/>
    <m/>
    <n v="30898.03"/>
    <n v="4900.6499999999996"/>
    <n v="25997.379999999997"/>
    <m/>
    <n v="0.59312769501038076"/>
    <m/>
    <n v="53"/>
    <n v="208"/>
    <n v="383"/>
    <n v="644"/>
    <m/>
    <n v="69.45"/>
    <n v="180.08"/>
    <n v="339.73"/>
    <n v="589.26"/>
    <m/>
    <n v="0.91500000000000004"/>
    <m/>
    <n v="95145.665040000007"/>
    <n v="6782728.54"/>
    <m/>
    <m/>
    <m/>
    <m/>
    <m/>
    <m/>
    <m/>
  </r>
  <r>
    <x v="38"/>
    <n v="90182"/>
    <n v="461400"/>
    <n v="551582"/>
    <m/>
    <n v="42451"/>
    <n v="188100"/>
    <n v="230551"/>
    <m/>
    <n v="132633"/>
    <n v="649500"/>
    <n v="782133"/>
    <m/>
    <n v="6.4799999999999996E-2"/>
    <n v="35742.513599999998"/>
    <n v="4.5370000000000001E-2"/>
    <n v="10460.09887"/>
    <n v="3.5500000000000002E-3"/>
    <n v="2776.57215"/>
    <n v="48979.18462"/>
    <m/>
    <n v="18525.88"/>
    <n v="6.2622577771299773E-2"/>
    <n v="8.6308932905273153E-2"/>
    <m/>
    <n v="67505.064620000005"/>
    <m/>
    <n v="27080"/>
    <n v="24130"/>
    <n v="51210"/>
    <m/>
    <n v="35339.870000000003"/>
    <n v="4788.96"/>
    <n v="30550.910000000003"/>
    <m/>
    <n v="0.59658094122241756"/>
    <m/>
    <n v="59"/>
    <n v="254"/>
    <n v="503"/>
    <n v="816"/>
    <m/>
    <n v="74.5"/>
    <n v="218.82"/>
    <n v="440.77"/>
    <n v="734.08999999999992"/>
    <m/>
    <n v="0.89962009803921561"/>
    <m/>
    <n v="98790.064620000005"/>
    <n v="7572275.4299999997"/>
    <m/>
    <m/>
    <m/>
    <m/>
    <m/>
    <m/>
    <m/>
  </r>
  <r>
    <x v="39"/>
    <n v="84876"/>
    <n v="430260"/>
    <n v="515136"/>
    <m/>
    <n v="40940"/>
    <n v="187320"/>
    <n v="228260"/>
    <m/>
    <n v="125816"/>
    <n v="617580"/>
    <n v="743396"/>
    <m/>
    <n v="6.4799999999999996E-2"/>
    <n v="33380.8128"/>
    <n v="4.5370000000000001E-2"/>
    <n v="10356.156199999999"/>
    <n v="3.5500000000000002E-3"/>
    <n v="2639.0558000000001"/>
    <n v="46376.024799999999"/>
    <m/>
    <n v="17774.12"/>
    <n v="6.2384011751475663E-2"/>
    <n v="8.6293368272091858E-2"/>
    <m/>
    <n v="64150.144799999995"/>
    <m/>
    <n v="31840"/>
    <n v="63350"/>
    <n v="95190"/>
    <m/>
    <n v="45209.23"/>
    <n v="14723.11"/>
    <n v="30486.120000000003"/>
    <m/>
    <n v="0.32026599432713521"/>
    <m/>
    <n v="51"/>
    <n v="211"/>
    <n v="524"/>
    <n v="786"/>
    <m/>
    <n v="67.760000000000005"/>
    <n v="182.6"/>
    <n v="458.46"/>
    <n v="708.81999999999994"/>
    <m/>
    <n v="0.90180661577608134"/>
    <m/>
    <n v="95345.084800000011"/>
    <n v="6991194.6399999997"/>
    <m/>
    <m/>
    <m/>
    <m/>
    <m/>
    <m/>
    <m/>
  </r>
  <r>
    <x v="40"/>
    <n v="67924"/>
    <n v="323040"/>
    <n v="390964"/>
    <m/>
    <n v="37298"/>
    <n v="156390"/>
    <n v="193688"/>
    <m/>
    <n v="105222"/>
    <n v="479430"/>
    <n v="584652"/>
    <m/>
    <n v="6.4799999999999996E-2"/>
    <n v="25334.467199999999"/>
    <n v="4.5370000000000001E-2"/>
    <n v="8787.6245600000002"/>
    <n v="3.5500000000000002E-3"/>
    <n v="2075.5146"/>
    <n v="36197.606359999998"/>
    <m/>
    <n v="10587.44"/>
    <n v="6.1913080533377116E-2"/>
    <n v="8.0022041077427261E-2"/>
    <m/>
    <n v="46785.04636"/>
    <m/>
    <n v="60672"/>
    <n v="54398"/>
    <n v="115070"/>
    <m/>
    <n v="65318.96"/>
    <n v="22161.91"/>
    <n v="43157.05"/>
    <m/>
    <n v="0.37505040410185109"/>
    <m/>
    <n v="51"/>
    <n v="211"/>
    <n v="440"/>
    <n v="702"/>
    <m/>
    <n v="67.760000000000005"/>
    <n v="182.6"/>
    <n v="387.73"/>
    <n v="638.09"/>
    <m/>
    <n v="0.908960113960114"/>
    <m/>
    <n v="90580.186359999992"/>
    <n v="4925353.09"/>
    <m/>
    <m/>
    <m/>
    <m/>
    <m/>
    <m/>
    <m/>
  </r>
  <r>
    <x v="41"/>
    <n v="992419"/>
    <n v="4822380"/>
    <n v="5814799"/>
    <m/>
    <n v="492310"/>
    <n v="2059140"/>
    <n v="2551450"/>
    <m/>
    <n v="1484729"/>
    <n v="6881520"/>
    <n v="8366249"/>
    <m/>
    <n v="6.4799999999999983E-2"/>
    <n v="376798.97519999999"/>
    <n v="4.5370000000000014E-2"/>
    <n v="115759.28649999999"/>
    <n v="3.5499999999999998E-3"/>
    <n v="29700.183950000002"/>
    <n v="522258.44565000001"/>
    <m/>
    <n v="212170.61"/>
    <n v="6.2424444413500008E-2"/>
    <n v="8.7784747459703868E-2"/>
    <m/>
    <n v="734429.05564999999"/>
    <m/>
    <n v="348451"/>
    <n v="465548"/>
    <n v="813999"/>
    <m/>
    <n v="568966.22"/>
    <n v="173115.54500000001"/>
    <n v="395850.67499999999"/>
    <m/>
    <n v="0.48630363796515719"/>
    <m/>
    <n v="913"/>
    <n v="2505"/>
    <n v="5995"/>
    <n v="9413"/>
    <m/>
    <n v="1057.99"/>
    <n v="2166.54"/>
    <n v="5258.2300000000014"/>
    <n v="8482.760000000002"/>
    <m/>
    <n v="0.90117497078508468"/>
    <m/>
    <n v="1138762.4906500001"/>
    <n v="74423660.519999996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n v="90508"/>
    <n v="416940"/>
    <n v="507448"/>
    <m/>
    <n v="40896"/>
    <n v="169020"/>
    <n v="209916"/>
    <m/>
    <n v="131404"/>
    <n v="585960"/>
    <n v="717364"/>
    <m/>
    <n v="5.2490000000000002E-2"/>
    <n v="26635.945520000001"/>
    <n v="3.3480000000000003E-2"/>
    <n v="7027.9876800000002"/>
    <n v="3.5500000000000002E-3"/>
    <n v="2546.6422000000002"/>
    <n v="36210.575400000002"/>
    <m/>
    <n v="17332.21"/>
    <n v="5.0477268722712597E-2"/>
    <n v="7.4638238606899707E-2"/>
    <m/>
    <n v="53542.785400000001"/>
    <m/>
    <n v="33624"/>
    <n v="60258"/>
    <n v="93882"/>
    <m/>
    <n v="63263.61"/>
    <n v="23921.279999999999"/>
    <n v="39342.33"/>
    <m/>
    <n v="0.41906148143414074"/>
    <m/>
    <n v="36"/>
    <n v="73"/>
    <n v="293"/>
    <n v="402"/>
    <m/>
    <n v="55.14"/>
    <n v="66.39"/>
    <n v="263.93"/>
    <n v="385.46000000000004"/>
    <m/>
    <n v="0.95885572139303488"/>
    <m/>
    <n v="93270.575400000016"/>
    <n v="7374145.2800000003"/>
    <m/>
    <m/>
    <m/>
    <m/>
    <m/>
    <m/>
    <m/>
  </r>
  <r>
    <x v="43"/>
    <n v="84507"/>
    <n v="409890"/>
    <n v="494397"/>
    <m/>
    <n v="34979"/>
    <n v="149490"/>
    <n v="184469"/>
    <m/>
    <n v="119486"/>
    <n v="559380"/>
    <n v="678866"/>
    <m/>
    <n v="5.2490000000000002E-2"/>
    <n v="25950.898530000002"/>
    <n v="3.3480000000000003E-2"/>
    <n v="6176.0221200000005"/>
    <n v="3.5500000000000002E-3"/>
    <n v="2409.9743000000003"/>
    <n v="34536.894950000002"/>
    <m/>
    <n v="16929.95"/>
    <n v="5.0874391927125534E-2"/>
    <n v="7.5812965960881828E-2"/>
    <m/>
    <n v="51466.844949999999"/>
    <m/>
    <n v="48544"/>
    <n v="47603"/>
    <n v="96147"/>
    <m/>
    <n v="60426.61"/>
    <n v="21257.73"/>
    <n v="39168.880000000005"/>
    <m/>
    <n v="0.40738535783747809"/>
    <m/>
    <n v="48"/>
    <n v="179"/>
    <n v="402"/>
    <n v="629"/>
    <m/>
    <n v="65.239999999999995"/>
    <n v="155.66"/>
    <n v="355.73"/>
    <n v="576.63"/>
    <m/>
    <n v="0.91674085850556442"/>
    <m/>
    <n v="91212.354950000008"/>
    <n v="6642708.2800000003"/>
    <m/>
    <m/>
    <m/>
    <m/>
    <m/>
    <m/>
    <m/>
  </r>
  <r>
    <x v="44"/>
    <n v="87033"/>
    <n v="423210"/>
    <n v="510243"/>
    <m/>
    <n v="35215"/>
    <n v="165780"/>
    <n v="200995"/>
    <m/>
    <n v="122248"/>
    <n v="588990"/>
    <n v="711238"/>
    <m/>
    <n v="5.2490000000000002E-2"/>
    <n v="26782.655070000001"/>
    <n v="3.3480000000000003E-2"/>
    <n v="6729.3126000000002"/>
    <n v="3.5500000000000002E-3"/>
    <n v="2524.8949000000002"/>
    <n v="36036.862569999998"/>
    <m/>
    <n v="16979"/>
    <n v="5.0667796954043512E-2"/>
    <n v="7.4540255962139257E-2"/>
    <m/>
    <n v="53015.862569999998"/>
    <m/>
    <n v="34876"/>
    <n v="36952"/>
    <n v="71828"/>
    <m/>
    <n v="43594.44"/>
    <n v="11540.58"/>
    <n v="32053.86"/>
    <m/>
    <n v="0.44625856212062148"/>
    <m/>
    <n v="48"/>
    <n v="179"/>
    <n v="402"/>
    <n v="629"/>
    <m/>
    <n v="65.239999999999995"/>
    <n v="155.66"/>
    <n v="355.73"/>
    <n v="576.63"/>
    <m/>
    <n v="0.91674085850556442"/>
    <m/>
    <n v="85646.352570000003"/>
    <n v="6624464.3600000003"/>
    <m/>
    <m/>
    <m/>
    <m/>
    <m/>
    <m/>
    <m/>
  </r>
  <r>
    <x v="45"/>
    <n v="83697"/>
    <n v="411780"/>
    <n v="495477"/>
    <m/>
    <n v="34870"/>
    <n v="168570"/>
    <n v="203440"/>
    <m/>
    <n v="118567"/>
    <n v="580350"/>
    <n v="698917"/>
    <m/>
    <n v="5.2490000000000002E-2"/>
    <n v="26007.587729999999"/>
    <n v="3.3480000000000003E-2"/>
    <n v="6811.1712000000007"/>
    <n v="3.5500000000000002E-3"/>
    <n v="2481.15535"/>
    <n v="35299.914279999997"/>
    <m/>
    <n v="13514.81"/>
    <n v="5.0506589881201915E-2"/>
    <n v="6.9843378083520646E-2"/>
    <m/>
    <n v="48814.724279999995"/>
    <m/>
    <n v="20490"/>
    <n v="16942"/>
    <n v="37432"/>
    <m/>
    <n v="28943.63"/>
    <n v="9741.11"/>
    <n v="19202.52"/>
    <m/>
    <n v="0.51299743534943365"/>
    <m/>
    <n v="14"/>
    <n v="134"/>
    <n v="402"/>
    <n v="550"/>
    <m/>
    <n v="205.84"/>
    <n v="89.38"/>
    <n v="464.63"/>
    <n v="759.85"/>
    <m/>
    <n v="1.3815454545454546"/>
    <m/>
    <n v="68777.094280000005"/>
    <n v="6688968.6100000003"/>
    <m/>
    <s v="Pri vodi je od tega datuma dalje všteta omrežnina"/>
    <m/>
    <m/>
    <m/>
    <m/>
    <m/>
  </r>
  <r>
    <x v="46"/>
    <n v="79324"/>
    <n v="369150"/>
    <n v="448474"/>
    <m/>
    <n v="31336"/>
    <n v="158580"/>
    <n v="189916"/>
    <m/>
    <n v="110660"/>
    <n v="527730"/>
    <n v="638390"/>
    <m/>
    <n v="5.2490000000000002E-2"/>
    <n v="23540.400260000002"/>
    <n v="3.3480000000000003E-2"/>
    <n v="6358.3876800000007"/>
    <n v="3.5500000000000002E-3"/>
    <n v="2266.2845000000002"/>
    <n v="32165.072440000004"/>
    <m/>
    <n v="12774.22"/>
    <n v="5.0384674634627744E-2"/>
    <n v="7.0394731183132581E-2"/>
    <m/>
    <n v="44939.292440000005"/>
    <m/>
    <n v="15177"/>
    <n v="19665"/>
    <n v="34842"/>
    <m/>
    <n v="24242.79"/>
    <n v="4511.53"/>
    <n v="19731.260000000002"/>
    <m/>
    <n v="0.56630675621376503"/>
    <m/>
    <n v="44"/>
    <n v="178"/>
    <n v="402"/>
    <n v="624"/>
    <m/>
    <n v="225.85"/>
    <n v="118.73"/>
    <n v="464.63"/>
    <n v="809.21"/>
    <m/>
    <n v="1.2968108974358974"/>
    <m/>
    <n v="65479.762440000006"/>
    <n v="5600773.2000000002"/>
    <m/>
    <m/>
    <m/>
    <m/>
    <m/>
    <m/>
    <m/>
  </r>
  <r>
    <x v="47"/>
    <n v="78784"/>
    <n v="384060"/>
    <n v="462844"/>
    <m/>
    <n v="29797"/>
    <n v="158070"/>
    <n v="187867"/>
    <m/>
    <n v="108581"/>
    <n v="542130"/>
    <n v="650711"/>
    <m/>
    <n v="5.2490000000000002E-2"/>
    <n v="24294.681560000001"/>
    <n v="3.3480000000000003E-2"/>
    <n v="6289.7871600000008"/>
    <n v="3.5500000000000002E-3"/>
    <n v="2310.02405"/>
    <n v="32894.492769999997"/>
    <m/>
    <n v="13132.61"/>
    <n v="5.0551616262826352E-2"/>
    <n v="7.0733555710599638E-2"/>
    <m/>
    <n v="46027.102769999998"/>
    <m/>
    <n v="17575"/>
    <n v="17053"/>
    <n v="34628"/>
    <m/>
    <n v="19913.439999999999"/>
    <n v="2366.2600000000002"/>
    <n v="17547.18"/>
    <m/>
    <n v="0.50673385699433982"/>
    <m/>
    <n v="44"/>
    <n v="178"/>
    <n v="402"/>
    <n v="624"/>
    <m/>
    <n v="225.85"/>
    <n v="118.73"/>
    <n v="464.63"/>
    <n v="809.21"/>
    <m/>
    <n v="1.2968108974358974"/>
    <m/>
    <n v="64383.492769999997"/>
    <n v="5946659.7000000002"/>
    <m/>
    <m/>
    <m/>
    <m/>
    <m/>
    <m/>
    <m/>
  </r>
  <r>
    <x v="48"/>
    <n v="85199"/>
    <n v="400050"/>
    <n v="485249"/>
    <m/>
    <n v="32690"/>
    <n v="155610"/>
    <n v="188300"/>
    <m/>
    <n v="117889"/>
    <n v="555660"/>
    <n v="673549"/>
    <m/>
    <n v="5.2490000000000002E-2"/>
    <n v="25470.720010000001"/>
    <n v="3.3480000000000003E-2"/>
    <n v="6304.2840000000006"/>
    <n v="3.5500000000000002E-3"/>
    <n v="2391.0989500000001"/>
    <n v="34166.102960000004"/>
    <m/>
    <n v="13118.08"/>
    <n v="5.0725489845579168E-2"/>
    <n v="7.0201548751464268E-2"/>
    <m/>
    <n v="47284.182960000006"/>
    <m/>
    <n v="20869"/>
    <n v="12933"/>
    <n v="33802"/>
    <m/>
    <n v="19756.41"/>
    <n v="1955.68"/>
    <n v="17800.73"/>
    <m/>
    <n v="0.52661765576001418"/>
    <m/>
    <n v="36"/>
    <n v="151"/>
    <n v="292"/>
    <n v="479"/>
    <m/>
    <n v="220.51"/>
    <n v="100.72"/>
    <n v="391.26"/>
    <n v="712.49"/>
    <m/>
    <n v="1.4874530271398747"/>
    <m/>
    <n v="65797.402960000007"/>
    <n v="9269822.9100000001"/>
    <m/>
    <m/>
    <m/>
    <m/>
    <m/>
    <m/>
    <m/>
  </r>
  <r>
    <x v="49"/>
    <n v="48021"/>
    <n v="241470"/>
    <n v="289491"/>
    <m/>
    <n v="20829"/>
    <n v="127200"/>
    <n v="148029"/>
    <m/>
    <n v="68850"/>
    <n v="368670"/>
    <n v="437520"/>
    <m/>
    <n v="5.2490000000000002E-2"/>
    <n v="15195.382590000001"/>
    <n v="3.3480000000000003E-2"/>
    <n v="4956.0109200000006"/>
    <n v="3.5500000000000002E-3"/>
    <n v="1553.1960000000001"/>
    <n v="21704.589510000002"/>
    <m/>
    <n v="11390.73"/>
    <n v="4.9608222504114098E-2"/>
    <n v="7.5642986629182674E-2"/>
    <m/>
    <n v="33095.319510000001"/>
    <m/>
    <n v="523"/>
    <n v="10473"/>
    <n v="10996"/>
    <m/>
    <n v="14275.76"/>
    <n v="4224.71"/>
    <n v="10051.049999999999"/>
    <m/>
    <n v="0.91406420516551468"/>
    <m/>
    <n v="12"/>
    <n v="137.65600000000001"/>
    <n v="382"/>
    <n v="531.65599999999995"/>
    <m/>
    <n v="204.5"/>
    <n v="91.82"/>
    <n v="451.29"/>
    <n v="747.61"/>
    <m/>
    <n v="1.4061912213912757"/>
    <m/>
    <n v="43893.979510000005"/>
    <m/>
    <m/>
    <m/>
    <m/>
    <m/>
    <m/>
    <m/>
    <m/>
  </r>
  <r>
    <x v="50"/>
    <n v="86502"/>
    <n v="431370"/>
    <n v="517872"/>
    <m/>
    <n v="29015"/>
    <n v="178410"/>
    <n v="207425"/>
    <m/>
    <n v="115517"/>
    <n v="609780"/>
    <n v="725297"/>
    <m/>
    <n v="5.2490000000000002E-2"/>
    <n v="27183.101280000003"/>
    <n v="3.3480000000000003E-2"/>
    <n v="6944.5890000000009"/>
    <n v="3.5500000000000002E-3"/>
    <n v="2574.8043500000003"/>
    <n v="36702.494630000001"/>
    <m/>
    <n v="13365.79"/>
    <n v="5.0603400579348874E-2"/>
    <n v="6.9031423858088484E-2"/>
    <m/>
    <n v="50068.284630000002"/>
    <m/>
    <n v="12201.35"/>
    <n v="11604.13"/>
    <n v="23805.48"/>
    <m/>
    <n v="20723.060000000001"/>
    <n v="5416.58"/>
    <n v="15306.480000000001"/>
    <m/>
    <n v="0.64298136395485417"/>
    <m/>
    <n v="32"/>
    <n v="152"/>
    <n v="382"/>
    <n v="566"/>
    <m/>
    <n v="217.84"/>
    <n v="101.38"/>
    <n v="451.29"/>
    <n v="770.51"/>
    <m/>
    <n v="1.3613250883392225"/>
    <m/>
    <n v="66145.27463"/>
    <n v="6343992.29"/>
    <m/>
    <m/>
    <m/>
    <m/>
    <m/>
    <m/>
    <m/>
  </r>
  <r>
    <x v="51"/>
    <n v="89114"/>
    <n v="421860"/>
    <n v="510974"/>
    <m/>
    <n v="33773"/>
    <n v="183660"/>
    <n v="217433"/>
    <m/>
    <n v="122887"/>
    <n v="605520"/>
    <n v="728407"/>
    <m/>
    <n v="5.2490000000000002E-2"/>
    <n v="26821.025260000002"/>
    <n v="3.3480000000000003E-2"/>
    <n v="7279.6568400000006"/>
    <n v="3.5500000000000002E-3"/>
    <n v="2585.84485"/>
    <n v="36686.526950000007"/>
    <m/>
    <n v="16869.849999999999"/>
    <n v="5.0365423382806598E-2"/>
    <n v="7.3525346337967659E-2"/>
    <m/>
    <n v="53556.376950000005"/>
    <m/>
    <n v="11741.06"/>
    <n v="18774.189999999999"/>
    <n v="30515.25"/>
    <m/>
    <n v="27789.34"/>
    <n v="10827.68"/>
    <n v="16961.66"/>
    <m/>
    <n v="0.55584207896051974"/>
    <m/>
    <n v="36"/>
    <n v="155"/>
    <n v="381"/>
    <n v="572"/>
    <m/>
    <n v="220.51"/>
    <n v="103.39"/>
    <n v="450.63"/>
    <n v="774.53"/>
    <m/>
    <n v="1.3540734265734264"/>
    <m/>
    <n v="71292.566950000008"/>
    <n v="6016237.7999999998"/>
    <m/>
    <m/>
    <m/>
    <m/>
    <m/>
    <m/>
    <m/>
  </r>
  <r>
    <x v="52"/>
    <n v="80527"/>
    <n v="401370"/>
    <n v="481897"/>
    <m/>
    <n v="30825"/>
    <n v="188160"/>
    <n v="218985"/>
    <m/>
    <n v="111352"/>
    <n v="589530"/>
    <n v="700882"/>
    <m/>
    <n v="5.2490000000000002E-2"/>
    <n v="25294.773530000002"/>
    <n v="3.3480000000000003E-2"/>
    <n v="7331.6178000000009"/>
    <n v="3.5500000000000002E-3"/>
    <n v="2488.1311000000001"/>
    <n v="35114.522430000005"/>
    <m/>
    <n v="16851.28"/>
    <n v="5.0100476870571654E-2"/>
    <n v="7.4143439880036868E-2"/>
    <m/>
    <n v="51965.802430000003"/>
    <m/>
    <n v="18751.419999999998"/>
    <n v="39745.78"/>
    <n v="58497.2"/>
    <m/>
    <n v="39439.67"/>
    <n v="13959.27"/>
    <n v="25480.399999999998"/>
    <m/>
    <n v="0.4355832415910505"/>
    <m/>
    <n v="27"/>
    <n v="150"/>
    <n v="382"/>
    <n v="559"/>
    <m/>
    <n v="214.51"/>
    <n v="100.05"/>
    <n v="451.29"/>
    <n v="765.85"/>
    <m/>
    <n v="1.3700357781753132"/>
    <m/>
    <n v="78212.052430000011"/>
    <n v="5760575.0300000003"/>
    <m/>
    <m/>
    <m/>
    <m/>
    <m/>
    <m/>
    <m/>
  </r>
  <r>
    <x v="53"/>
    <n v="62762"/>
    <n v="314550"/>
    <n v="377312"/>
    <m/>
    <n v="26683"/>
    <n v="160200"/>
    <n v="186883"/>
    <m/>
    <n v="89445"/>
    <n v="474750"/>
    <n v="564195"/>
    <m/>
    <n v="5.2490000000000002E-2"/>
    <n v="19805.106879999999"/>
    <n v="3.3480000000000003E-2"/>
    <n v="6256.8428400000003"/>
    <n v="3.5500000000000002E-3"/>
    <n v="2002.8922500000001"/>
    <n v="28064.841970000001"/>
    <m/>
    <n v="15344.6"/>
    <n v="4.974315966997226E-2"/>
    <n v="7.694049392497275E-2"/>
    <m/>
    <n v="43409.44197"/>
    <m/>
    <n v="40596.019999999997"/>
    <n v="26976.57"/>
    <n v="67572.59"/>
    <m/>
    <n v="49906.92"/>
    <n v="21762.22"/>
    <n v="28144.699999999997"/>
    <m/>
    <n v="0.41651059993408568"/>
    <m/>
    <n v="27"/>
    <n v="150"/>
    <n v="382"/>
    <n v="559"/>
    <m/>
    <n v="214.51"/>
    <n v="100.05"/>
    <n v="451.29"/>
    <n v="765.85"/>
    <m/>
    <n v="1.3700357781753132"/>
    <m/>
    <n v="72319.991970000003"/>
    <n v="4166342.46"/>
    <m/>
    <m/>
    <m/>
    <m/>
    <m/>
    <m/>
    <m/>
  </r>
  <r>
    <x v="54"/>
    <n v="955978"/>
    <n v="4625700"/>
    <n v="5581678"/>
    <m/>
    <n v="380908"/>
    <n v="1962750"/>
    <n v="2343658"/>
    <m/>
    <n v="1336886"/>
    <n v="6588450"/>
    <n v="7925336"/>
    <m/>
    <n v="5.2490000000000002E-2"/>
    <n v="292982.27821999992"/>
    <n v="3.3480000000000003E-2"/>
    <n v="78465.669840000002"/>
    <n v="3.5499999999999998E-3"/>
    <n v="28134.942800000001"/>
    <n v="399582.89086000004"/>
    <m/>
    <n v="177603.13"/>
    <n v="5.0418416438116953E-2"/>
    <n v="7.2827955920102327E-2"/>
    <m/>
    <n v="577186.02086000005"/>
    <m/>
    <n v="274967.85000000003"/>
    <n v="318979.67"/>
    <n v="593947.5199999999"/>
    <m/>
    <n v="412275.68"/>
    <n v="131484.63"/>
    <n v="280791.05"/>
    <m/>
    <n v="0.47275397328033297"/>
    <m/>
    <n v="404"/>
    <n v="1816.6559999999999"/>
    <n v="4504"/>
    <n v="6724.6559999999999"/>
    <m/>
    <n v="2135.54"/>
    <n v="1301.96"/>
    <n v="5016.33"/>
    <n v="8453.83"/>
    <m/>
    <n v="1.2571393986547417"/>
    <m/>
    <n v="866430.90086000005"/>
    <n v="70434689.920000002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n v="83774"/>
    <n v="406950"/>
    <n v="490724"/>
    <m/>
    <n v="37709"/>
    <n v="186270"/>
    <n v="223979"/>
    <m/>
    <n v="121483"/>
    <n v="593220"/>
    <n v="714703"/>
    <m/>
    <n v="5.1999999999999998E-2"/>
    <n v="25517.647999999997"/>
    <n v="3.3000000000000002E-2"/>
    <n v="7391.3070000000007"/>
    <s v="/"/>
    <n v="6756.91"/>
    <n v="39665.865000000005"/>
    <m/>
    <n v="13009.14"/>
    <n v="5.5499788023836483E-2"/>
    <n v="7.3701950320622697E-2"/>
    <m/>
    <n v="52675.005000000005"/>
    <m/>
    <n v="50558"/>
    <n v="43340"/>
    <n v="93898"/>
    <m/>
    <n v="57518.11"/>
    <n v="21831.25"/>
    <n v="35686.86"/>
    <m/>
    <n v="0.38005985218002514"/>
    <m/>
    <n v="0"/>
    <n v="131"/>
    <n v="427"/>
    <n v="558"/>
    <m/>
    <n v="215.17"/>
    <n v="87.38"/>
    <n v="481.31"/>
    <n v="783.8599999999999"/>
    <m/>
    <n v="1.4047670250896056"/>
    <m/>
    <n v="89145.725000000006"/>
    <n v="6916829.4000000004"/>
    <m/>
    <m/>
    <m/>
    <m/>
    <m/>
    <m/>
    <m/>
  </r>
  <r>
    <x v="56"/>
    <n v="88162"/>
    <n v="417030"/>
    <n v="505192"/>
    <m/>
    <n v="47801"/>
    <n v="217680"/>
    <n v="265481"/>
    <m/>
    <n v="135963"/>
    <n v="634710"/>
    <n v="770673"/>
    <m/>
    <n v="5.1999999999999998E-2"/>
    <n v="26269.984"/>
    <n v="3.3000000000000002E-2"/>
    <n v="8760.8729999999996"/>
    <s v="/"/>
    <n v="6925.59"/>
    <n v="41956.447"/>
    <m/>
    <n v="13369.4"/>
    <n v="5.4441309089587935E-2"/>
    <n v="7.1789003896594275E-2"/>
    <m/>
    <n v="55325.847000000002"/>
    <m/>
    <n v="56924"/>
    <n v="37871"/>
    <n v="94795"/>
    <m/>
    <n v="43587.71"/>
    <n v="18925.09"/>
    <n v="24662.62"/>
    <m/>
    <n v="0.26016794134711746"/>
    <m/>
    <n v="24"/>
    <n v="150"/>
    <n v="382"/>
    <n v="556"/>
    <m/>
    <n v="212.51"/>
    <n v="100.05"/>
    <n v="451.29"/>
    <n v="763.85"/>
    <m/>
    <n v="1.3738309352517986"/>
    <m/>
    <n v="80752.31700000001"/>
    <n v="9011231.8200000003"/>
    <m/>
    <m/>
    <m/>
    <m/>
    <m/>
    <m/>
    <m/>
  </r>
  <r>
    <x v="57"/>
    <n v="93750"/>
    <n v="458610"/>
    <n v="552360"/>
    <m/>
    <n v="49809"/>
    <n v="241170"/>
    <n v="290979"/>
    <m/>
    <n v="143559"/>
    <n v="699780"/>
    <n v="843339"/>
    <m/>
    <n v="5.1999999999999998E-2"/>
    <n v="28722.719999999998"/>
    <n v="3.3000000000000002E-2"/>
    <n v="9602.3070000000007"/>
    <s v="/"/>
    <n v="7169.24"/>
    <n v="45494.267"/>
    <m/>
    <n v="13936.63"/>
    <n v="5.3945408667214492E-2"/>
    <n v="7.0470945847399435E-2"/>
    <m/>
    <n v="59430.896999999997"/>
    <m/>
    <n v="38382"/>
    <n v="37459"/>
    <n v="75841"/>
    <m/>
    <n v="40600.61"/>
    <n v="13814.49"/>
    <n v="26786.120000000003"/>
    <m/>
    <n v="0.35318785353568655"/>
    <m/>
    <n v="27"/>
    <n v="150"/>
    <n v="382"/>
    <n v="559"/>
    <m/>
    <n v="214.51"/>
    <n v="100.05"/>
    <n v="451.29"/>
    <n v="765.85"/>
    <m/>
    <n v="1.3700357781753132"/>
    <m/>
    <n v="86982.866999999998"/>
    <n v="8282305.3700000001"/>
    <m/>
    <m/>
    <m/>
    <m/>
    <m/>
    <m/>
    <m/>
  </r>
  <r>
    <x v="58"/>
    <n v="78554"/>
    <n v="393270"/>
    <n v="471824"/>
    <m/>
    <n v="42187"/>
    <n v="236640"/>
    <n v="278827"/>
    <m/>
    <n v="120741"/>
    <n v="629910"/>
    <n v="750651"/>
    <m/>
    <n v="5.1999999999999998E-2"/>
    <n v="24534.847999999998"/>
    <n v="3.3000000000000002E-2"/>
    <n v="9201.2910000000011"/>
    <s v="/"/>
    <n v="6722.3"/>
    <n v="40458.438999999998"/>
    <m/>
    <n v="9478.7999999999993"/>
    <n v="5.3897802041161604E-2"/>
    <n v="6.6525241423777498E-2"/>
    <m/>
    <n v="49937.239000000001"/>
    <m/>
    <n v="29350"/>
    <n v="18388"/>
    <n v="47738"/>
    <m/>
    <n v="27536.080000000002"/>
    <n v="6988.58"/>
    <n v="20547.5"/>
    <m/>
    <n v="0.43042230508190538"/>
    <m/>
    <n v="23"/>
    <n v="248"/>
    <n v="572"/>
    <n v="843"/>
    <m/>
    <n v="211.84"/>
    <n v="165.42"/>
    <n v="578.02"/>
    <n v="955.28"/>
    <m/>
    <n v="1.133190984578885"/>
    <m/>
    <n v="71440.019"/>
    <n v="7732615.0800000001"/>
    <m/>
    <m/>
    <m/>
    <m/>
    <m/>
    <m/>
    <m/>
  </r>
  <r>
    <x v="59"/>
    <n v="78585"/>
    <n v="404550"/>
    <n v="483135"/>
    <m/>
    <n v="38810"/>
    <n v="245280"/>
    <n v="284090"/>
    <m/>
    <n v="117395"/>
    <n v="649830"/>
    <n v="767225"/>
    <m/>
    <n v="5.1999999999999998E-2"/>
    <n v="25123.02"/>
    <n v="3.3000000000000002E-2"/>
    <n v="9374.9700000000012"/>
    <s v="/"/>
    <n v="6792.56"/>
    <n v="41290.550000000003"/>
    <m/>
    <n v="9591.6200000000008"/>
    <n v="5.3818045553781488E-2"/>
    <n v="6.631974974746653E-2"/>
    <m/>
    <n v="50882.170000000006"/>
    <m/>
    <n v="14947"/>
    <n v="16790"/>
    <n v="31737"/>
    <m/>
    <n v="16470"/>
    <n v="2956.95"/>
    <n v="13513.05"/>
    <m/>
    <n v="0.42578221003875599"/>
    <m/>
    <n v="24"/>
    <n v="163"/>
    <n v="412"/>
    <n v="599"/>
    <m/>
    <n v="212.51"/>
    <n v="108.72"/>
    <n v="471.3"/>
    <n v="792.53"/>
    <m/>
    <n v="1.3230884808013355"/>
    <m/>
    <n v="65187.75"/>
    <n v="5582420.7999999998"/>
    <m/>
    <m/>
    <m/>
    <m/>
    <m/>
    <m/>
    <m/>
  </r>
  <r>
    <x v="60"/>
    <n v="78092"/>
    <n v="416850"/>
    <n v="494942"/>
    <m/>
    <n v="36661"/>
    <n v="243390"/>
    <n v="280051"/>
    <m/>
    <n v="114753"/>
    <n v="660240"/>
    <n v="774993"/>
    <m/>
    <n v="5.1999999999999998E-2"/>
    <n v="25736.984"/>
    <n v="3.3000000000000002E-2"/>
    <n v="9241.6830000000009"/>
    <s v="/"/>
    <n v="6846.83"/>
    <n v="41825.497000000003"/>
    <m/>
    <n v="9680.64"/>
    <n v="5.3968870686573946E-2"/>
    <n v="6.6460131897965527E-2"/>
    <m/>
    <n v="51506.137000000002"/>
    <m/>
    <n v="15014"/>
    <n v="15096"/>
    <n v="30110"/>
    <m/>
    <n v="15116.23"/>
    <n v="1921.74"/>
    <n v="13194.49"/>
    <m/>
    <n v="0.43820956492859514"/>
    <m/>
    <n v="24"/>
    <n v="163"/>
    <n v="412"/>
    <n v="599"/>
    <m/>
    <n v="212.51"/>
    <n v="108.72"/>
    <n v="471.3"/>
    <n v="792.53"/>
    <m/>
    <n v="1.3230884808013355"/>
    <m/>
    <n v="65493.156999999999"/>
    <n v="6426630.9900000002"/>
    <m/>
    <m/>
    <m/>
    <m/>
    <m/>
    <m/>
    <m/>
  </r>
  <r>
    <x v="61"/>
    <n v="71181"/>
    <n v="398760"/>
    <n v="469941"/>
    <m/>
    <n v="35536"/>
    <n v="232440"/>
    <n v="267976"/>
    <m/>
    <n v="106717"/>
    <n v="631200"/>
    <n v="737917"/>
    <m/>
    <n v="5.1999999999999998E-2"/>
    <n v="24436.931999999997"/>
    <n v="3.3000000000000002E-2"/>
    <n v="8843.2080000000005"/>
    <s v="/"/>
    <n v="6765.49"/>
    <n v="40045.629999999997"/>
    <m/>
    <n v="9523.7099999999991"/>
    <n v="5.4268474638746629E-2"/>
    <n v="6.7174682247461426E-2"/>
    <m/>
    <n v="49569.34"/>
    <m/>
    <n v="15527"/>
    <n v="7985"/>
    <n v="23512"/>
    <m/>
    <n v="13330.33"/>
    <n v="1553.54"/>
    <n v="11776.79"/>
    <m/>
    <n v="0.500884229329704"/>
    <m/>
    <n v="84"/>
    <n v="206"/>
    <n v="395"/>
    <n v="685"/>
    <m/>
    <n v="252.53"/>
    <n v="137.4"/>
    <n v="459.97"/>
    <n v="849.90000000000009"/>
    <m/>
    <n v="1.2407299270072993"/>
    <m/>
    <n v="62196.03"/>
    <n v="9644680.0199999996"/>
    <m/>
    <m/>
    <m/>
    <m/>
    <m/>
    <m/>
    <m/>
  </r>
  <r>
    <x v="62"/>
    <n v="47875"/>
    <n v="276420"/>
    <n v="324295"/>
    <m/>
    <n v="24108"/>
    <n v="174360"/>
    <n v="198468"/>
    <m/>
    <n v="71983"/>
    <n v="450780"/>
    <n v="522763"/>
    <m/>
    <n v="5.1999999999999998E-2"/>
    <n v="16863.34"/>
    <n v="3.3000000000000002E-2"/>
    <n v="6549.4440000000004"/>
    <s v="/"/>
    <n v="9539.68"/>
    <n v="32952.464"/>
    <m/>
    <n v="8053.57"/>
    <n v="6.3035188029757272E-2"/>
    <n v="7.8440964643633926E-2"/>
    <m/>
    <n v="41006.034"/>
    <m/>
    <n v="0"/>
    <n v="14869"/>
    <n v="14869"/>
    <m/>
    <n v="11045.38"/>
    <n v="1948.22"/>
    <n v="9097.16"/>
    <m/>
    <n v="0.61182056627883519"/>
    <m/>
    <n v="29"/>
    <n v="168"/>
    <n v="417"/>
    <n v="614"/>
    <m/>
    <n v="215.84"/>
    <n v="112.06"/>
    <n v="474.64"/>
    <n v="802.54"/>
    <m/>
    <n v="1.3070684039087948"/>
    <m/>
    <n v="50905.734000000004"/>
    <m/>
    <m/>
    <m/>
    <m/>
    <m/>
    <m/>
    <m/>
    <m/>
  </r>
  <r>
    <x v="63"/>
    <n v="82497"/>
    <n v="458370"/>
    <n v="540867"/>
    <m/>
    <n v="34304"/>
    <n v="243930"/>
    <n v="278234"/>
    <m/>
    <n v="116801"/>
    <n v="702300"/>
    <n v="819101"/>
    <m/>
    <n v="5.1999999999999998E-2"/>
    <n v="28125.083999999999"/>
    <n v="3.3000000000000002E-2"/>
    <n v="9181.7219999999998"/>
    <s v="/"/>
    <n v="10854.47"/>
    <n v="48161.275999999998"/>
    <m/>
    <n v="10036.43"/>
    <n v="5.8797725799382493E-2"/>
    <n v="7.1050708032342771E-2"/>
    <m/>
    <n v="58197.705999999998"/>
    <m/>
    <n v="15725"/>
    <n v="15542"/>
    <n v="31267"/>
    <m/>
    <n v="17774.52"/>
    <n v="2809.01"/>
    <n v="14965.51"/>
    <m/>
    <n v="0.47863594204752613"/>
    <m/>
    <n v="29"/>
    <n v="168"/>
    <n v="417"/>
    <n v="614"/>
    <m/>
    <n v="215.84"/>
    <n v="112.06"/>
    <n v="474.64"/>
    <n v="802.54"/>
    <m/>
    <n v="1.3070684039087948"/>
    <m/>
    <n v="73965.755999999994"/>
    <n v="7932112.3600000003"/>
    <m/>
    <m/>
    <m/>
    <m/>
    <m/>
    <m/>
    <m/>
  </r>
  <r>
    <x v="64"/>
    <n v="78404"/>
    <n v="438420"/>
    <n v="516824"/>
    <m/>
    <n v="32017"/>
    <n v="235440"/>
    <n v="267457"/>
    <m/>
    <n v="110421"/>
    <n v="673860"/>
    <n v="784281"/>
    <m/>
    <n v="5.1999999999999998E-2"/>
    <n v="26874.847999999998"/>
    <n v="3.3000000000000002E-2"/>
    <n v="8826.0810000000001"/>
    <s v="/"/>
    <n v="10589.06"/>
    <n v="46289.988999999994"/>
    <m/>
    <n v="13293.85"/>
    <n v="5.9022198676239757E-2"/>
    <n v="7.597256468026127E-2"/>
    <m/>
    <n v="59583.838999999993"/>
    <m/>
    <n v="20112"/>
    <n v="19704"/>
    <n v="39816"/>
    <m/>
    <n v="25600.959999999999"/>
    <n v="9427.8539999999994"/>
    <n v="16173.106"/>
    <m/>
    <n v="0.40619615230058265"/>
    <m/>
    <n v="28"/>
    <n v="99"/>
    <n v="473"/>
    <n v="600"/>
    <m/>
    <n v="215.18"/>
    <n v="66.03"/>
    <n v="511.99"/>
    <n v="793.2"/>
    <m/>
    <n v="1.3220000000000001"/>
    <m/>
    <n v="76550.14499999999"/>
    <n v="7674263"/>
    <m/>
    <m/>
    <m/>
    <m/>
    <m/>
    <m/>
    <m/>
  </r>
  <r>
    <x v="65"/>
    <n v="78040"/>
    <n v="437670"/>
    <n v="515710"/>
    <m/>
    <n v="34826"/>
    <n v="241410"/>
    <n v="276236"/>
    <m/>
    <n v="112866"/>
    <n v="679080"/>
    <n v="791946"/>
    <m/>
    <n v="5.1999999999999998E-2"/>
    <n v="26816.92"/>
    <n v="3.3000000000000002E-2"/>
    <n v="9115.7880000000005"/>
    <s v="/"/>
    <n v="10798.36"/>
    <n v="46731.067999999999"/>
    <m/>
    <n v="13503.07"/>
    <n v="5.9007897003078492E-2"/>
    <n v="7.6058390344796237E-2"/>
    <m/>
    <n v="60234.137999999999"/>
    <m/>
    <n v="30247"/>
    <n v="43064"/>
    <n v="73311"/>
    <m/>
    <n v="37529.589999999997"/>
    <n v="11958.55"/>
    <n v="25571.039999999997"/>
    <m/>
    <n v="0.34880222613250395"/>
    <m/>
    <n v="29"/>
    <n v="168"/>
    <n v="417"/>
    <n v="614"/>
    <m/>
    <n v="215.84"/>
    <n v="112.06"/>
    <n v="474.64"/>
    <n v="802.54"/>
    <m/>
    <n v="1.3070684039087948"/>
    <m/>
    <n v="86607.717999999993"/>
    <n v="7727213"/>
    <m/>
    <m/>
    <m/>
    <m/>
    <m/>
    <m/>
    <m/>
  </r>
  <r>
    <x v="66"/>
    <n v="63376"/>
    <n v="349470"/>
    <n v="412846"/>
    <m/>
    <n v="29343"/>
    <n v="193500"/>
    <n v="222843"/>
    <m/>
    <n v="92719"/>
    <n v="542970"/>
    <n v="635689"/>
    <m/>
    <n v="5.1999999999999998E-2"/>
    <n v="21467.991999999998"/>
    <n v="3.3000000000000002E-2"/>
    <n v="7353.8190000000004"/>
    <s v="/"/>
    <n v="10100.530000000001"/>
    <n v="38922.341"/>
    <m/>
    <n v="12080.81"/>
    <n v="6.1228589766379474E-2"/>
    <n v="8.0232867015159928E-2"/>
    <m/>
    <n v="51003.150999999998"/>
    <m/>
    <n v="54726.828999999998"/>
    <n v="35790.959999999999"/>
    <n v="90517.78899999999"/>
    <m/>
    <n v="47576.21"/>
    <n v="17618.25"/>
    <n v="29957.96"/>
    <m/>
    <n v="0.33096212723446"/>
    <m/>
    <n v="29"/>
    <n v="168"/>
    <n v="417"/>
    <n v="614"/>
    <m/>
    <n v="215.84"/>
    <n v="112.06"/>
    <n v="474.64"/>
    <n v="802.54"/>
    <m/>
    <n v="1.3070684039087948"/>
    <m/>
    <n v="81763.650999999998"/>
    <n v="5334702"/>
    <m/>
    <m/>
    <m/>
    <m/>
    <m/>
    <m/>
    <m/>
  </r>
  <r>
    <x v="67"/>
    <n v="922290"/>
    <n v="4856370"/>
    <n v="5778660"/>
    <m/>
    <n v="443111"/>
    <n v="2691510"/>
    <n v="3134621"/>
    <m/>
    <n v="1365401"/>
    <n v="7547880"/>
    <n v="8913281"/>
    <m/>
    <n v="5.2000000000000011E-2"/>
    <n v="300490.31999999995"/>
    <n v="3.3000000000000008E-2"/>
    <n v="103442.49300000002"/>
    <s v="/"/>
    <n v="99861.01999999999"/>
    <n v="503793.83299999998"/>
    <m/>
    <n v="135557.67000000001"/>
    <n v="5.6521704297216702E-2"/>
    <n v="7.1730208326204456E-2"/>
    <m/>
    <n v="639351.50300000003"/>
    <m/>
    <n v="341512.82900000003"/>
    <n v="305898.96000000002"/>
    <n v="647411.78899999999"/>
    <m/>
    <n v="353685.73000000004"/>
    <n v="111753.52399999999"/>
    <n v="241932.20600000003"/>
    <m/>
    <n v="0.3736913817613538"/>
    <m/>
    <n v="350"/>
    <n v="1982"/>
    <n v="5123"/>
    <n v="7455"/>
    <m/>
    <n v="2610.12"/>
    <n v="1322.0099999999998"/>
    <n v="5775.0300000000007"/>
    <n v="9707.16"/>
    <m/>
    <n v="1.3021006036217304"/>
    <m/>
    <n v="890990.86900000006"/>
    <n v="82265003.840000004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n v="79555"/>
    <n v="417420"/>
    <n v="496975"/>
    <m/>
    <n v="36967"/>
    <n v="236520"/>
    <n v="273487"/>
    <m/>
    <n v="116522"/>
    <n v="653940"/>
    <n v="770462"/>
    <m/>
    <n v="4.9399999999999999E-2"/>
    <n v="24550.564999999999"/>
    <n v="3.2000000000000001E-2"/>
    <n v="8751.5840000000007"/>
    <s v="/"/>
    <n v="10695.69"/>
    <n v="43997.839"/>
    <m/>
    <n v="13191.43"/>
    <n v="5.7105787177044426E-2"/>
    <n v="7.4227241577131647E-2"/>
    <m/>
    <n v="57189.269"/>
    <m/>
    <n v="51516.568429999999"/>
    <n v="60086.660709999996"/>
    <n v="111603.22914"/>
    <m/>
    <n v="54094.17"/>
    <n v="19787.418730000001"/>
    <n v="34306.751269999993"/>
    <m/>
    <n v="0.3073992709204148"/>
    <m/>
    <n v="26"/>
    <n v="197"/>
    <n v="552"/>
    <n v="775"/>
    <m/>
    <n v="213.84"/>
    <n v="131.4"/>
    <n v="564.67999999999995"/>
    <n v="909.92"/>
    <m/>
    <n v="1.1740903225806452"/>
    <m/>
    <n v="92405.940269999992"/>
    <n v="7009326"/>
    <m/>
    <s v="Pri plinu je poraba navedena v Nm3 (od 1.1.2016 dalje)"/>
    <m/>
    <m/>
    <m/>
    <m/>
    <m/>
  </r>
  <r>
    <x v="69"/>
    <n v="79784"/>
    <n v="418020"/>
    <n v="497804"/>
    <m/>
    <n v="40082"/>
    <n v="214560"/>
    <n v="254642"/>
    <m/>
    <n v="119866"/>
    <n v="632580"/>
    <n v="752446"/>
    <m/>
    <n v="4.9399999999999999E-2"/>
    <n v="24591.517599999999"/>
    <n v="3.2000000000000001E-2"/>
    <n v="8148.5439999999999"/>
    <s v="/"/>
    <n v="10860.429999999998"/>
    <n v="43600.491600000001"/>
    <m/>
    <n v="13264.8"/>
    <n v="5.7945010804762068E-2"/>
    <n v="7.5573917065144866E-2"/>
    <m/>
    <n v="56865.291599999997"/>
    <m/>
    <n v="37126.728999999999"/>
    <n v="35960.182000000001"/>
    <n v="73086.910999999993"/>
    <m/>
    <n v="36429.699999999997"/>
    <n v="14421.03462"/>
    <n v="22008.665379999999"/>
    <m/>
    <n v="0.30113005295845657"/>
    <m/>
    <n v="29"/>
    <n v="168"/>
    <n v="417"/>
    <n v="614"/>
    <m/>
    <n v="215.84"/>
    <n v="112.06"/>
    <n v="474.64"/>
    <n v="802.54"/>
    <m/>
    <n v="1.3070684039087948"/>
    <m/>
    <n v="79676.496979999982"/>
    <n v="7854649"/>
    <m/>
    <m/>
    <m/>
    <m/>
    <m/>
    <m/>
    <m/>
  </r>
  <r>
    <x v="70"/>
    <n v="86438"/>
    <n v="443760"/>
    <n v="530198"/>
    <m/>
    <n v="39229"/>
    <n v="210840"/>
    <n v="250069"/>
    <m/>
    <n v="125667"/>
    <n v="654600"/>
    <n v="780267"/>
    <m/>
    <n v="4.9399999999999999E-2"/>
    <n v="26191.781200000001"/>
    <n v="3.2000000000000001E-2"/>
    <n v="8002.2080000000005"/>
    <s v="/"/>
    <n v="10810.23"/>
    <n v="45004.219200000007"/>
    <m/>
    <n v="13272.47"/>
    <n v="5.7677973309136495E-2"/>
    <n v="7.4688137778478408E-2"/>
    <m/>
    <n v="58276.689200000008"/>
    <m/>
    <n v="40308.40855"/>
    <n v="30898.864000000001"/>
    <n v="71207.272549999994"/>
    <m/>
    <n v="31640.37"/>
    <n v="10915.4018"/>
    <n v="20724.968199999999"/>
    <m/>
    <n v="0.29105128532268154"/>
    <m/>
    <n v="29"/>
    <n v="168"/>
    <n v="417"/>
    <n v="614"/>
    <m/>
    <n v="215.84"/>
    <n v="112.06"/>
    <n v="474.64"/>
    <n v="802.54"/>
    <m/>
    <n v="1.3070684039087948"/>
    <m/>
    <n v="79804.197400000005"/>
    <n v="7958823"/>
    <m/>
    <m/>
    <m/>
    <m/>
    <m/>
    <m/>
    <m/>
  </r>
  <r>
    <x v="71"/>
    <n v="74521"/>
    <n v="393390"/>
    <n v="467911"/>
    <m/>
    <n v="36764"/>
    <n v="203280"/>
    <n v="240044"/>
    <m/>
    <n v="111285"/>
    <n v="596670"/>
    <n v="707955"/>
    <m/>
    <n v="4.9399999999999999E-2"/>
    <n v="23114.803400000001"/>
    <n v="3.2000000000000001E-2"/>
    <n v="7681.4080000000004"/>
    <s v="/"/>
    <n v="10542.97"/>
    <n v="41339.181400000001"/>
    <m/>
    <n v="9176.61"/>
    <n v="5.8392385674230711E-2"/>
    <n v="7.1354523098219519E-2"/>
    <m/>
    <n v="50515.791400000002"/>
    <m/>
    <n v="19173.057793497301"/>
    <n v="20471.402272303301"/>
    <n v="39644.460065800602"/>
    <m/>
    <n v="17995.04"/>
    <n v="4184.5581160658003"/>
    <n v="13810.481883934201"/>
    <m/>
    <n v="0.34835843043421466"/>
    <m/>
    <n v="29"/>
    <n v="168"/>
    <n v="417"/>
    <n v="614"/>
    <m/>
    <n v="215.84"/>
    <n v="112.06"/>
    <n v="474.64"/>
    <n v="802.54"/>
    <m/>
    <n v="1.3070684039087948"/>
    <m/>
    <n v="65128.813283934207"/>
    <n v="7732309"/>
    <m/>
    <m/>
    <m/>
    <m/>
    <m/>
    <m/>
    <m/>
  </r>
  <r>
    <x v="72"/>
    <n v="77913"/>
    <n v="398640"/>
    <n v="476553"/>
    <m/>
    <n v="34217"/>
    <n v="205200"/>
    <n v="239417"/>
    <m/>
    <n v="112130"/>
    <n v="603840"/>
    <n v="715970"/>
    <m/>
    <n v="4.9399999999999999E-2"/>
    <n v="23541.718199999999"/>
    <n v="3.2000000000000001E-2"/>
    <n v="7661.3440000000001"/>
    <s v="/"/>
    <n v="10665.22"/>
    <n v="41868.282200000001"/>
    <m/>
    <n v="9303.23"/>
    <n v="5.8477704652429574E-2"/>
    <n v="7.1471587077670845E-2"/>
    <m/>
    <n v="51171.512199999997"/>
    <m/>
    <n v="15601.258"/>
    <n v="16260.324000000001"/>
    <n v="31861.582000000002"/>
    <m/>
    <n v="15671.49"/>
    <n v="3204.66"/>
    <n v="12466.83"/>
    <m/>
    <n v="0.39128094769431093"/>
    <m/>
    <n v="11.4"/>
    <n v="168"/>
    <n v="417"/>
    <n v="596.4"/>
    <m/>
    <n v="204.1"/>
    <n v="112.06"/>
    <n v="474.64"/>
    <n v="790.8"/>
    <m/>
    <n v="1.3259557344064385"/>
    <m/>
    <n v="64429.142200000002"/>
    <n v="6897760"/>
    <m/>
    <m/>
    <m/>
    <m/>
    <m/>
    <m/>
    <m/>
  </r>
  <r>
    <x v="73"/>
    <n v="80265"/>
    <n v="437880"/>
    <n v="518145"/>
    <m/>
    <n v="32549"/>
    <n v="209670"/>
    <n v="242219"/>
    <m/>
    <n v="112814"/>
    <n v="647550"/>
    <n v="760364"/>
    <m/>
    <n v="4.9399999999999999E-2"/>
    <n v="25596.363000000001"/>
    <n v="3.2000000000000001E-2"/>
    <n v="7751.0079999999998"/>
    <s v="/"/>
    <n v="10673.52"/>
    <n v="44020.891000000003"/>
    <m/>
    <n v="9458.77"/>
    <n v="5.789449658321541E-2"/>
    <n v="7.033428857757601E-2"/>
    <m/>
    <n v="53479.661000000007"/>
    <m/>
    <n v="14265.073"/>
    <n v="13921.568300000001"/>
    <n v="28186.641300000003"/>
    <m/>
    <n v="14042.75"/>
    <n v="1658.183272"/>
    <n v="12384.566728"/>
    <m/>
    <n v="0.43937717148300315"/>
    <m/>
    <n v="29"/>
    <n v="168"/>
    <n v="417"/>
    <n v="614"/>
    <m/>
    <n v="215.84"/>
    <n v="112.06"/>
    <n v="474.64"/>
    <n v="802.54"/>
    <m/>
    <n v="1.3070684039087948"/>
    <m/>
    <n v="66666.767728000006"/>
    <n v="7529806"/>
    <m/>
    <m/>
    <m/>
    <m/>
    <m/>
    <m/>
    <m/>
  </r>
  <r>
    <x v="74"/>
    <n v="74060"/>
    <n v="409620"/>
    <n v="483680"/>
    <m/>
    <n v="35330"/>
    <n v="219420"/>
    <n v="254750"/>
    <m/>
    <n v="109390"/>
    <n v="629040"/>
    <n v="738430"/>
    <m/>
    <n v="4.9399999999999999E-2"/>
    <n v="23893.792000000001"/>
    <n v="3.2000000000000001E-2"/>
    <n v="8152"/>
    <s v="/"/>
    <n v="10594.43"/>
    <n v="42640.222000000002"/>
    <m/>
    <n v="9305.2199999999993"/>
    <n v="5.7744433460179032E-2"/>
    <n v="7.034579039313138E-2"/>
    <m/>
    <n v="51945.442000000003"/>
    <m/>
    <n v="14301.560890000001"/>
    <n v="11413.60987"/>
    <n v="25715.170760000001"/>
    <m/>
    <n v="13829.49"/>
    <n v="1328.0117969999999"/>
    <n v="12501.478203000001"/>
    <m/>
    <n v="0.48615186419240408"/>
    <m/>
    <n v="29"/>
    <n v="168"/>
    <n v="498"/>
    <n v="695"/>
    <m/>
    <n v="215.84"/>
    <n v="112.06"/>
    <n v="528.66999999999996"/>
    <n v="856.56999999999994"/>
    <m/>
    <n v="1.2324748201438849"/>
    <m/>
    <n v="65303.490203000001"/>
    <n v="7994154"/>
    <m/>
    <m/>
    <m/>
    <m/>
    <m/>
    <m/>
    <m/>
  </r>
  <r>
    <x v="75"/>
    <n v="43081"/>
    <n v="239430"/>
    <n v="282511"/>
    <m/>
    <n v="19601"/>
    <n v="128370"/>
    <n v="147971"/>
    <m/>
    <n v="62682"/>
    <n v="367800"/>
    <n v="430482"/>
    <m/>
    <n v="4.9399999999999999E-2"/>
    <n v="13956.0434"/>
    <n v="3.2000000000000001E-2"/>
    <n v="4735.0720000000001"/>
    <s v="/"/>
    <n v="8990.9600000000009"/>
    <n v="27682.075400000002"/>
    <m/>
    <n v="7253.74"/>
    <n v="6.4304838297536249E-2"/>
    <n v="8.115511310577446E-2"/>
    <m/>
    <n v="34935.815399999999"/>
    <m/>
    <n v="-824.69330000000002"/>
    <n v="13640.20859"/>
    <n v="12815.515289999999"/>
    <m/>
    <n v="10540.19"/>
    <n v="1922.5490339999999"/>
    <n v="8617.6409660000008"/>
    <m/>
    <n v="0.67243811668847853"/>
    <m/>
    <n v="295"/>
    <n v="1266"/>
    <n v="443"/>
    <n v="2004"/>
    <m/>
    <n v="393.67"/>
    <n v="844.42"/>
    <n v="491.98"/>
    <n v="1730.07"/>
    <m/>
    <n v="0.86330838323353287"/>
    <m/>
    <n v="45283.526365999998"/>
    <n v="2660074"/>
    <m/>
    <s v="Pri vodi poračun od 29.1.2016 - 25.8.2016 "/>
    <m/>
    <m/>
    <m/>
    <m/>
    <m/>
  </r>
  <r>
    <x v="76"/>
    <n v="82252"/>
    <n v="450810"/>
    <n v="533062"/>
    <m/>
    <n v="37562"/>
    <n v="213780"/>
    <n v="251342"/>
    <m/>
    <n v="119814"/>
    <n v="664590"/>
    <n v="784404"/>
    <m/>
    <n v="4.9399999999999999E-2"/>
    <n v="26333.2628"/>
    <n v="3.2000000000000001E-2"/>
    <n v="8042.9440000000004"/>
    <s v="/"/>
    <n v="10974.55"/>
    <n v="45350.756800000003"/>
    <m/>
    <n v="9719.26"/>
    <n v="5.7815560349003835E-2"/>
    <n v="7.0206190687451875E-2"/>
    <m/>
    <n v="55070.016800000005"/>
    <m/>
    <n v="15212.799977999999"/>
    <n v="15296.880859999999"/>
    <n v="30509.680838"/>
    <m/>
    <n v="14628.47"/>
    <n v="1498.45072"/>
    <n v="13130.019279999999"/>
    <m/>
    <n v="0.43035583851950615"/>
    <m/>
    <n v="52"/>
    <n v="244"/>
    <n v="443"/>
    <n v="739"/>
    <m/>
    <n v="231.18"/>
    <n v="162.75"/>
    <n v="491.98"/>
    <n v="885.91000000000008"/>
    <m/>
    <n v="1.1987956698240867"/>
    <m/>
    <n v="69085.946080000009"/>
    <n v="7259255"/>
    <m/>
    <m/>
    <m/>
    <m/>
    <m/>
    <m/>
    <m/>
  </r>
  <r>
    <x v="77"/>
    <n v="71284"/>
    <n v="401490"/>
    <n v="472774"/>
    <m/>
    <n v="35517"/>
    <n v="208800"/>
    <n v="244317"/>
    <m/>
    <n v="106801"/>
    <n v="610290"/>
    <n v="717091"/>
    <m/>
    <n v="4.9399999999999999E-2"/>
    <n v="23355.035599999999"/>
    <n v="3.2000000000000001E-2"/>
    <n v="7818.1440000000002"/>
    <s v="/"/>
    <n v="10681.99"/>
    <n v="41855.169600000001"/>
    <m/>
    <n v="12757.32"/>
    <n v="5.8368002945232894E-2"/>
    <n v="7.6158381014404031E-2"/>
    <m/>
    <n v="54612.489600000001"/>
    <m/>
    <n v="21898"/>
    <n v="29812"/>
    <n v="51710"/>
    <m/>
    <n v="23135.64"/>
    <n v="5859.18"/>
    <n v="17276.46"/>
    <m/>
    <n v="0.33410288145426414"/>
    <m/>
    <n v="54"/>
    <n v="253"/>
    <n v="443"/>
    <n v="750"/>
    <m/>
    <n v="232.52"/>
    <n v="168.75"/>
    <n v="491.98"/>
    <n v="893.25"/>
    <m/>
    <n v="1.1910000000000001"/>
    <m/>
    <n v="72782.199599999993"/>
    <n v="6359089"/>
    <m/>
    <m/>
    <m/>
    <m/>
    <m/>
    <m/>
    <m/>
  </r>
  <r>
    <x v="78"/>
    <n v="80214"/>
    <n v="427980"/>
    <n v="508194"/>
    <m/>
    <n v="38607"/>
    <n v="225540"/>
    <n v="264147"/>
    <m/>
    <n v="118821"/>
    <n v="653520"/>
    <n v="772341"/>
    <m/>
    <n v="4.9399999999999999E-2"/>
    <n v="25104.783599999999"/>
    <n v="3.2000000000000001E-2"/>
    <n v="8452.7039999999997"/>
    <s v="/"/>
    <n v="10873.16"/>
    <n v="44430.647599999997"/>
    <m/>
    <n v="13185.33"/>
    <n v="5.7527241982492185E-2"/>
    <n v="7.4599144160416186E-2"/>
    <m/>
    <n v="57615.977599999998"/>
    <m/>
    <n v="44533.022607760999"/>
    <n v="37441.613766426097"/>
    <n v="81974.636374187103"/>
    <m/>
    <n v="37827.86"/>
    <n v="10553.76938"/>
    <n v="27274.090620000003"/>
    <m/>
    <n v="0.33271377375195421"/>
    <m/>
    <n v="357"/>
    <n v="1239"/>
    <n v="443"/>
    <n v="2039"/>
    <m/>
    <n v="434.62"/>
    <n v="826.41"/>
    <n v="491.98"/>
    <n v="1753.01"/>
    <m/>
    <n v="0.85974006866110841"/>
    <m/>
    <n v="86643.078219999996"/>
    <n v="7113155"/>
    <m/>
    <m/>
    <m/>
    <m/>
    <m/>
    <m/>
    <m/>
  </r>
  <r>
    <x v="79"/>
    <n v="60986"/>
    <n v="352470"/>
    <n v="413456"/>
    <m/>
    <n v="33192"/>
    <n v="187980"/>
    <n v="221172"/>
    <m/>
    <n v="94178"/>
    <n v="540450"/>
    <n v="634628"/>
    <m/>
    <n v="4.9399999999999999E-2"/>
    <n v="8924.7284"/>
    <n v="3.2000000000000001E-2"/>
    <n v="7077.5039999999999"/>
    <s v="/"/>
    <n v="10275.75"/>
    <n v="26277.982400000001"/>
    <m/>
    <n v="12005.46"/>
    <n v="4.1406906723308774E-2"/>
    <n v="6.0324225215401782E-2"/>
    <m/>
    <n v="38283.4424"/>
    <m/>
    <n v="60583.809379999999"/>
    <n v="45487.333749999998"/>
    <n v="106071.14313"/>
    <m/>
    <n v="52925.87"/>
    <n v="18491.071499999998"/>
    <n v="34434.798500000004"/>
    <m/>
    <n v="0.32463870458902261"/>
    <m/>
    <n v="125.36399999999999"/>
    <n v="434.11399999999998"/>
    <n v="756"/>
    <n v="1315.4780000000001"/>
    <m/>
    <n v="181.86778800000002"/>
    <n v="387.80403799999999"/>
    <n v="700.75"/>
    <n v="1270.421826"/>
    <m/>
    <n v="0.96574919991060282"/>
    <m/>
    <n v="73988.66272600001"/>
    <n v="4603731"/>
    <m/>
    <m/>
    <m/>
    <m/>
    <m/>
    <m/>
    <m/>
  </r>
  <r>
    <x v="80"/>
    <n v="890353"/>
    <n v="4790910"/>
    <n v="5681263"/>
    <m/>
    <n v="419617"/>
    <n v="2463960"/>
    <n v="2883577"/>
    <m/>
    <n v="1309970"/>
    <n v="7254870"/>
    <n v="8564840"/>
    <m/>
    <n v="4.9399999999999999E-2"/>
    <n v="269154.39419999998"/>
    <n v="3.2000000000000008E-2"/>
    <n v="92274.464000000007"/>
    <s v="/"/>
    <n v="126638.90000000001"/>
    <n v="488067.75820000004"/>
    <m/>
    <n v="131893.64000000001"/>
    <n v="5.6985040958149838E-2"/>
    <n v="7.2384469318749686E-2"/>
    <m/>
    <n v="619961.39819999994"/>
    <m/>
    <n v="333695.59432925831"/>
    <n v="330690.64811872935"/>
    <n v="664386.24244798766"/>
    <m/>
    <n v="322761.03999999998"/>
    <n v="93824.288969065819"/>
    <n v="228936.75103093422"/>
    <m/>
    <n v="0.34458382248765007"/>
    <m/>
    <n v="1065.7639999999999"/>
    <n v="4641.1139999999996"/>
    <n v="5663"/>
    <n v="11369.878000000001"/>
    <m/>
    <n v="2970.9977879999997"/>
    <n v="3193.8940379999995"/>
    <n v="6135.2199999999993"/>
    <n v="12300.111825999998"/>
    <m/>
    <n v="1.0818156383032429"/>
    <m/>
    <n v="861198.26105693425"/>
    <n v="80972131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n v="85727"/>
    <n v="429810"/>
    <n v="515537"/>
    <m/>
    <n v="45442"/>
    <n v="241770"/>
    <n v="287212"/>
    <m/>
    <n v="131169"/>
    <n v="671580"/>
    <n v="802749"/>
    <m/>
    <n v="4.5620000000000001E-2"/>
    <n v="23518.79794"/>
    <n v="3.041E-2"/>
    <n v="8734.1169200000004"/>
    <s v="/"/>
    <n v="11187.21"/>
    <n v="43440.124859999996"/>
    <m/>
    <n v="13680.32"/>
    <n v="5.411420613417145E-2"/>
    <n v="7.1156046111549187E-2"/>
    <m/>
    <n v="57120.444859999996"/>
    <m/>
    <n v="77839.450742037996"/>
    <n v="68738.059937128797"/>
    <n v="146577.51067916679"/>
    <m/>
    <n v="71332.7"/>
    <n v="23415.395390000001"/>
    <n v="47917.304609999992"/>
    <m/>
    <n v="0.32690761623645531"/>
    <m/>
    <n v="139"/>
    <n v="528.98900000000003"/>
    <n v="443"/>
    <n v="1110.989"/>
    <m/>
    <n v="190.96300000000002"/>
    <n v="451.08566300000007"/>
    <n v="491.98"/>
    <n v="1134.0286630000001"/>
    <m/>
    <n v="1.0207379758035409"/>
    <m/>
    <n v="106171.77813299999"/>
    <n v="7869208.75"/>
    <m/>
    <m/>
    <m/>
    <m/>
    <m/>
    <m/>
    <m/>
  </r>
  <r>
    <x v="82"/>
    <n v="75507"/>
    <n v="387060"/>
    <n v="462567"/>
    <m/>
    <n v="39248"/>
    <n v="223620"/>
    <n v="262868"/>
    <m/>
    <n v="114755"/>
    <n v="610680"/>
    <n v="725435"/>
    <m/>
    <n v="4.5620000000000001E-2"/>
    <n v="21102.306540000001"/>
    <n v="3.041E-2"/>
    <n v="7993.8158800000001"/>
    <s v="/"/>
    <n v="10546.81"/>
    <n v="39642.932419999997"/>
    <m/>
    <n v="12739.1"/>
    <n v="5.4647118515097834E-2"/>
    <n v="7.220775454727163E-2"/>
    <m/>
    <n v="52382.032419999996"/>
    <m/>
    <n v="40419.886516813"/>
    <n v="35920.892268764503"/>
    <n v="76340.77878557751"/>
    <m/>
    <n v="46272.58"/>
    <n v="17641.173859999999"/>
    <n v="28631.406140000003"/>
    <m/>
    <n v="0.37504734161042014"/>
    <m/>
    <n v="125"/>
    <n v="526.53300000000002"/>
    <n v="443"/>
    <n v="1094.5329999999999"/>
    <m/>
    <n v="181.625"/>
    <n v="449.44751100000002"/>
    <n v="491.98"/>
    <n v="1123.0525110000001"/>
    <m/>
    <n v="1.0260563281326376"/>
    <m/>
    <n v="82136.491070999997"/>
    <n v="7830639.3899999997"/>
    <m/>
    <m/>
    <m/>
    <m/>
    <m/>
    <m/>
    <m/>
  </r>
  <r>
    <x v="83"/>
    <n v="87257"/>
    <n v="472860"/>
    <n v="560117"/>
    <m/>
    <n v="41448"/>
    <n v="231030"/>
    <n v="272478"/>
    <m/>
    <n v="128705"/>
    <n v="703890"/>
    <n v="832595"/>
    <m/>
    <n v="4.5620000000000001E-2"/>
    <n v="25552.537540000001"/>
    <n v="3.041E-2"/>
    <n v="8286.0559799999992"/>
    <s v="/"/>
    <n v="11063.67"/>
    <n v="44902.26352"/>
    <m/>
    <n v="13787.47"/>
    <n v="5.3930498645800178E-2"/>
    <n v="7.049013448315207E-2"/>
    <m/>
    <n v="58689.733520000002"/>
    <m/>
    <n v="30788.135050000001"/>
    <n v="23814.560890000001"/>
    <n v="54602.695940000005"/>
    <m/>
    <n v="32048.32"/>
    <n v="10008.64"/>
    <n v="22039.68"/>
    <m/>
    <n v="0.40363721278924086"/>
    <m/>
    <n v="139"/>
    <n v="496"/>
    <n v="443"/>
    <n v="1078"/>
    <m/>
    <n v="190.96300000000002"/>
    <n v="429.08199999999999"/>
    <n v="491.98"/>
    <n v="1112.0250000000001"/>
    <m/>
    <n v="1.0315630797773656"/>
    <m/>
    <n v="81841.438519999996"/>
    <n v="9048977.7200000007"/>
    <m/>
    <m/>
    <m/>
    <m/>
    <m/>
    <m/>
    <m/>
  </r>
  <r>
    <x v="84"/>
    <n v="64530"/>
    <n v="336600"/>
    <n v="401130"/>
    <m/>
    <n v="38568"/>
    <n v="216810"/>
    <n v="255378"/>
    <m/>
    <n v="103098"/>
    <n v="553410"/>
    <n v="656508"/>
    <m/>
    <n v="4.5620000000000001E-2"/>
    <n v="18299.550599999999"/>
    <n v="3.041E-2"/>
    <n v="7766.0449799999997"/>
    <s v="/"/>
    <n v="10190.33"/>
    <n v="36255.925579999996"/>
    <m/>
    <n v="8927.43"/>
    <n v="5.5225413216594459E-2"/>
    <n v="6.8823769976908117E-2"/>
    <m/>
    <n v="45183.355579999996"/>
    <m/>
    <n v="18726.23645"/>
    <n v="23507.807220877501"/>
    <n v="42234.043670877501"/>
    <m/>
    <n v="22157.1"/>
    <n v="5166.5150619568749"/>
    <n v="16990.584938043125"/>
    <m/>
    <n v="0.40229595514101785"/>
    <m/>
    <n v="77.274000000000001"/>
    <n v="0"/>
    <n v="443"/>
    <n v="520.274"/>
    <m/>
    <n v="149.79175800000002"/>
    <n v="98.25"/>
    <n v="491.98"/>
    <n v="740.02175800000009"/>
    <m/>
    <n v="1.4223692861838186"/>
    <m/>
    <n v="62913.962276043123"/>
    <n v="7113483.5700000003"/>
    <m/>
    <m/>
    <m/>
    <m/>
    <m/>
    <m/>
    <m/>
  </r>
  <r>
    <x v="85"/>
    <n v="77572"/>
    <n v="424800"/>
    <n v="502372"/>
    <m/>
    <n v="36920"/>
    <n v="225150"/>
    <n v="262070"/>
    <m/>
    <n v="114492"/>
    <n v="649950"/>
    <n v="764442"/>
    <m/>
    <n v="4.5620000000000001E-2"/>
    <n v="22918.210640000001"/>
    <n v="3.041E-2"/>
    <n v="7969.5487000000003"/>
    <s v="/"/>
    <n v="10592.53"/>
    <n v="41480.289340000003"/>
    <m/>
    <n v="9653.0300000000007"/>
    <n v="5.4262179916854392E-2"/>
    <n v="6.6889730470068368E-2"/>
    <m/>
    <n v="51133.319340000002"/>
    <m/>
    <n v="20451.120050000001"/>
    <n v="16633.492030000001"/>
    <n v="37084.612080000006"/>
    <m/>
    <n v="18779.05"/>
    <n v="2249.7074160000002"/>
    <n v="16529.342583999998"/>
    <m/>
    <n v="0.44571971113901415"/>
    <m/>
    <n v="139"/>
    <n v="77.715000000000003"/>
    <n v="590"/>
    <n v="806.71500000000003"/>
    <m/>
    <n v="190.96300000000002"/>
    <n v="150.085905"/>
    <n v="590.03"/>
    <n v="931.07890499999996"/>
    <m/>
    <n v="1.1541608932522638"/>
    <m/>
    <n v="68593.740829000002"/>
    <n v="8267531.3700000001"/>
    <m/>
    <m/>
    <m/>
    <m/>
    <m/>
    <m/>
    <m/>
  </r>
  <r>
    <x v="86"/>
    <n v="83488"/>
    <n v="442530"/>
    <n v="526018"/>
    <m/>
    <n v="39083"/>
    <n v="224160"/>
    <n v="263243"/>
    <m/>
    <n v="122571"/>
    <n v="666690"/>
    <n v="789261"/>
    <m/>
    <n v="4.5620000000000001E-2"/>
    <n v="23996.941160000002"/>
    <n v="3.041E-2"/>
    <n v="8005.2196299999996"/>
    <s v="/"/>
    <n v="10714.59"/>
    <n v="42716.750790000006"/>
    <m/>
    <n v="9648.2099999999991"/>
    <n v="5.4122464926051085E-2"/>
    <n v="6.6346824168430976E-2"/>
    <m/>
    <n v="52364.960790000005"/>
    <m/>
    <n v="14265.439091022001"/>
    <n v="13354.079357914799"/>
    <n v="27619.5184489368"/>
    <m/>
    <n v="15219.82"/>
    <n v="1606.9575121361645"/>
    <n v="13612.862487863835"/>
    <m/>
    <n v="0.49287110175477572"/>
    <m/>
    <n v="134"/>
    <n v="298"/>
    <n v="458"/>
    <n v="890"/>
    <m/>
    <n v="187.62799999999999"/>
    <n v="297.01600000000002"/>
    <n v="501.99"/>
    <n v="986.63400000000001"/>
    <m/>
    <n v="1.1085775280898877"/>
    <m/>
    <n v="66964.457277863839"/>
    <n v="8305615.2599999998"/>
    <m/>
    <m/>
    <m/>
    <m/>
    <m/>
    <m/>
    <m/>
  </r>
  <r>
    <x v="87"/>
    <n v="80346"/>
    <n v="432720"/>
    <n v="513066"/>
    <m/>
    <n v="45910"/>
    <n v="273360"/>
    <n v="319270"/>
    <m/>
    <n v="126256"/>
    <n v="706080"/>
    <n v="832336"/>
    <m/>
    <n v="4.5620000000000001E-2"/>
    <n v="23406.070920000002"/>
    <n v="3.041E-2"/>
    <n v="9709.0007000000005"/>
    <s v="/"/>
    <n v="11304.94"/>
    <n v="44420.011620000005"/>
    <m/>
    <n v="10078.120000000001"/>
    <n v="5.3367884628323183E-2"/>
    <n v="6.5476119764133728E-2"/>
    <m/>
    <n v="54498.131620000007"/>
    <m/>
    <n v="14240"/>
    <n v="14283.22437"/>
    <n v="28523.22437"/>
    <m/>
    <n v="15427.6"/>
    <n v="1292.9718439999999"/>
    <n v="14134.628156000001"/>
    <m/>
    <n v="0.49554804788712603"/>
    <m/>
    <n v="139"/>
    <n v="308"/>
    <n v="474"/>
    <n v="921"/>
    <m/>
    <n v="190.96300000000002"/>
    <n v="303.68600000000004"/>
    <n v="512.65800000000002"/>
    <n v="1007.307"/>
    <m/>
    <n v="1.0937100977198697"/>
    <m/>
    <n v="69640.066776000007"/>
    <n v="8251393.0599999996"/>
    <m/>
    <m/>
    <m/>
    <m/>
    <m/>
    <m/>
    <m/>
  </r>
  <r>
    <x v="88"/>
    <n v="51440"/>
    <n v="281820"/>
    <n v="333260"/>
    <m/>
    <n v="25572"/>
    <n v="157860"/>
    <n v="183432"/>
    <m/>
    <n v="77012"/>
    <n v="439680"/>
    <n v="516692"/>
    <m/>
    <n v="4.5620000000000001E-2"/>
    <n v="15203.3212"/>
    <n v="3.041E-2"/>
    <n v="5578.1671200000001"/>
    <s v="/"/>
    <n v="10221.18"/>
    <n v="31002.668320000001"/>
    <m/>
    <n v="8364.64"/>
    <n v="6.000222244586717E-2"/>
    <n v="7.6191054477328851E-2"/>
    <m/>
    <n v="39367.308319999996"/>
    <m/>
    <n v="1997"/>
    <n v="12551.82288"/>
    <n v="14548.82288"/>
    <m/>
    <n v="11204.2"/>
    <n v="1359.4804220000001"/>
    <n v="9844.7195780000002"/>
    <m/>
    <n v="0.67666777300130276"/>
    <m/>
    <n v="0"/>
    <n v="0"/>
    <n v="474"/>
    <n v="474"/>
    <m/>
    <n v="98.25"/>
    <n v="98.25"/>
    <n v="512.65800000000002"/>
    <n v="709.15800000000002"/>
    <m/>
    <n v="1.4961139240506329"/>
    <m/>
    <n v="49921.185898000003"/>
    <n v="4349835.22"/>
    <m/>
    <m/>
    <m/>
    <m/>
    <m/>
    <m/>
    <m/>
  </r>
  <r>
    <x v="89"/>
    <n v="82357"/>
    <n v="436080"/>
    <n v="518437"/>
    <m/>
    <n v="43713"/>
    <n v="259650"/>
    <n v="303363"/>
    <m/>
    <n v="126070"/>
    <n v="695730"/>
    <n v="821800"/>
    <m/>
    <n v="4.5620000000000001E-2"/>
    <n v="23651.095939999999"/>
    <n v="3.041E-2"/>
    <n v="9225.2688299999991"/>
    <s v="/"/>
    <n v="10860.53"/>
    <n v="43736.894769999999"/>
    <m/>
    <n v="9772.5499999999993"/>
    <n v="5.3220850292041856E-2"/>
    <n v="6.5112490593818448E-2"/>
    <m/>
    <n v="53509.444770000002"/>
    <m/>
    <n v="18083"/>
    <n v="14998.8339189044"/>
    <n v="33081.833918904398"/>
    <m/>
    <n v="17317.419999999998"/>
    <n v="2300.1887280000001"/>
    <n v="15017.231271999997"/>
    <m/>
    <n v="0.45394192198693367"/>
    <m/>
    <n v="0"/>
    <n v="0"/>
    <n v="568"/>
    <n v="568"/>
    <m/>
    <n v="98.25"/>
    <n v="98.25"/>
    <n v="575.36"/>
    <n v="771.86"/>
    <m/>
    <n v="1.3589084507042253"/>
    <m/>
    <n v="69298.536042000007"/>
    <n v="9347053.9700000007"/>
    <m/>
    <m/>
    <m/>
    <m/>
    <m/>
    <m/>
    <m/>
  </r>
  <r>
    <x v="90"/>
    <n v="79234"/>
    <n v="446160"/>
    <n v="525394"/>
    <m/>
    <n v="41212"/>
    <n v="257430"/>
    <n v="298642"/>
    <m/>
    <n v="120446"/>
    <n v="703590"/>
    <n v="824036"/>
    <m/>
    <n v="4.5620000000000001E-2"/>
    <n v="23968.474280000002"/>
    <n v="3.041E-2"/>
    <n v="9081.7032199999994"/>
    <s v="/"/>
    <n v="11551.21"/>
    <n v="44601.387500000004"/>
    <m/>
    <n v="14090.98"/>
    <n v="5.4125532743715087E-2"/>
    <n v="7.1225489541719061E-2"/>
    <m/>
    <n v="58692.367500000008"/>
    <m/>
    <n v="23161"/>
    <n v="23651.093343850502"/>
    <n v="46812.093343850502"/>
    <m/>
    <n v="22638.81"/>
    <n v="3121.0679249999998"/>
    <n v="19517.742075000002"/>
    <m/>
    <n v="0.41693803205158225"/>
    <m/>
    <n v="96"/>
    <n v="183.011"/>
    <n v="494"/>
    <n v="773.01099999999997"/>
    <m/>
    <n v="162.28200000000001"/>
    <n v="220.31833699999999"/>
    <n v="526"/>
    <n v="908.60033699999997"/>
    <m/>
    <n v="1.1754041494881704"/>
    <m/>
    <n v="79118.709912000006"/>
    <n v="9125556.9299999997"/>
    <m/>
    <m/>
    <m/>
    <m/>
    <m/>
    <m/>
    <m/>
  </r>
  <r>
    <x v="91"/>
    <n v="81807"/>
    <n v="471270"/>
    <n v="553077"/>
    <m/>
    <n v="41942"/>
    <n v="258270"/>
    <n v="300212"/>
    <m/>
    <n v="123749"/>
    <n v="729540"/>
    <n v="853289"/>
    <m/>
    <n v="4.5620000000000001E-2"/>
    <n v="25231.372739999999"/>
    <n v="3.041E-2"/>
    <n v="9129.4469200000003"/>
    <s v="/"/>
    <n v="11893.51"/>
    <n v="46254.329660000003"/>
    <m/>
    <n v="14550.75"/>
    <n v="5.4207108799011826E-2"/>
    <n v="7.1259654888320367E-2"/>
    <m/>
    <n v="60805.079660000003"/>
    <m/>
    <n v="47218"/>
    <n v="40781.907748955098"/>
    <n v="87999.907748955098"/>
    <m/>
    <n v="43373.24"/>
    <n v="11761.71"/>
    <n v="31611.53"/>
    <m/>
    <n v="0.35922230839356023"/>
    <m/>
    <n v="33"/>
    <n v="464.50599999999997"/>
    <n v="478"/>
    <n v="975.50599999999997"/>
    <m/>
    <n v="107.49144999999999"/>
    <n v="399.03847889999997"/>
    <n v="496.96"/>
    <n v="1003.4899289"/>
    <m/>
    <n v="1.028686577940064"/>
    <m/>
    <n v="93420.099588900004"/>
    <n v="9329273.2899999991"/>
    <m/>
    <m/>
    <m/>
    <m/>
    <m/>
    <m/>
    <m/>
  </r>
  <r>
    <x v="92"/>
    <n v="57888"/>
    <n v="340380"/>
    <n v="398268"/>
    <m/>
    <n v="36371"/>
    <n v="233490"/>
    <n v="269861"/>
    <m/>
    <n v="94259"/>
    <n v="573870"/>
    <n v="668129"/>
    <m/>
    <n v="4.5620000000000001E-2"/>
    <n v="18168.98616"/>
    <n v="3.041E-2"/>
    <n v="8206.4730099999997"/>
    <s v="/"/>
    <n v="10733.55"/>
    <n v="37109.009170000005"/>
    <m/>
    <n v="12573.67"/>
    <n v="5.5541683073178992E-2"/>
    <n v="7.4360908103075912E-2"/>
    <m/>
    <n v="49682.679170000003"/>
    <m/>
    <n v="68586"/>
    <n v="18066.831564986798"/>
    <n v="86652.831564986802"/>
    <m/>
    <n v="48485.2"/>
    <n v="16205.25"/>
    <n v="32279.949999999997"/>
    <m/>
    <n v="0.37252042913094058"/>
    <m/>
    <n v="89"/>
    <n v="231"/>
    <n v="494"/>
    <n v="814"/>
    <m/>
    <n v="145.99979999999999"/>
    <n v="243.01419999999999"/>
    <n v="507.89"/>
    <n v="896.904"/>
    <m/>
    <n v="1.1018476658476659"/>
    <m/>
    <n v="82859.533169999995"/>
    <n v="6305424.6799999997"/>
    <m/>
    <m/>
    <m/>
    <m/>
    <m/>
    <m/>
    <m/>
  </r>
  <r>
    <x v="93"/>
    <n v="907153"/>
    <n v="4902090"/>
    <n v="5809243"/>
    <m/>
    <n v="475429"/>
    <n v="2802600"/>
    <n v="3278029"/>
    <m/>
    <n v="1382582"/>
    <n v="7704690"/>
    <n v="9087272"/>
    <m/>
    <n v="4.5620000000000001E-2"/>
    <n v="265017.66566"/>
    <n v="3.0409999999999996E-2"/>
    <n v="99684.86189"/>
    <s v="/"/>
    <n v="130860.06"/>
    <n v="495562.58755000005"/>
    <m/>
    <n v="137866.26999999999"/>
    <n v="5.4533702474185881E-2"/>
    <n v="6.9705061931677637E-2"/>
    <m/>
    <n v="633428.85755000007"/>
    <m/>
    <n v="375775.26789987297"/>
    <n v="306302.60553138232"/>
    <n v="682077.87343125546"/>
    <m/>
    <n v="364256.04000000004"/>
    <n v="96129.058159093023"/>
    <n v="268126.9818409069"/>
    <m/>
    <n v="0.39310318115447651"/>
    <m/>
    <n v="1110.2739999999999"/>
    <n v="3113.7539999999999"/>
    <n v="5802"/>
    <n v="10026.027999999998"/>
    <m/>
    <n v="1895.1700079999998"/>
    <n v="3237.5240949000004"/>
    <n v="6191.4659999999994"/>
    <n v="11324.160102899999"/>
    <m/>
    <n v="1.1294762096116231"/>
    <m/>
    <n v="912879.99949380697"/>
    <n v="95143993.210000008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n v="81297"/>
    <n v="483030"/>
    <n v="564327"/>
    <m/>
    <n v="42791"/>
    <n v="283710"/>
    <n v="326501"/>
    <m/>
    <n v="124088"/>
    <n v="766740"/>
    <n v="890828"/>
    <m/>
    <n v="5.8590000000000003E-2"/>
    <n v="33063.91893"/>
    <n v="4.1549999999999997E-2"/>
    <n v="13566.116549999999"/>
    <s v="/"/>
    <n v="11985.42"/>
    <n v="58615.455479999997"/>
    <m/>
    <n v="14901.15"/>
    <n v="6.5798847229768254E-2"/>
    <n v="8.252615036797227E-2"/>
    <m/>
    <n v="73516.605479999998"/>
    <m/>
    <n v="61220"/>
    <n v="45480.417086640198"/>
    <n v="106700.4170866402"/>
    <m/>
    <n v="55856.3"/>
    <n v="16339.12"/>
    <n v="39517.18"/>
    <m/>
    <n v="0.37035637796909687"/>
    <m/>
    <n v="89"/>
    <n v="231"/>
    <n v="518"/>
    <n v="838"/>
    <m/>
    <n v="145.99979999999999"/>
    <n v="243.01419999999999"/>
    <n v="524.16"/>
    <n v="913.17399999999998"/>
    <m/>
    <n v="1.0897064439140811"/>
    <m/>
    <n v="113946.95947999999"/>
    <n v="9250373.0199999996"/>
    <m/>
    <m/>
    <m/>
    <m/>
    <m/>
    <m/>
    <m/>
  </r>
  <r>
    <x v="95"/>
    <n v="70444"/>
    <n v="426870"/>
    <n v="497314"/>
    <m/>
    <n v="38272"/>
    <n v="264630"/>
    <n v="302902"/>
    <m/>
    <n v="108716"/>
    <n v="691500"/>
    <n v="800216"/>
    <m/>
    <n v="5.8590000000000003E-2"/>
    <n v="29137.627260000001"/>
    <n v="4.1549999999999997E-2"/>
    <n v="12585.578099999999"/>
    <s v="/"/>
    <n v="11834.25"/>
    <n v="53557.45536"/>
    <m/>
    <n v="14310.03"/>
    <n v="6.6928748437921765E-2"/>
    <n v="8.4811457606446261E-2"/>
    <m/>
    <n v="67867.485360000006"/>
    <m/>
    <n v="78669"/>
    <n v="49817.538148509397"/>
    <n v="128486.5381485094"/>
    <m/>
    <n v="61807.18"/>
    <n v="18827.18"/>
    <n v="42980"/>
    <m/>
    <n v="0.33450975191130261"/>
    <m/>
    <n v="81"/>
    <n v="209"/>
    <n v="446"/>
    <n v="736"/>
    <m/>
    <n v="140.5342"/>
    <n v="227.9838"/>
    <n v="475.1"/>
    <n v="843.61800000000005"/>
    <m/>
    <n v="1.1462201086956523"/>
    <m/>
    <n v="111691.10336000001"/>
    <n v="8689503"/>
    <m/>
    <m/>
    <m/>
    <m/>
    <m/>
    <m/>
    <m/>
  </r>
  <r>
    <x v="96"/>
    <n v="87251"/>
    <n v="502980"/>
    <n v="590231"/>
    <m/>
    <n v="47505"/>
    <n v="281490"/>
    <n v="328995"/>
    <m/>
    <n v="134756"/>
    <n v="784470"/>
    <n v="919226"/>
    <m/>
    <n v="5.8590000000000003E-2"/>
    <n v="34581.634290000002"/>
    <n v="4.1549999999999997E-2"/>
    <n v="13669.742249999999"/>
    <s v="/"/>
    <n v="12151.84"/>
    <n v="60403.216539999994"/>
    <m/>
    <n v="15200.25"/>
    <n v="6.5710953062685346E-2"/>
    <n v="8.2246875675840325E-2"/>
    <m/>
    <n v="75603.466539999994"/>
    <m/>
    <n v="66956"/>
    <n v="38845.077525767199"/>
    <n v="105801.07752576721"/>
    <m/>
    <n v="52218.89"/>
    <n v="15407.03"/>
    <n v="36811.86"/>
    <m/>
    <n v="0.34793464169620292"/>
    <m/>
    <n v="16"/>
    <n v="505.49400000000003"/>
    <n v="493"/>
    <n v="1014.494"/>
    <m/>
    <n v="96.126199999999997"/>
    <n v="430.5485008"/>
    <n v="507.21"/>
    <n v="1033.8847008"/>
    <m/>
    <n v="1.0191136673060659"/>
    <m/>
    <n v="113449.2112408"/>
    <n v="10305733"/>
    <m/>
    <m/>
    <m/>
    <m/>
    <m/>
    <m/>
    <m/>
  </r>
  <r>
    <x v="97"/>
    <n v="69688"/>
    <n v="424440"/>
    <n v="494128"/>
    <m/>
    <n v="42010"/>
    <n v="276690"/>
    <n v="318700"/>
    <m/>
    <n v="111698"/>
    <n v="701130"/>
    <n v="812828"/>
    <m/>
    <n v="5.8590000000000003E-2"/>
    <n v="28950.95952"/>
    <n v="4.1549999999999997E-2"/>
    <n v="13241.984999999999"/>
    <s v="/"/>
    <n v="11863.91"/>
    <n v="54056.854519999993"/>
    <m/>
    <n v="10443.49"/>
    <n v="6.6504665833362037E-2"/>
    <n v="7.9353005211434638E-2"/>
    <m/>
    <n v="64500.344519999991"/>
    <m/>
    <n v="28839"/>
    <n v="15737.7148546027"/>
    <n v="44576.714854602702"/>
    <m/>
    <n v="21597.26"/>
    <n v="5398.73"/>
    <n v="16198.529999999999"/>
    <m/>
    <n v="0.36338545926579074"/>
    <m/>
    <n v="82"/>
    <n v="253"/>
    <n v="607"/>
    <n v="942"/>
    <m/>
    <n v="141.2174"/>
    <n v="258.0446"/>
    <n v="585.09"/>
    <n v="984.35200000000009"/>
    <m/>
    <n v="1.04495966029724"/>
    <m/>
    <n v="81683.226519999982"/>
    <n v="8635141.7799999993"/>
    <m/>
    <m/>
    <m/>
    <m/>
    <m/>
    <m/>
    <m/>
  </r>
  <r>
    <x v="98"/>
    <n v="79426"/>
    <n v="484470"/>
    <n v="563896"/>
    <m/>
    <n v="43631"/>
    <n v="293820"/>
    <n v="337451"/>
    <m/>
    <n v="123057"/>
    <n v="778290"/>
    <n v="901347"/>
    <m/>
    <n v="5.8590000000000003E-2"/>
    <n v="33038.666640000003"/>
    <n v="4.1549999999999997E-2"/>
    <n v="14021.089049999999"/>
    <s v="/"/>
    <n v="12359.96"/>
    <n v="59419.715690000005"/>
    <m/>
    <n v="11083.44"/>
    <n v="6.5923241204552743E-2"/>
    <n v="7.8219770732026628E-2"/>
    <m/>
    <n v="70503.15569"/>
    <m/>
    <n v="19897"/>
    <n v="20310.27"/>
    <n v="40207.270000000004"/>
    <m/>
    <n v="20453.22"/>
    <n v="4071.42"/>
    <n v="16381.800000000001"/>
    <m/>
    <n v="0.40743378001043096"/>
    <m/>
    <n v="85"/>
    <n v="262"/>
    <n v="510"/>
    <n v="857"/>
    <m/>
    <n v="143.267"/>
    <n v="264.1934"/>
    <n v="518.82000000000005"/>
    <n v="926.2804000000001"/>
    <m/>
    <n v="1.0808406067677947"/>
    <m/>
    <n v="87811.236090000006"/>
    <n v="9146085.5500000007"/>
    <m/>
    <m/>
    <m/>
    <m/>
    <m/>
    <m/>
    <m/>
  </r>
  <r>
    <x v="99"/>
    <n v="76123"/>
    <n v="462720"/>
    <n v="538843"/>
    <m/>
    <n v="42461"/>
    <n v="281970"/>
    <n v="324431"/>
    <m/>
    <n v="118584"/>
    <n v="744690"/>
    <n v="863274"/>
    <m/>
    <n v="5.8590000000000003E-2"/>
    <n v="31570.811370000003"/>
    <n v="4.1549999999999997E-2"/>
    <n v="13480.108049999999"/>
    <s v="/"/>
    <n v="12475.39"/>
    <n v="57526.309420000005"/>
    <m/>
    <n v="11030.73"/>
    <n v="6.6637370545157157E-2"/>
    <n v="7.9415156045473403E-2"/>
    <m/>
    <n v="68557.039420000001"/>
    <m/>
    <n v="16175"/>
    <n v="13605.1668496158"/>
    <n v="29780.166849615802"/>
    <m/>
    <n v="19521.79"/>
    <n v="3950.94"/>
    <n v="15570.85"/>
    <m/>
    <n v="0.52285973005557163"/>
    <m/>
    <n v="35"/>
    <n v="124"/>
    <n v="494"/>
    <n v="653"/>
    <m/>
    <n v="109.107"/>
    <n v="169.9118"/>
    <n v="507.89"/>
    <n v="786.90879999999993"/>
    <m/>
    <n v="1.2050670750382848"/>
    <m/>
    <n v="84914.798220000011"/>
    <n v="9390137.25"/>
    <m/>
    <m/>
    <m/>
    <m/>
    <m/>
    <m/>
    <m/>
  </r>
  <r>
    <x v="100"/>
    <n v="82960"/>
    <n v="481920"/>
    <n v="564880"/>
    <m/>
    <n v="42317"/>
    <n v="275790"/>
    <n v="318107"/>
    <m/>
    <n v="125277"/>
    <n v="757710"/>
    <n v="882987"/>
    <m/>
    <n v="7.2080000000000005E-2"/>
    <n v="40716.5504"/>
    <n v="4.8050000000000002E-2"/>
    <n v="15285.041350000001"/>
    <s v="/"/>
    <n v="12167.78"/>
    <n v="68169.371750000006"/>
    <m/>
    <n v="10915.29"/>
    <n v="7.7203143138007704E-2"/>
    <n v="8.9564921963743521E-2"/>
    <m/>
    <n v="79084.661749999999"/>
    <m/>
    <n v="17234.5"/>
    <n v="13022.28"/>
    <n v="30256.78"/>
    <m/>
    <n v="19695.150000000001"/>
    <n v="3760.8"/>
    <n v="15934.350000000002"/>
    <m/>
    <n v="0.52663733549967984"/>
    <m/>
    <n v="73"/>
    <n v="267"/>
    <n v="544"/>
    <n v="884"/>
    <m/>
    <n v="135.0686"/>
    <n v="267.60939999999999"/>
    <n v="542.04999999999995"/>
    <n v="944.72799999999995"/>
    <m/>
    <n v="1.0686968325791855"/>
    <m/>
    <n v="95963.739750000008"/>
    <n v="0"/>
    <m/>
    <m/>
    <m/>
    <m/>
    <m/>
    <m/>
    <m/>
  </r>
  <r>
    <x v="101"/>
    <n v="49726"/>
    <n v="286410"/>
    <n v="336136"/>
    <m/>
    <n v="24856"/>
    <n v="170220"/>
    <n v="195076"/>
    <m/>
    <n v="74582"/>
    <n v="456630"/>
    <n v="531212"/>
    <m/>
    <n v="7.2080000000000005E-2"/>
    <n v="24228.68288"/>
    <n v="4.8050000000000002E-2"/>
    <n v="9373.4017999999996"/>
    <s v="/"/>
    <n v="8834.74"/>
    <n v="42436.824679999998"/>
    <m/>
    <n v="10792.36"/>
    <n v="7.9886796006114313E-2"/>
    <n v="0.10020327982048598"/>
    <m/>
    <n v="53229.184679999998"/>
    <m/>
    <m/>
    <m/>
    <n v="0"/>
    <m/>
    <m/>
    <m/>
    <n v="0"/>
    <m/>
    <e v="#DIV/0!"/>
    <m/>
    <n v="73"/>
    <n v="267"/>
    <n v="517"/>
    <n v="857"/>
    <m/>
    <n v="135.0686"/>
    <n v="267.60939999999999"/>
    <n v="523.6"/>
    <n v="926.27800000000002"/>
    <m/>
    <n v="1.0808378063010502"/>
    <m/>
    <n v="54155.462679999997"/>
    <n v="0"/>
    <m/>
    <m/>
    <m/>
    <m/>
    <m/>
    <m/>
    <m/>
  </r>
  <r>
    <x v="102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0"/>
    <m/>
    <m/>
    <m/>
    <m/>
    <m/>
    <m/>
    <m/>
  </r>
  <r>
    <x v="103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0"/>
    <m/>
    <m/>
    <m/>
    <m/>
    <m/>
    <m/>
    <m/>
  </r>
  <r>
    <x v="104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0"/>
    <m/>
    <m/>
    <m/>
    <m/>
    <m/>
    <m/>
    <m/>
  </r>
  <r>
    <x v="105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0"/>
    <m/>
    <m/>
    <m/>
    <m/>
    <m/>
    <m/>
    <m/>
  </r>
  <r>
    <x v="106"/>
    <n v="596915"/>
    <n v="3552840"/>
    <n v="4149755"/>
    <m/>
    <n v="323843"/>
    <n v="2128320"/>
    <n v="2452163"/>
    <m/>
    <n v="920758"/>
    <n v="5681160"/>
    <n v="6601918"/>
    <m/>
    <n v="6.1962500000000018E-2"/>
    <n v="255288.85129000005"/>
    <n v="4.3174999999999998E-2"/>
    <n v="105223.06214999998"/>
    <s v="/"/>
    <n v="93673.29"/>
    <n v="454185.20344000001"/>
    <m/>
    <n v="98676.74"/>
    <n v="6.8795947395893134E-2"/>
    <n v="8.3742625012912922E-2"/>
    <m/>
    <n v="552861.94343999994"/>
    <m/>
    <n v="288990.5"/>
    <n v="196818.4644651353"/>
    <n v="485808.96446513536"/>
    <m/>
    <n v="251149.79"/>
    <n v="67755.22"/>
    <n v="183394.57"/>
    <m/>
    <n v="0.37750347032379955"/>
    <m/>
    <n v="534"/>
    <n v="2118.4940000000001"/>
    <n v="4129"/>
    <n v="6781.4940000000006"/>
    <m/>
    <n v="1046.3888000000002"/>
    <n v="2128.9151007999999"/>
    <n v="4183.92"/>
    <n v="7359.2239007999997"/>
    <m/>
    <n v="1.0851921273984757"/>
    <m/>
    <n v="743615.73734079988"/>
    <n v="55416973.599999994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Vrtilna tabela2" cacheId="4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5:B58" firstHeaderRow="1" firstDataRow="1" firstDataCol="1"/>
  <pivotFields count="7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Povprečje od cena na kWh" fld="6" subtotal="average" baseField="0" baseItem="0" numFmtId="165"/>
  </dataFields>
  <formats count="1">
    <format dxfId="3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Vrtilna tabela2" cacheId="1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2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 defaultSubtotal="0"/>
    <pivotField numFmtId="4" showAll="0" defaultSubtotal="0"/>
    <pivotField numFmtId="4" showAll="0" defaultSubtotal="0"/>
    <pivotField numFmtId="4" showAll="0" defaultSubtota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na količina G" fld="1" baseField="0" baseItem="0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Vrtilna tabela3" cacheId="1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7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4" showAll="0" defaultSubtotal="0"/>
    <pivotField numFmtId="4" showAll="0" defaultSubtotal="0"/>
    <pivotField dataField="1" numFmtId="4" showAll="0" defaultSubtota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Naši stroški G" fld="4" baseField="0" baseItem="0"/>
  </dataFields>
  <formats count="1">
    <format dxfId="18">
      <pivotArea outline="0" collapsedLevelsAreSubtotals="1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Vrtilna tabela4" cacheId="1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4" showAll="0" defaultSubtotal="0"/>
    <pivotField numFmtId="4" showAll="0" defaultSubtotal="0"/>
    <pivotField numFmtId="4" showAll="0" defaultSubtotal="0"/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EUR/m³ G" fld="5" baseField="0" baseItem="7861448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Vrtilna tabela5" cacheId="3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5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Poraba vode m3" fld="1" baseField="0" baseItem="0" numFmtId="3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Vrtilna tabela1" cacheId="3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troški voda" fld="2" baseField="0" baseItem="0" numFmtId="3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Vrtilna tabela2" cacheId="3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Povprečje od EUR/m3 W" fld="3" subtotal="average" baseField="0" baseItem="7861448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Vrtilna tabela1" cacheId="5" applyNumberFormats="0" applyBorderFormats="0" applyFontFormats="0" applyPatternFormats="0" applyAlignmentFormats="0" applyWidthHeightFormats="1" dataCaption="Vrednosti" updatedVersion="6" minRefreshableVersion="3" useAutoFormatting="1" rowGrandTotals="0" itemPrintTitles="1" createdVersion="4" indent="0" outline="1" outlineData="1" multipleFieldFilters="0" chartFormat="2">
  <location ref="B5:J12" firstHeaderRow="0" firstDataRow="1" firstDataCol="1"/>
  <pivotFields count="58">
    <pivotField axis="axisRow" showAll="0">
      <items count="108">
        <item x="14"/>
        <item x="28"/>
        <item x="41"/>
        <item x="54"/>
        <item x="67"/>
        <item x="8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0"/>
        <item h="1" x="1"/>
        <item h="1" x="15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93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Vsota od S1" fld="49" baseField="0" baseItem="1" numFmtId="44"/>
    <dataField name="Vsota od S2" fld="50" baseField="0" baseItem="1" numFmtId="44"/>
    <dataField name="Vsota od E11" fld="11" baseField="0" baseItem="0"/>
    <dataField name="Vsota od E19" fld="19" baseField="0" baseItem="0" numFmtId="44"/>
    <dataField name="Vsota od P3" fld="29" baseField="0" baseItem="2" numFmtId="1"/>
    <dataField name="Vsota od P7" fld="33" baseField="0" baseItem="0" numFmtId="44"/>
    <dataField name="Vsota od V4" fld="40" baseField="0" baseItem="0" numFmtId="1"/>
    <dataField name="Vsota od V11" fld="47" baseField="0" baseItem="0" numFmtId="44"/>
  </dataFields>
  <formats count="10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rtilna tabela6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24:B37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cena" fld="2" baseField="0" baseItem="0" numFmtId="3"/>
  </dataFields>
  <formats count="3"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rtilna tabela3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5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showAll="0">
      <items count="4">
        <item h="1" x="0"/>
        <item x="1"/>
        <item h="1" x="2"/>
        <item t="default"/>
      </items>
    </pivotField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aj E+G v kwh" fld="5" baseField="0" baseItem="0"/>
  </dataFields>
  <formats count="3"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Vrtilna tabela4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:D18" firstHeaderRow="1" firstDataRow="2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axis="axisCol" multipleItemSelectionAllowed="1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Vsota od skupaj E+G v kwh" fld="5" baseField="0" baseItem="2"/>
  </dataFields>
  <formats count="1">
    <format dxfId="28">
      <pivotArea outline="0" collapsedLevelsAreSubtotals="1" fieldPosition="0"/>
    </format>
  </formats>
  <chartFormats count="5"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Vrtilna tabela3" cacheId="4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8:D62" firstHeaderRow="1" firstDataRow="2" firstDataCol="1"/>
  <pivotFields count="7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ovprečje od cena na kWh" fld="6" subtotal="average" baseField="0" baseItem="3" numFmtId="17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Vrtilna tabela1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26:E40" firstHeaderRow="1" firstDataRow="2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numFmtId="4"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Vsota od cena" fld="2" baseField="0" baseItem="0" numFmtId="3"/>
  </dataFields>
  <formats count="1">
    <format dxfId="29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Vrtilna tabela1" cacheId="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3:B16" firstHeaderRow="1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numFmtId="4" showAll="0"/>
    <pivotField showAll="0" defaultSubtotal="0"/>
    <pivotField numFmtId="4" showAll="0"/>
    <pivotField showAll="0"/>
    <pivotField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na poraba E" fld="1" baseField="0" baseItem="0" numFmtId="3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Vrtilna tabela4" cacheId="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3:D16" firstHeaderRow="0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numFmtId="4" showAll="0"/>
    <pivotField dataField="1" showAll="0" defaultSubtotal="0"/>
    <pivotField dataField="1" numFmtId="4" showAll="0"/>
    <pivotField showAll="0"/>
    <pivotField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sota od Stroški porabe" fld="3" baseField="0" baseItem="0"/>
    <dataField name="Vsota od Skupna Ostalo količina * Tarifa za Ostalo" fld="2" baseField="0" baseItem="0"/>
    <dataField name="Vsota od Omrežnina" fld="4" baseField="0" baseItem="0"/>
  </dataFields>
  <formats count="3">
    <format dxfId="25">
      <pivotArea outline="0" collapsedLevelsAreSubtotals="1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</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Vrtilna tabela2" cacheId="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1:C14" firstHeaderRow="0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 defaultSubtotal="0"/>
    <pivotField numFmtId="4" showAll="0"/>
    <pivotField dataField="1" showAll="0"/>
    <pivotField dataField="1"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Povprečje od Cena/kWh brez omrežnine" fld="5" subtotal="average" baseField="0" baseItem="0"/>
    <dataField name="Povprečje od Cena/kWh z omrežnino" fld="6" subtotal="average" baseField="0" baseItem="0"/>
  </dataFields>
  <formats count="2"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" sourceName="energent">
  <pivotTables>
    <pivotTable tabId="15" name="Vrtilna tabela3"/>
  </pivotTables>
  <data>
    <tabular pivotCacheId="3">
      <items count="3">
        <i x="0"/>
        <i x="1" s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1" sourceName="energent">
  <pivotTables>
    <pivotTable tabId="15" name="Vrtilna tabela6"/>
  </pivotTables>
  <data>
    <tabular pivotCacheId="3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2" sourceName="energent">
  <pivotTables>
    <pivotTable tabId="15" name="Vrtilna tabela2"/>
  </pivotTables>
  <data>
    <tabular pivotCacheId="4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nergent" cache="Razčlenjevalnik_energent" caption="energent" rowHeight="241300"/>
  <slicer name="energent 1" cache="Razčlenjevalnik_energent1" caption="energent" rowHeight="241300"/>
  <slicer name="energent 2" cache="Razčlenjevalnik_energent2" caption="energent" rowHeight="241300"/>
</slic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155</v>
      </c>
    </row>
    <row r="3" spans="1:4" x14ac:dyDescent="0.25">
      <c r="A3" t="s">
        <v>156</v>
      </c>
      <c r="D3" t="s">
        <v>157</v>
      </c>
    </row>
    <row r="4" spans="1:4" x14ac:dyDescent="0.25">
      <c r="A4" t="s">
        <v>158</v>
      </c>
      <c r="D4" t="s">
        <v>159</v>
      </c>
    </row>
    <row r="5" spans="1:4" x14ac:dyDescent="0.25">
      <c r="A5" t="s">
        <v>160</v>
      </c>
      <c r="D5" t="s">
        <v>161</v>
      </c>
    </row>
    <row r="7" spans="1:4" x14ac:dyDescent="0.25">
      <c r="A7" t="s">
        <v>162</v>
      </c>
      <c r="D7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J41" sqref="J41"/>
    </sheetView>
  </sheetViews>
  <sheetFormatPr defaultRowHeight="15" x14ac:dyDescent="0.25"/>
  <cols>
    <col min="1" max="1" width="15" bestFit="1" customWidth="1"/>
    <col min="2" max="2" width="21.5703125" bestFit="1" customWidth="1"/>
    <col min="3" max="3" width="26.140625" customWidth="1"/>
    <col min="4" max="4" width="19.5703125" customWidth="1"/>
  </cols>
  <sheetData>
    <row r="3" spans="1:2" x14ac:dyDescent="0.25">
      <c r="A3" s="193" t="s">
        <v>113</v>
      </c>
      <c r="B3" t="s">
        <v>152</v>
      </c>
    </row>
    <row r="4" spans="1:2" x14ac:dyDescent="0.25">
      <c r="A4" s="194" t="s">
        <v>283</v>
      </c>
      <c r="B4" s="196">
        <v>39517.18</v>
      </c>
    </row>
    <row r="5" spans="1:2" x14ac:dyDescent="0.25">
      <c r="A5" s="194" t="s">
        <v>284</v>
      </c>
      <c r="B5" s="196">
        <v>42980</v>
      </c>
    </row>
    <row r="6" spans="1:2" x14ac:dyDescent="0.25">
      <c r="A6" s="194" t="s">
        <v>285</v>
      </c>
      <c r="B6" s="196">
        <v>36811.86</v>
      </c>
    </row>
    <row r="7" spans="1:2" x14ac:dyDescent="0.25">
      <c r="A7" s="194" t="s">
        <v>286</v>
      </c>
      <c r="B7" s="196">
        <v>16198.529999999999</v>
      </c>
    </row>
    <row r="8" spans="1:2" x14ac:dyDescent="0.25">
      <c r="A8" s="194" t="s">
        <v>287</v>
      </c>
      <c r="B8" s="196">
        <v>16381.800000000001</v>
      </c>
    </row>
    <row r="9" spans="1:2" x14ac:dyDescent="0.25">
      <c r="A9" s="194" t="s">
        <v>288</v>
      </c>
      <c r="B9" s="196">
        <v>15570.85</v>
      </c>
    </row>
    <row r="10" spans="1:2" x14ac:dyDescent="0.25">
      <c r="A10" s="194" t="s">
        <v>289</v>
      </c>
      <c r="B10" s="196">
        <v>15934.350000000002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183394.57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B10" sqref="B10"/>
    </sheetView>
  </sheetViews>
  <sheetFormatPr defaultRowHeight="15" x14ac:dyDescent="0.25"/>
  <cols>
    <col min="1" max="1" width="15" bestFit="1" customWidth="1"/>
    <col min="2" max="2" width="18.140625" style="200" bestFit="1" customWidth="1"/>
  </cols>
  <sheetData>
    <row r="3" spans="1:2" x14ac:dyDescent="0.25">
      <c r="A3" s="193" t="s">
        <v>113</v>
      </c>
      <c r="B3" s="200" t="s">
        <v>153</v>
      </c>
    </row>
    <row r="4" spans="1:2" x14ac:dyDescent="0.25">
      <c r="A4" s="194" t="s">
        <v>283</v>
      </c>
      <c r="B4" s="200">
        <v>0.37035637796909687</v>
      </c>
    </row>
    <row r="5" spans="1:2" x14ac:dyDescent="0.25">
      <c r="A5" s="194" t="s">
        <v>284</v>
      </c>
      <c r="B5" s="200">
        <v>0.33450975191130261</v>
      </c>
    </row>
    <row r="6" spans="1:2" x14ac:dyDescent="0.25">
      <c r="A6" s="194" t="s">
        <v>285</v>
      </c>
      <c r="B6" s="200">
        <v>0.34793464169620292</v>
      </c>
    </row>
    <row r="7" spans="1:2" x14ac:dyDescent="0.25">
      <c r="A7" s="194" t="s">
        <v>286</v>
      </c>
      <c r="B7" s="200">
        <v>0.36338545926579074</v>
      </c>
    </row>
    <row r="8" spans="1:2" x14ac:dyDescent="0.25">
      <c r="A8" s="194" t="s">
        <v>287</v>
      </c>
      <c r="B8" s="200">
        <v>0.40743378001043096</v>
      </c>
    </row>
    <row r="9" spans="1:2" x14ac:dyDescent="0.25">
      <c r="A9" s="194" t="s">
        <v>288</v>
      </c>
      <c r="B9" s="200">
        <v>0.52285973005557163</v>
      </c>
    </row>
    <row r="10" spans="1:2" x14ac:dyDescent="0.25">
      <c r="A10" s="194" t="s">
        <v>289</v>
      </c>
      <c r="B10" s="200">
        <v>0.52663733549967984</v>
      </c>
    </row>
    <row r="11" spans="1:2" x14ac:dyDescent="0.25">
      <c r="A11" s="194" t="s">
        <v>290</v>
      </c>
      <c r="B11" s="200" t="e">
        <v>#DIV/0!</v>
      </c>
    </row>
    <row r="12" spans="1:2" x14ac:dyDescent="0.25">
      <c r="A12" s="194" t="s">
        <v>291</v>
      </c>
      <c r="B12" s="200" t="e">
        <v>#DIV/0!</v>
      </c>
    </row>
    <row r="13" spans="1:2" x14ac:dyDescent="0.25">
      <c r="A13" s="194" t="s">
        <v>292</v>
      </c>
      <c r="B13" s="200" t="e">
        <v>#DIV/0!</v>
      </c>
    </row>
    <row r="14" spans="1:2" x14ac:dyDescent="0.25">
      <c r="A14" s="194" t="s">
        <v>293</v>
      </c>
      <c r="B14" s="200" t="e">
        <v>#DIV/0!</v>
      </c>
    </row>
    <row r="15" spans="1:2" x14ac:dyDescent="0.25">
      <c r="A15" s="194" t="s">
        <v>294</v>
      </c>
      <c r="B15" s="200" t="e">
        <v>#DIV/0!</v>
      </c>
    </row>
    <row r="16" spans="1:2" x14ac:dyDescent="0.25">
      <c r="A16" s="194" t="s">
        <v>114</v>
      </c>
      <c r="B16" s="200" t="e">
        <v>#DIV/0!</v>
      </c>
    </row>
  </sheetData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P18" sqref="P18"/>
    </sheetView>
  </sheetViews>
  <sheetFormatPr defaultRowHeight="15" x14ac:dyDescent="0.25"/>
  <cols>
    <col min="1" max="1" width="15" bestFit="1" customWidth="1"/>
    <col min="2" max="2" width="23.7109375" style="196" bestFit="1" customWidth="1"/>
  </cols>
  <sheetData>
    <row r="3" spans="1:2" x14ac:dyDescent="0.25">
      <c r="A3" s="193" t="s">
        <v>113</v>
      </c>
      <c r="B3" s="196" t="s">
        <v>125</v>
      </c>
    </row>
    <row r="4" spans="1:2" x14ac:dyDescent="0.25">
      <c r="A4" s="194" t="s">
        <v>283</v>
      </c>
      <c r="B4" s="196">
        <v>838</v>
      </c>
    </row>
    <row r="5" spans="1:2" x14ac:dyDescent="0.25">
      <c r="A5" s="194" t="s">
        <v>284</v>
      </c>
      <c r="B5" s="196">
        <v>736</v>
      </c>
    </row>
    <row r="6" spans="1:2" x14ac:dyDescent="0.25">
      <c r="A6" s="194" t="s">
        <v>285</v>
      </c>
      <c r="B6" s="196">
        <v>1014.494</v>
      </c>
    </row>
    <row r="7" spans="1:2" x14ac:dyDescent="0.25">
      <c r="A7" s="194" t="s">
        <v>286</v>
      </c>
      <c r="B7" s="196">
        <v>942</v>
      </c>
    </row>
    <row r="8" spans="1:2" x14ac:dyDescent="0.25">
      <c r="A8" s="194" t="s">
        <v>287</v>
      </c>
      <c r="B8" s="196">
        <v>857</v>
      </c>
    </row>
    <row r="9" spans="1:2" x14ac:dyDescent="0.25">
      <c r="A9" s="194" t="s">
        <v>288</v>
      </c>
      <c r="B9" s="196">
        <v>653</v>
      </c>
    </row>
    <row r="10" spans="1:2" x14ac:dyDescent="0.25">
      <c r="A10" s="194" t="s">
        <v>289</v>
      </c>
      <c r="B10" s="196">
        <v>884</v>
      </c>
    </row>
    <row r="11" spans="1:2" x14ac:dyDescent="0.25">
      <c r="A11" s="194" t="s">
        <v>290</v>
      </c>
      <c r="B11" s="196">
        <v>857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6781.4940000000006</v>
      </c>
    </row>
  </sheetData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T10" sqref="T10"/>
    </sheetView>
  </sheetViews>
  <sheetFormatPr defaultRowHeight="15" x14ac:dyDescent="0.25"/>
  <cols>
    <col min="1" max="1" width="15" bestFit="1" customWidth="1"/>
    <col min="2" max="2" width="20" style="196" customWidth="1"/>
  </cols>
  <sheetData>
    <row r="3" spans="1:2" x14ac:dyDescent="0.25">
      <c r="A3" s="193" t="s">
        <v>113</v>
      </c>
      <c r="B3" s="196" t="s">
        <v>126</v>
      </c>
    </row>
    <row r="4" spans="1:2" x14ac:dyDescent="0.25">
      <c r="A4" s="194" t="s">
        <v>283</v>
      </c>
      <c r="B4" s="196">
        <v>913.17399999999998</v>
      </c>
    </row>
    <row r="5" spans="1:2" x14ac:dyDescent="0.25">
      <c r="A5" s="194" t="s">
        <v>284</v>
      </c>
      <c r="B5" s="196">
        <v>843.61800000000005</v>
      </c>
    </row>
    <row r="6" spans="1:2" x14ac:dyDescent="0.25">
      <c r="A6" s="194" t="s">
        <v>285</v>
      </c>
      <c r="B6" s="196">
        <v>1033.8847008</v>
      </c>
    </row>
    <row r="7" spans="1:2" x14ac:dyDescent="0.25">
      <c r="A7" s="194" t="s">
        <v>286</v>
      </c>
      <c r="B7" s="196">
        <v>984.35200000000009</v>
      </c>
    </row>
    <row r="8" spans="1:2" x14ac:dyDescent="0.25">
      <c r="A8" s="194" t="s">
        <v>287</v>
      </c>
      <c r="B8" s="196">
        <v>926.2804000000001</v>
      </c>
    </row>
    <row r="9" spans="1:2" x14ac:dyDescent="0.25">
      <c r="A9" s="194" t="s">
        <v>288</v>
      </c>
      <c r="B9" s="196">
        <v>786.90879999999993</v>
      </c>
    </row>
    <row r="10" spans="1:2" x14ac:dyDescent="0.25">
      <c r="A10" s="194" t="s">
        <v>289</v>
      </c>
      <c r="B10" s="196">
        <v>944.72799999999995</v>
      </c>
    </row>
    <row r="11" spans="1:2" x14ac:dyDescent="0.25">
      <c r="A11" s="194" t="s">
        <v>290</v>
      </c>
      <c r="B11" s="196">
        <v>926.27800000000002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7359.2239007999997</v>
      </c>
    </row>
  </sheetData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K29" sqref="K29"/>
    </sheetView>
  </sheetViews>
  <sheetFormatPr defaultRowHeight="15" x14ac:dyDescent="0.25"/>
  <cols>
    <col min="1" max="1" width="15" bestFit="1" customWidth="1"/>
    <col min="2" max="2" width="23" style="200" bestFit="1" customWidth="1"/>
  </cols>
  <sheetData>
    <row r="3" spans="1:2" x14ac:dyDescent="0.25">
      <c r="A3" s="193" t="s">
        <v>113</v>
      </c>
      <c r="B3" s="200" t="s">
        <v>154</v>
      </c>
    </row>
    <row r="4" spans="1:2" x14ac:dyDescent="0.25">
      <c r="A4" s="194" t="s">
        <v>283</v>
      </c>
      <c r="B4" s="200">
        <v>1.0897064439140811</v>
      </c>
    </row>
    <row r="5" spans="1:2" x14ac:dyDescent="0.25">
      <c r="A5" s="194" t="s">
        <v>284</v>
      </c>
      <c r="B5" s="200">
        <v>1.1462201086956523</v>
      </c>
    </row>
    <row r="6" spans="1:2" x14ac:dyDescent="0.25">
      <c r="A6" s="194" t="s">
        <v>285</v>
      </c>
      <c r="B6" s="200">
        <v>1.0191136673060659</v>
      </c>
    </row>
    <row r="7" spans="1:2" x14ac:dyDescent="0.25">
      <c r="A7" s="194" t="s">
        <v>286</v>
      </c>
      <c r="B7" s="200">
        <v>1.04495966029724</v>
      </c>
    </row>
    <row r="8" spans="1:2" x14ac:dyDescent="0.25">
      <c r="A8" s="194" t="s">
        <v>287</v>
      </c>
      <c r="B8" s="200">
        <v>1.0808406067677947</v>
      </c>
    </row>
    <row r="9" spans="1:2" x14ac:dyDescent="0.25">
      <c r="A9" s="194" t="s">
        <v>288</v>
      </c>
      <c r="B9" s="200">
        <v>1.2050670750382848</v>
      </c>
    </row>
    <row r="10" spans="1:2" x14ac:dyDescent="0.25">
      <c r="A10" s="194" t="s">
        <v>289</v>
      </c>
      <c r="B10" s="200">
        <v>1.0686968325791855</v>
      </c>
    </row>
    <row r="11" spans="1:2" x14ac:dyDescent="0.25">
      <c r="A11" s="194" t="s">
        <v>290</v>
      </c>
      <c r="B11" s="200">
        <v>1.0808378063010502</v>
      </c>
    </row>
    <row r="12" spans="1:2" x14ac:dyDescent="0.25">
      <c r="A12" s="194" t="s">
        <v>291</v>
      </c>
      <c r="B12" s="200" t="e">
        <v>#DIV/0!</v>
      </c>
    </row>
    <row r="13" spans="1:2" x14ac:dyDescent="0.25">
      <c r="A13" s="194" t="s">
        <v>292</v>
      </c>
      <c r="B13" s="200" t="e">
        <v>#DIV/0!</v>
      </c>
    </row>
    <row r="14" spans="1:2" x14ac:dyDescent="0.25">
      <c r="A14" s="194" t="s">
        <v>293</v>
      </c>
      <c r="B14" s="200" t="e">
        <v>#DIV/0!</v>
      </c>
    </row>
    <row r="15" spans="1:2" x14ac:dyDescent="0.25">
      <c r="A15" s="194" t="s">
        <v>294</v>
      </c>
      <c r="B15" s="200" t="e">
        <v>#DIV/0!</v>
      </c>
    </row>
    <row r="16" spans="1:2" x14ac:dyDescent="0.25">
      <c r="A16" s="194" t="s">
        <v>114</v>
      </c>
      <c r="B16" s="200" t="e">
        <v>#DIV/0!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2" sqref="A12"/>
    </sheetView>
  </sheetViews>
  <sheetFormatPr defaultRowHeight="15" x14ac:dyDescent="0.25"/>
  <cols>
    <col min="1" max="1" width="8.140625" customWidth="1"/>
    <col min="2" max="2" width="12.85546875" customWidth="1"/>
    <col min="3" max="3" width="14.7109375" customWidth="1"/>
    <col min="4" max="4" width="15.7109375" customWidth="1"/>
    <col min="5" max="5" width="10.140625" customWidth="1"/>
    <col min="6" max="6" width="13.140625" customWidth="1"/>
    <col min="7" max="7" width="9.28515625" customWidth="1"/>
    <col min="8" max="8" width="13.140625" customWidth="1"/>
    <col min="9" max="9" width="9.42578125" customWidth="1"/>
    <col min="10" max="10" width="10.28515625" customWidth="1"/>
    <col min="11" max="11" width="29.85546875" customWidth="1"/>
    <col min="12" max="12" width="13" customWidth="1"/>
    <col min="13" max="13" width="23.140625" customWidth="1"/>
    <col min="14" max="14" width="11.140625" customWidth="1"/>
  </cols>
  <sheetData>
    <row r="1" spans="1:16" ht="18.75" x14ac:dyDescent="0.3">
      <c r="A1" s="327" t="s">
        <v>228</v>
      </c>
      <c r="K1" s="339" t="s">
        <v>248</v>
      </c>
      <c r="L1" s="340"/>
      <c r="M1" s="340" t="s">
        <v>249</v>
      </c>
      <c r="N1" s="341"/>
    </row>
    <row r="2" spans="1:16" ht="18.75" x14ac:dyDescent="0.3">
      <c r="A2" s="327"/>
      <c r="K2" s="342">
        <v>15587</v>
      </c>
      <c r="L2" s="343"/>
      <c r="M2" s="343">
        <v>0.221</v>
      </c>
      <c r="N2" s="344"/>
    </row>
    <row r="3" spans="1:16" ht="19.5" thickBot="1" x14ac:dyDescent="0.35">
      <c r="A3" s="327"/>
      <c r="K3" s="345"/>
      <c r="L3" s="259"/>
      <c r="M3" s="259"/>
      <c r="N3" s="344"/>
    </row>
    <row r="4" spans="1:16" ht="15.75" thickBot="1" x14ac:dyDescent="0.3">
      <c r="B4" s="328" t="s">
        <v>245</v>
      </c>
      <c r="C4" s="329" t="s">
        <v>230</v>
      </c>
      <c r="D4" s="329" t="s">
        <v>244</v>
      </c>
      <c r="E4" s="329" t="s">
        <v>232</v>
      </c>
      <c r="F4" s="329" t="s">
        <v>234</v>
      </c>
      <c r="G4" s="330" t="s">
        <v>236</v>
      </c>
      <c r="H4" s="330" t="s">
        <v>238</v>
      </c>
      <c r="I4" s="330" t="s">
        <v>239</v>
      </c>
      <c r="J4" s="330" t="s">
        <v>240</v>
      </c>
      <c r="K4" s="351" t="s">
        <v>251</v>
      </c>
      <c r="L4" s="352" t="s">
        <v>247</v>
      </c>
      <c r="M4" s="352" t="s">
        <v>250</v>
      </c>
      <c r="N4" s="353" t="s">
        <v>247</v>
      </c>
      <c r="P4" t="s">
        <v>135</v>
      </c>
    </row>
    <row r="5" spans="1:16" x14ac:dyDescent="0.25">
      <c r="B5" s="384" t="s">
        <v>113</v>
      </c>
      <c r="C5" s="385" t="s">
        <v>243</v>
      </c>
      <c r="D5" s="385" t="s">
        <v>229</v>
      </c>
      <c r="E5" s="385" t="s">
        <v>231</v>
      </c>
      <c r="F5" s="385" t="s">
        <v>233</v>
      </c>
      <c r="G5" s="385" t="s">
        <v>235</v>
      </c>
      <c r="H5" s="385" t="s">
        <v>237</v>
      </c>
      <c r="I5" s="385" t="s">
        <v>241</v>
      </c>
      <c r="J5" s="386" t="s">
        <v>242</v>
      </c>
      <c r="K5" s="342"/>
      <c r="L5" s="343"/>
      <c r="M5" s="343"/>
      <c r="N5" s="354"/>
      <c r="P5" t="s">
        <v>246</v>
      </c>
    </row>
    <row r="6" spans="1:16" x14ac:dyDescent="0.25">
      <c r="B6" s="331">
        <v>2011</v>
      </c>
      <c r="C6" s="332">
        <v>1156279.2055800001</v>
      </c>
      <c r="D6" s="332">
        <v>68538069.879999995</v>
      </c>
      <c r="E6" s="333">
        <v>7856620</v>
      </c>
      <c r="F6" s="332">
        <v>519545.22557999997</v>
      </c>
      <c r="G6" s="334">
        <v>916677</v>
      </c>
      <c r="H6" s="332">
        <v>465319.46000000008</v>
      </c>
      <c r="I6" s="334">
        <v>6903</v>
      </c>
      <c r="J6" s="387">
        <v>0.90711574677676376</v>
      </c>
      <c r="K6" s="346">
        <f>(GETPIVOTDATA("Vsota od P3",$B$5,"OBD",2011)*34076/3600+GETPIVOTDATA("Vsota od E11",$B$5,"OBD",2011))/1000</f>
        <v>16533.477070000001</v>
      </c>
      <c r="L6" s="347"/>
      <c r="M6" s="348">
        <f>(GETPIVOTDATA("Vsota od P3",$B$5,"OBD",2011)*34076/3600+GETPIVOTDATA("Vsota od E11",$B$5,"OBD",2011))/GETPIVOTDATA("Vsota od S2",$B$5,"OBD",2011)</f>
        <v>0.24123056133543982</v>
      </c>
      <c r="N6" s="354"/>
      <c r="P6" t="s">
        <v>136</v>
      </c>
    </row>
    <row r="7" spans="1:16" x14ac:dyDescent="0.25">
      <c r="B7" s="331">
        <v>2012</v>
      </c>
      <c r="C7" s="332">
        <v>1170950.1149499998</v>
      </c>
      <c r="D7" s="332">
        <v>69219240.719999999</v>
      </c>
      <c r="E7" s="333">
        <v>7981139</v>
      </c>
      <c r="F7" s="332">
        <v>521343.57495000004</v>
      </c>
      <c r="G7" s="334">
        <v>866570</v>
      </c>
      <c r="H7" s="332">
        <v>477084.58999999991</v>
      </c>
      <c r="I7" s="334">
        <v>7609</v>
      </c>
      <c r="J7" s="387">
        <v>0.90781705874622143</v>
      </c>
      <c r="K7" s="346">
        <f>(GETPIVOTDATA("Vsota od P3",$B$5,"OBD",2012)*34076/3600+GETPIVOTDATA("Vsota od E11",$B$5,"OBD",2012))/1000</f>
        <v>16183.705477777779</v>
      </c>
      <c r="L7" s="347"/>
      <c r="M7" s="348">
        <f>(GETPIVOTDATA("Vsota od P3",$B$5,"OBD",2012)*34076/3600+GETPIVOTDATA("Vsota od E11",$B$5,"OBD",2012))/GETPIVOTDATA("Vsota od S2",$B$5,"OBD",2012)</f>
        <v>0.23380356833503532</v>
      </c>
      <c r="N7" s="354"/>
    </row>
    <row r="8" spans="1:16" x14ac:dyDescent="0.25">
      <c r="B8" s="331">
        <v>2013</v>
      </c>
      <c r="C8" s="332">
        <v>1138762.4906500001</v>
      </c>
      <c r="D8" s="332">
        <v>74423660.519999996</v>
      </c>
      <c r="E8" s="333">
        <v>8366249</v>
      </c>
      <c r="F8" s="332">
        <v>522258.44565000001</v>
      </c>
      <c r="G8" s="334">
        <v>813999</v>
      </c>
      <c r="H8" s="332">
        <v>395850.67499999999</v>
      </c>
      <c r="I8" s="334">
        <v>9413</v>
      </c>
      <c r="J8" s="387">
        <v>0.90117497078508468</v>
      </c>
      <c r="K8" s="346">
        <f>(GETPIVOTDATA("Vsota od P3",$B$5,"OBD",2013)*34076/3600+GETPIVOTDATA("Vsota od E11",$B$5,"OBD",2013))/1000</f>
        <v>16071.201756666667</v>
      </c>
      <c r="L8" s="349">
        <f>K2</f>
        <v>15587</v>
      </c>
      <c r="M8" s="348">
        <f>(GETPIVOTDATA("Vsota od P3",$B$5,"OBD",2013)*34076/3600+GETPIVOTDATA("Vsota od E11",$B$5,"OBD",2013))/GETPIVOTDATA("Vsota od S2",$B$5,"OBD",2013)</f>
        <v>0.21594210287933668</v>
      </c>
      <c r="N8" s="356">
        <v>0.221</v>
      </c>
    </row>
    <row r="9" spans="1:16" x14ac:dyDescent="0.25">
      <c r="B9" s="331">
        <v>2014</v>
      </c>
      <c r="C9" s="332">
        <v>866430.90086000005</v>
      </c>
      <c r="D9" s="332">
        <v>70434689.920000002</v>
      </c>
      <c r="E9" s="333">
        <v>7925336</v>
      </c>
      <c r="F9" s="332">
        <v>399582.89086000004</v>
      </c>
      <c r="G9" s="334">
        <v>593947.5199999999</v>
      </c>
      <c r="H9" s="332">
        <v>280791.05</v>
      </c>
      <c r="I9" s="334">
        <v>6724.6559999999999</v>
      </c>
      <c r="J9" s="387">
        <v>1.2571393986547417</v>
      </c>
      <c r="K9" s="346">
        <f>(GETPIVOTDATA("Vsota od P3",$B$5,"OBD",2014)*34076/3600+GETPIVOTDATA("Vsota od E11",$B$5,"OBD",2014))/1000</f>
        <v>13547.379247644443</v>
      </c>
      <c r="L9" s="349">
        <f>L8*0.99</f>
        <v>15431.13</v>
      </c>
      <c r="M9" s="348">
        <f>(GETPIVOTDATA("Vsota od P3",$B$5,"OBD",2014)*34076/3600+GETPIVOTDATA("Vsota od E11",$B$5,"OBD",2014))/GETPIVOTDATA("Vsota od S2",$B$5,"OBD",2014)</f>
        <v>0.19233958810682081</v>
      </c>
      <c r="N9" s="356">
        <f>N8-0.01</f>
        <v>0.21099999999999999</v>
      </c>
    </row>
    <row r="10" spans="1:16" x14ac:dyDescent="0.25">
      <c r="B10" s="331">
        <v>2015</v>
      </c>
      <c r="C10" s="332">
        <v>890990.86900000006</v>
      </c>
      <c r="D10" s="332">
        <v>82265003.840000004</v>
      </c>
      <c r="E10" s="333">
        <v>8913281</v>
      </c>
      <c r="F10" s="332">
        <v>503793.83299999998</v>
      </c>
      <c r="G10" s="334">
        <v>647411.78899999999</v>
      </c>
      <c r="H10" s="332">
        <v>241932.20600000003</v>
      </c>
      <c r="I10" s="334">
        <v>7455</v>
      </c>
      <c r="J10" s="387">
        <v>1.3021006036217304</v>
      </c>
      <c r="K10" s="346">
        <f>(GETPIVOTDATA("Vsota od P3",$B$5,"OBD",2015)*34076/3600+GETPIVOTDATA("Vsota od E11",$B$5,"OBD",2015))/1000</f>
        <v>15041.393256101112</v>
      </c>
      <c r="L10" s="349">
        <f t="shared" ref="L10" si="0">L9*0.99</f>
        <v>15276.8187</v>
      </c>
      <c r="M10" s="348">
        <f>(GETPIVOTDATA("Vsota od P3",$B$5,"OBD",2015)*34076/3600+GETPIVOTDATA("Vsota od E11",$B$5,"OBD",2015))/GETPIVOTDATA("Vsota od S2",$B$5,"OBD",2015)</f>
        <v>0.18284072879101332</v>
      </c>
      <c r="N10" s="356">
        <f>N9-0.01</f>
        <v>0.20099999999999998</v>
      </c>
    </row>
    <row r="11" spans="1:16" x14ac:dyDescent="0.25">
      <c r="B11" s="331">
        <v>2016</v>
      </c>
      <c r="C11" s="332">
        <v>861198.26105693425</v>
      </c>
      <c r="D11" s="332">
        <v>80972131</v>
      </c>
      <c r="E11" s="333">
        <v>8564840</v>
      </c>
      <c r="F11" s="332">
        <v>488067.75820000004</v>
      </c>
      <c r="G11" s="334">
        <v>664386.24244798766</v>
      </c>
      <c r="H11" s="332">
        <v>228936.75103093422</v>
      </c>
      <c r="I11" s="334">
        <v>11369.878000000001</v>
      </c>
      <c r="J11" s="387">
        <v>1.0818156383032429</v>
      </c>
      <c r="K11" s="346">
        <f>(GETPIVOTDATA("Vsota od P3",$B$5,"OBD",2016)*34076/3600+GETPIVOTDATA("Vsota od E11",$B$5,"OBD",2016))/1000</f>
        <v>14853.62488823823</v>
      </c>
      <c r="L11" s="349">
        <f>L10*0.99</f>
        <v>15124.050513</v>
      </c>
      <c r="M11" s="348">
        <f>(GETPIVOTDATA("Vsota od P3",$B$5,"OBD",2016)*34076/3600+GETPIVOTDATA("Vsota od E11",$B$5,"OBD",2016))/GETPIVOTDATA("Vsota od S2",$B$5,"OBD",2016)</f>
        <v>0.18344120013635593</v>
      </c>
      <c r="N11" s="356">
        <f>N10-0.01</f>
        <v>0.19099999999999998</v>
      </c>
    </row>
    <row r="12" spans="1:16" ht="15.75" thickBot="1" x14ac:dyDescent="0.3">
      <c r="B12" s="335">
        <v>2017</v>
      </c>
      <c r="C12" s="336">
        <v>912879.99949380697</v>
      </c>
      <c r="D12" s="336">
        <v>95143993.210000008</v>
      </c>
      <c r="E12" s="337">
        <v>9087272</v>
      </c>
      <c r="F12" s="336">
        <v>495562.58755000005</v>
      </c>
      <c r="G12" s="338">
        <v>682077.87343125546</v>
      </c>
      <c r="H12" s="336">
        <v>268126.9818409069</v>
      </c>
      <c r="I12" s="338">
        <v>10026.027999999998</v>
      </c>
      <c r="J12" s="388">
        <v>1.1294762096116231</v>
      </c>
      <c r="K12" s="346">
        <f>(GETPIVOTDATA("Vsota od P3",$B$5,"OBD",2017)*34076/3600+GETPIVOTDATA("Vsota od E11",$B$5,"OBD",2017))/1000</f>
        <v>15543.518004178741</v>
      </c>
      <c r="L12" s="349">
        <v>15000</v>
      </c>
      <c r="M12" s="348">
        <f>(GETPIVOTDATA("Vsota od P3",$B$5,"OBD",2017)*34076/3600+GETPIVOTDATA("Vsota od E11",$B$5,"OBD",2017))/GETPIVOTDATA("Vsota od S2",$B$5,"OBD",2017)</f>
        <v>0.16336835862954988</v>
      </c>
      <c r="N12" s="356">
        <f>N11-0.001</f>
        <v>0.18999999999999997</v>
      </c>
      <c r="P12" t="s">
        <v>295</v>
      </c>
    </row>
    <row r="13" spans="1:16" ht="15.75" thickBot="1" x14ac:dyDescent="0.3">
      <c r="B13" s="410">
        <v>2018</v>
      </c>
      <c r="K13" s="350"/>
      <c r="L13" s="355">
        <v>16000</v>
      </c>
      <c r="M13" s="260"/>
      <c r="N13" s="357">
        <v>0.17</v>
      </c>
    </row>
    <row r="18" spans="3:7" x14ac:dyDescent="0.25">
      <c r="C18" t="s">
        <v>296</v>
      </c>
      <c r="D18" t="s">
        <v>297</v>
      </c>
      <c r="G18" t="s">
        <v>298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6"/>
  <sheetViews>
    <sheetView tabSelected="1" zoomScale="85" zoomScaleNormal="85" workbookViewId="0">
      <pane xSplit="2" ySplit="4" topLeftCell="C89" activePane="bottomRight" state="frozenSplit"/>
      <selection pane="topRight" activeCell="B1" sqref="B1"/>
      <selection pane="bottomLeft" activeCell="A3" sqref="A3"/>
      <selection pane="bottomRight" activeCell="F121" sqref="F121"/>
    </sheetView>
  </sheetViews>
  <sheetFormatPr defaultColWidth="9.140625" defaultRowHeight="15" x14ac:dyDescent="0.25"/>
  <cols>
    <col min="1" max="1" width="2.85546875" style="2" customWidth="1"/>
    <col min="2" max="3" width="9.140625" style="2"/>
    <col min="4" max="4" width="10.140625" style="2" bestFit="1" customWidth="1"/>
    <col min="5" max="5" width="9.5703125" style="2" customWidth="1"/>
    <col min="6" max="6" width="3.7109375" style="2" customWidth="1"/>
    <col min="7" max="7" width="12.85546875" style="2" customWidth="1"/>
    <col min="8" max="8" width="12.28515625" style="2" customWidth="1"/>
    <col min="9" max="9" width="9.85546875" style="2" customWidth="1"/>
    <col min="10" max="10" width="4" style="2" customWidth="1"/>
    <col min="11" max="11" width="12.7109375" style="2" customWidth="1"/>
    <col min="12" max="12" width="12" style="2" customWidth="1"/>
    <col min="13" max="13" width="11.42578125" style="2" customWidth="1"/>
    <col min="14" max="14" width="3.140625" style="2" customWidth="1"/>
    <col min="15" max="15" width="19.42578125" style="2" customWidth="1"/>
    <col min="16" max="16" width="18.28515625" style="2" customWidth="1"/>
    <col min="17" max="17" width="19.5703125" style="2" customWidth="1"/>
    <col min="18" max="18" width="20.7109375" style="2" customWidth="1"/>
    <col min="19" max="19" width="16" style="2" customWidth="1"/>
    <col min="20" max="20" width="23.5703125" style="2" customWidth="1"/>
    <col min="21" max="21" width="11.42578125" style="2" customWidth="1"/>
    <col min="22" max="22" width="3.42578125" style="2" customWidth="1"/>
    <col min="23" max="23" width="11.7109375" style="2" customWidth="1"/>
    <col min="24" max="24" width="13.7109375" style="2" customWidth="1"/>
    <col min="25" max="25" width="12" style="2" customWidth="1"/>
    <col min="26" max="26" width="3.42578125" style="2" customWidth="1"/>
    <col min="27" max="27" width="13.140625" style="2" customWidth="1"/>
    <col min="28" max="28" width="5" style="2" customWidth="1"/>
    <col min="29" max="29" width="13.85546875" style="2" customWidth="1"/>
    <col min="30" max="30" width="13.7109375" style="2" customWidth="1"/>
    <col min="31" max="31" width="16" style="2" customWidth="1"/>
    <col min="32" max="32" width="3.5703125" style="110" customWidth="1"/>
    <col min="33" max="33" width="16.5703125" style="2" customWidth="1"/>
    <col min="34" max="34" width="14.28515625" style="2" customWidth="1"/>
    <col min="35" max="35" width="14.42578125" style="2" customWidth="1"/>
    <col min="36" max="36" width="3.7109375" style="2" customWidth="1"/>
    <col min="37" max="37" width="14.42578125" style="2" customWidth="1"/>
    <col min="38" max="38" width="5" style="2" customWidth="1"/>
    <col min="39" max="42" width="9.140625" style="2"/>
    <col min="43" max="43" width="4.140625" style="2" customWidth="1"/>
    <col min="44" max="44" width="9.140625" style="2"/>
    <col min="45" max="45" width="11.5703125" style="2" bestFit="1" customWidth="1"/>
    <col min="46" max="47" width="9.140625" style="2"/>
    <col min="48" max="48" width="4" style="2" customWidth="1"/>
    <col min="49" max="49" width="9.140625" style="2"/>
    <col min="50" max="50" width="8" style="2" customWidth="1"/>
    <col min="51" max="51" width="14.5703125" style="2" customWidth="1"/>
    <col min="52" max="52" width="15.42578125" style="2" customWidth="1"/>
    <col min="53" max="16384" width="9.140625" style="2"/>
  </cols>
  <sheetData>
    <row r="1" spans="1:59" s="391" customFormat="1" ht="12" x14ac:dyDescent="0.25">
      <c r="A1" s="391">
        <v>0</v>
      </c>
      <c r="B1" s="391">
        <v>1</v>
      </c>
      <c r="C1" s="391">
        <v>2</v>
      </c>
      <c r="D1" s="391">
        <v>3</v>
      </c>
      <c r="E1" s="391">
        <v>4</v>
      </c>
      <c r="F1" s="391">
        <v>5</v>
      </c>
      <c r="G1" s="391">
        <v>6</v>
      </c>
      <c r="H1" s="391">
        <v>7</v>
      </c>
      <c r="I1" s="391">
        <v>8</v>
      </c>
      <c r="J1" s="391">
        <v>9</v>
      </c>
      <c r="K1" s="391">
        <v>10</v>
      </c>
      <c r="L1" s="391">
        <v>11</v>
      </c>
      <c r="M1" s="391">
        <v>12</v>
      </c>
      <c r="N1" s="391">
        <v>13</v>
      </c>
      <c r="O1" s="391">
        <v>14</v>
      </c>
      <c r="P1" s="391">
        <v>15</v>
      </c>
      <c r="Q1" s="391">
        <v>16</v>
      </c>
      <c r="R1" s="391">
        <v>17</v>
      </c>
      <c r="S1" s="391">
        <v>18</v>
      </c>
      <c r="T1" s="391">
        <v>19</v>
      </c>
      <c r="U1" s="391">
        <v>20</v>
      </c>
      <c r="V1" s="391">
        <v>21</v>
      </c>
      <c r="W1" s="391">
        <v>22</v>
      </c>
      <c r="X1" s="391">
        <v>23</v>
      </c>
      <c r="Y1" s="391">
        <v>24</v>
      </c>
      <c r="Z1" s="391">
        <v>25</v>
      </c>
      <c r="AA1" s="391">
        <v>26</v>
      </c>
      <c r="AB1" s="391">
        <v>27</v>
      </c>
      <c r="AC1" s="391">
        <v>28</v>
      </c>
      <c r="AD1" s="391">
        <v>29</v>
      </c>
      <c r="AE1" s="391">
        <v>30</v>
      </c>
      <c r="AF1" s="391">
        <v>31</v>
      </c>
      <c r="AG1" s="391">
        <v>32</v>
      </c>
      <c r="AH1" s="391">
        <v>33</v>
      </c>
      <c r="AI1" s="391">
        <v>34</v>
      </c>
      <c r="AJ1" s="391">
        <v>35</v>
      </c>
      <c r="AK1" s="391">
        <v>36</v>
      </c>
      <c r="AL1" s="391">
        <v>37</v>
      </c>
      <c r="AM1" s="391">
        <v>38</v>
      </c>
      <c r="AN1" s="391">
        <v>39</v>
      </c>
      <c r="AO1" s="391">
        <v>40</v>
      </c>
      <c r="AP1" s="391">
        <v>41</v>
      </c>
      <c r="AQ1" s="391">
        <v>42</v>
      </c>
      <c r="AR1" s="391">
        <v>43</v>
      </c>
      <c r="AS1" s="391">
        <v>44</v>
      </c>
      <c r="AT1" s="391">
        <v>45</v>
      </c>
      <c r="AU1" s="391">
        <v>46</v>
      </c>
      <c r="AV1" s="391">
        <v>47</v>
      </c>
      <c r="AW1" s="391">
        <v>48</v>
      </c>
      <c r="AX1" s="391">
        <v>49</v>
      </c>
      <c r="AY1" s="391">
        <v>50</v>
      </c>
      <c r="AZ1" s="391">
        <v>51</v>
      </c>
      <c r="BA1" s="391">
        <v>52</v>
      </c>
      <c r="BB1" s="391">
        <v>53</v>
      </c>
      <c r="BC1" s="391">
        <v>54</v>
      </c>
      <c r="BD1" s="391">
        <v>55</v>
      </c>
      <c r="BE1" s="391">
        <v>56</v>
      </c>
      <c r="BF1" s="391">
        <v>57</v>
      </c>
      <c r="BG1" s="391">
        <v>58</v>
      </c>
    </row>
    <row r="2" spans="1:59" ht="30.75" thickBot="1" x14ac:dyDescent="0.3">
      <c r="B2" s="2" t="s">
        <v>227</v>
      </c>
      <c r="C2" s="2" t="s">
        <v>170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2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 t="s">
        <v>182</v>
      </c>
      <c r="P2" s="2" t="s">
        <v>183</v>
      </c>
      <c r="Q2" s="2" t="s">
        <v>184</v>
      </c>
      <c r="R2" s="2" t="s">
        <v>185</v>
      </c>
      <c r="S2" s="2" t="s">
        <v>186</v>
      </c>
      <c r="T2" s="2" t="s">
        <v>187</v>
      </c>
      <c r="U2" s="2" t="s">
        <v>188</v>
      </c>
      <c r="V2" s="2" t="s">
        <v>189</v>
      </c>
      <c r="W2" s="2" t="s">
        <v>190</v>
      </c>
      <c r="X2" s="2" t="s">
        <v>191</v>
      </c>
      <c r="Y2" s="2" t="s">
        <v>192</v>
      </c>
      <c r="Z2" s="2" t="s">
        <v>193</v>
      </c>
      <c r="AA2" s="2" t="s">
        <v>194</v>
      </c>
      <c r="AB2" s="2" t="s">
        <v>205</v>
      </c>
      <c r="AC2" s="2" t="s">
        <v>195</v>
      </c>
      <c r="AD2" s="2" t="s">
        <v>196</v>
      </c>
      <c r="AE2" s="2" t="s">
        <v>197</v>
      </c>
      <c r="AF2" s="2" t="s">
        <v>198</v>
      </c>
      <c r="AG2" s="2" t="s">
        <v>199</v>
      </c>
      <c r="AH2" s="2" t="s">
        <v>200</v>
      </c>
      <c r="AI2" s="2" t="s">
        <v>201</v>
      </c>
      <c r="AJ2" s="2" t="s">
        <v>202</v>
      </c>
      <c r="AK2" s="2" t="s">
        <v>203</v>
      </c>
      <c r="AL2" s="2" t="s">
        <v>204</v>
      </c>
      <c r="AM2" s="2" t="s">
        <v>206</v>
      </c>
      <c r="AN2" s="2" t="s">
        <v>207</v>
      </c>
      <c r="AO2" s="2" t="s">
        <v>208</v>
      </c>
      <c r="AP2" s="2" t="s">
        <v>209</v>
      </c>
      <c r="AQ2" s="2" t="s">
        <v>210</v>
      </c>
      <c r="AR2" s="2" t="s">
        <v>211</v>
      </c>
      <c r="AS2" s="2" t="s">
        <v>212</v>
      </c>
      <c r="AT2" s="2" t="s">
        <v>213</v>
      </c>
      <c r="AU2" s="2" t="s">
        <v>214</v>
      </c>
      <c r="AV2" s="2" t="s">
        <v>215</v>
      </c>
      <c r="AW2" s="2" t="s">
        <v>216</v>
      </c>
      <c r="AX2" s="2" t="s">
        <v>217</v>
      </c>
      <c r="AY2" s="2" t="s">
        <v>218</v>
      </c>
      <c r="AZ2" s="2" t="s">
        <v>219</v>
      </c>
      <c r="BA2" s="2" t="s">
        <v>220</v>
      </c>
      <c r="BB2" s="2" t="s">
        <v>221</v>
      </c>
      <c r="BC2" s="2" t="s">
        <v>222</v>
      </c>
      <c r="BD2" s="2" t="s">
        <v>223</v>
      </c>
      <c r="BE2" s="2" t="s">
        <v>224</v>
      </c>
      <c r="BF2" s="2" t="s">
        <v>225</v>
      </c>
      <c r="BG2" s="2" t="s">
        <v>226</v>
      </c>
    </row>
    <row r="3" spans="1:59" ht="17.25" customHeight="1" thickBot="1" x14ac:dyDescent="0.3">
      <c r="B3" s="29" t="s">
        <v>64</v>
      </c>
      <c r="C3" s="427" t="s">
        <v>67</v>
      </c>
      <c r="D3" s="428"/>
      <c r="E3" s="429"/>
      <c r="F3" s="1"/>
      <c r="G3" s="427" t="s">
        <v>68</v>
      </c>
      <c r="H3" s="428"/>
      <c r="I3" s="429"/>
      <c r="J3" s="1"/>
      <c r="K3" s="430" t="s">
        <v>89</v>
      </c>
      <c r="L3" s="431"/>
      <c r="M3" s="432"/>
      <c r="O3" s="430" t="s">
        <v>62</v>
      </c>
      <c r="P3" s="431"/>
      <c r="Q3" s="431"/>
      <c r="R3" s="431"/>
      <c r="S3" s="431"/>
      <c r="T3" s="431"/>
      <c r="U3" s="432"/>
      <c r="W3" s="430" t="s">
        <v>62</v>
      </c>
      <c r="X3" s="433"/>
      <c r="Y3" s="434"/>
      <c r="AA3" s="93" t="s">
        <v>62</v>
      </c>
      <c r="AC3" s="29" t="s">
        <v>78</v>
      </c>
      <c r="AD3" s="430" t="s">
        <v>95</v>
      </c>
      <c r="AE3" s="432"/>
      <c r="AF3" s="150"/>
      <c r="AG3" s="430" t="s">
        <v>62</v>
      </c>
      <c r="AH3" s="431"/>
      <c r="AI3" s="432"/>
      <c r="AJ3" s="150"/>
      <c r="AK3" s="93" t="s">
        <v>62</v>
      </c>
      <c r="AL3" s="122"/>
      <c r="AM3" s="29" t="s">
        <v>82</v>
      </c>
      <c r="AN3" s="431" t="s">
        <v>95</v>
      </c>
      <c r="AO3" s="431"/>
      <c r="AP3" s="432"/>
      <c r="AQ3" s="125"/>
      <c r="AR3" s="424" t="s">
        <v>62</v>
      </c>
      <c r="AS3" s="425"/>
      <c r="AT3" s="425"/>
      <c r="AU3" s="426"/>
      <c r="AV3" s="46"/>
      <c r="AW3" s="93" t="s">
        <v>62</v>
      </c>
      <c r="AY3" s="430" t="s">
        <v>62</v>
      </c>
      <c r="AZ3" s="432"/>
    </row>
    <row r="4" spans="1:59" ht="48" customHeight="1" thickBot="1" x14ac:dyDescent="0.3">
      <c r="B4" s="162" t="s">
        <v>65</v>
      </c>
      <c r="C4" s="161" t="s">
        <v>0</v>
      </c>
      <c r="D4" s="161" t="s">
        <v>1</v>
      </c>
      <c r="E4" s="179" t="s">
        <v>66</v>
      </c>
      <c r="F4" s="163"/>
      <c r="G4" s="161" t="s">
        <v>0</v>
      </c>
      <c r="H4" s="161" t="s">
        <v>1</v>
      </c>
      <c r="I4" s="179" t="s">
        <v>66</v>
      </c>
      <c r="J4" s="163"/>
      <c r="K4" s="180" t="s">
        <v>87</v>
      </c>
      <c r="L4" s="180" t="s">
        <v>88</v>
      </c>
      <c r="M4" s="179" t="s">
        <v>66</v>
      </c>
      <c r="N4" s="164"/>
      <c r="O4" s="161" t="s">
        <v>164</v>
      </c>
      <c r="P4" s="180" t="s">
        <v>69</v>
      </c>
      <c r="Q4" s="161" t="s">
        <v>165</v>
      </c>
      <c r="R4" s="180" t="s">
        <v>70</v>
      </c>
      <c r="S4" s="161" t="s">
        <v>72</v>
      </c>
      <c r="T4" s="161" t="s">
        <v>71</v>
      </c>
      <c r="U4" s="179" t="s">
        <v>73</v>
      </c>
      <c r="V4" s="164"/>
      <c r="W4" s="161" t="s">
        <v>74</v>
      </c>
      <c r="X4" s="180" t="s">
        <v>76</v>
      </c>
      <c r="Y4" s="180" t="s">
        <v>75</v>
      </c>
      <c r="Z4" s="165"/>
      <c r="AA4" s="181" t="s">
        <v>77</v>
      </c>
      <c r="AB4" s="166"/>
      <c r="AC4" s="162" t="s">
        <v>92</v>
      </c>
      <c r="AD4" s="135" t="s">
        <v>93</v>
      </c>
      <c r="AE4" s="182" t="s">
        <v>79</v>
      </c>
      <c r="AF4" s="111"/>
      <c r="AG4" s="109" t="s">
        <v>80</v>
      </c>
      <c r="AH4" s="109" t="s">
        <v>91</v>
      </c>
      <c r="AI4" s="183" t="s">
        <v>81</v>
      </c>
      <c r="AJ4" s="129"/>
      <c r="AK4" s="184" t="s">
        <v>94</v>
      </c>
      <c r="AL4" s="167"/>
      <c r="AM4" s="135" t="s">
        <v>168</v>
      </c>
      <c r="AN4" s="161" t="s">
        <v>265</v>
      </c>
      <c r="AO4" s="161" t="s">
        <v>169</v>
      </c>
      <c r="AP4" s="179" t="s">
        <v>66</v>
      </c>
      <c r="AQ4" s="126"/>
      <c r="AR4" s="161" t="s">
        <v>83</v>
      </c>
      <c r="AS4" s="161" t="s">
        <v>84</v>
      </c>
      <c r="AT4" s="161" t="s">
        <v>85</v>
      </c>
      <c r="AU4" s="179" t="s">
        <v>80</v>
      </c>
      <c r="AV4" s="129"/>
      <c r="AW4" s="185" t="s">
        <v>63</v>
      </c>
      <c r="AX4" s="94"/>
      <c r="AY4" s="186" t="s">
        <v>86</v>
      </c>
      <c r="AZ4" s="171" t="s">
        <v>90</v>
      </c>
      <c r="BB4" s="437" t="s">
        <v>96</v>
      </c>
      <c r="BC4" s="437"/>
      <c r="BD4" s="437"/>
      <c r="BE4" s="437"/>
      <c r="BF4" s="437"/>
      <c r="BG4" s="437"/>
    </row>
    <row r="5" spans="1:59" x14ac:dyDescent="0.25">
      <c r="B5" s="57" t="s">
        <v>2</v>
      </c>
      <c r="C5" s="58">
        <v>81779</v>
      </c>
      <c r="D5" s="58">
        <v>371340</v>
      </c>
      <c r="E5" s="59">
        <f t="shared" ref="E5:E16" si="0">C5+D5</f>
        <v>453119</v>
      </c>
      <c r="F5" s="13"/>
      <c r="G5" s="58">
        <v>28154</v>
      </c>
      <c r="H5" s="58">
        <v>163440</v>
      </c>
      <c r="I5" s="59">
        <f t="shared" ref="I5:I16" si="1">G5+H5</f>
        <v>191594</v>
      </c>
      <c r="J5" s="13"/>
      <c r="K5" s="58">
        <f t="shared" ref="K5:K16" si="2">C5+G5</f>
        <v>109933</v>
      </c>
      <c r="L5" s="58">
        <f t="shared" ref="L5:L16" si="3">D5+H5</f>
        <v>534780</v>
      </c>
      <c r="M5" s="59">
        <f t="shared" ref="M5:M16" si="4">K5+L5</f>
        <v>644713</v>
      </c>
      <c r="N5" s="13"/>
      <c r="O5" s="60">
        <v>6.2609999999999999E-2</v>
      </c>
      <c r="P5" s="61">
        <f t="shared" ref="P5:P16" si="5">E5*O5</f>
        <v>28369.780589999998</v>
      </c>
      <c r="Q5" s="60">
        <v>4.1570000000000003E-2</v>
      </c>
      <c r="R5" s="61">
        <f t="shared" ref="R5:R16" si="6">I5*Q5</f>
        <v>7964.5625800000007</v>
      </c>
      <c r="S5" s="60">
        <v>3.5500000000000002E-3</v>
      </c>
      <c r="T5" s="61">
        <f>M5*S5</f>
        <v>2288.7311500000001</v>
      </c>
      <c r="U5" s="62">
        <f t="shared" ref="U5:U16" si="7">P5+R5+T5</f>
        <v>38623.07432</v>
      </c>
      <c r="V5" s="13"/>
      <c r="W5" s="62">
        <v>16742.03</v>
      </c>
      <c r="X5" s="63">
        <f t="shared" ref="X5:X16" si="8">U5/M5</f>
        <v>5.9907391847225044E-2</v>
      </c>
      <c r="Y5" s="64">
        <f t="shared" ref="Y5:Y17" si="9">(U5+W5)/M5</f>
        <v>8.5875582344391993E-2</v>
      </c>
      <c r="Z5" s="65"/>
      <c r="AA5" s="66">
        <f>U5+W5</f>
        <v>55365.104319999999</v>
      </c>
      <c r="AB5" s="94"/>
      <c r="AC5" s="145">
        <v>64560</v>
      </c>
      <c r="AD5" s="68">
        <v>71080</v>
      </c>
      <c r="AE5" s="69">
        <f>AC5+AD5</f>
        <v>135640</v>
      </c>
      <c r="AF5" s="112"/>
      <c r="AG5" s="7">
        <v>48830.400000000001</v>
      </c>
      <c r="AH5" s="143">
        <v>0</v>
      </c>
      <c r="AI5" s="9">
        <f>AG5-AH5</f>
        <v>48830.400000000001</v>
      </c>
      <c r="AJ5" s="151"/>
      <c r="AK5" s="127">
        <f>AI5/AE5</f>
        <v>0.36</v>
      </c>
      <c r="AL5" s="122"/>
      <c r="AM5" s="137">
        <v>6</v>
      </c>
      <c r="AN5" s="54">
        <v>41</v>
      </c>
      <c r="AO5" s="54">
        <v>278</v>
      </c>
      <c r="AP5" s="69">
        <f>SUM(AM5:AO5)</f>
        <v>325</v>
      </c>
      <c r="AQ5" s="47"/>
      <c r="AR5" s="98">
        <v>29.75</v>
      </c>
      <c r="AS5" s="99">
        <v>38.630000000000003</v>
      </c>
      <c r="AT5" s="99">
        <v>245.77</v>
      </c>
      <c r="AU5" s="74">
        <f>SUM(AR5:AT5)</f>
        <v>314.14999999999998</v>
      </c>
      <c r="AV5" s="130"/>
      <c r="AW5" s="127">
        <f>AU5/AP5</f>
        <v>0.96661538461538454</v>
      </c>
      <c r="AX5" s="122"/>
      <c r="AY5" s="95">
        <f>AA5+AI5+AU5</f>
        <v>104509.65432</v>
      </c>
      <c r="AZ5" s="172">
        <v>5312179.6399999997</v>
      </c>
      <c r="BB5" s="438"/>
      <c r="BC5" s="422"/>
      <c r="BD5" s="422"/>
      <c r="BE5" s="422"/>
      <c r="BF5" s="422"/>
      <c r="BG5" s="423"/>
    </row>
    <row r="6" spans="1:59" x14ac:dyDescent="0.25">
      <c r="B6" s="5" t="s">
        <v>3</v>
      </c>
      <c r="C6" s="3">
        <v>76714</v>
      </c>
      <c r="D6" s="3">
        <v>349080</v>
      </c>
      <c r="E6" s="4">
        <f t="shared" si="0"/>
        <v>425794</v>
      </c>
      <c r="F6" s="14"/>
      <c r="G6" s="3">
        <v>28891</v>
      </c>
      <c r="H6" s="3">
        <v>154110</v>
      </c>
      <c r="I6" s="4">
        <f t="shared" si="1"/>
        <v>183001</v>
      </c>
      <c r="J6" s="14"/>
      <c r="K6" s="3">
        <f t="shared" si="2"/>
        <v>105605</v>
      </c>
      <c r="L6" s="3">
        <f t="shared" si="3"/>
        <v>503190</v>
      </c>
      <c r="M6" s="4">
        <f t="shared" si="4"/>
        <v>608795</v>
      </c>
      <c r="N6" s="14"/>
      <c r="O6" s="6">
        <v>6.2609999999999999E-2</v>
      </c>
      <c r="P6" s="7">
        <f t="shared" si="5"/>
        <v>26658.962339999998</v>
      </c>
      <c r="Q6" s="6">
        <v>4.1570000000000003E-2</v>
      </c>
      <c r="R6" s="7">
        <f t="shared" si="6"/>
        <v>7607.3515700000007</v>
      </c>
      <c r="S6" s="6">
        <v>3.5500000000000002E-3</v>
      </c>
      <c r="T6" s="7">
        <f t="shared" ref="T6:T12" si="10">M6*S6</f>
        <v>2161.2222500000003</v>
      </c>
      <c r="U6" s="9">
        <f t="shared" si="7"/>
        <v>36427.536159999996</v>
      </c>
      <c r="V6" s="14"/>
      <c r="W6" s="9">
        <v>15961.68</v>
      </c>
      <c r="X6" s="31">
        <f t="shared" si="8"/>
        <v>5.9835471973324346E-2</v>
      </c>
      <c r="Y6" s="39">
        <f t="shared" si="9"/>
        <v>8.6053952742713061E-2</v>
      </c>
      <c r="Z6" s="16"/>
      <c r="AA6" s="36">
        <f t="shared" ref="AA6:AA16" si="11">U6+W6</f>
        <v>52389.216159999996</v>
      </c>
      <c r="AB6" s="94"/>
      <c r="AC6" s="146">
        <v>66110</v>
      </c>
      <c r="AD6" s="3">
        <v>67510</v>
      </c>
      <c r="AE6" s="69">
        <f t="shared" ref="AE6:AE16" si="12">AC6+AD6</f>
        <v>133620</v>
      </c>
      <c r="AF6" s="113"/>
      <c r="AG6" s="7">
        <v>61470.3</v>
      </c>
      <c r="AH6" s="143">
        <v>0</v>
      </c>
      <c r="AI6" s="9">
        <f t="shared" ref="AI6:AI16" si="13">AG6-AH6</f>
        <v>61470.3</v>
      </c>
      <c r="AJ6" s="151"/>
      <c r="AK6" s="127">
        <f t="shared" ref="AK6:AK16" si="14">AI6/AE6</f>
        <v>0.46003816793893132</v>
      </c>
      <c r="AL6" s="122"/>
      <c r="AM6" s="138">
        <v>30</v>
      </c>
      <c r="AN6" s="3">
        <v>138</v>
      </c>
      <c r="AO6" s="3">
        <v>376</v>
      </c>
      <c r="AP6" s="4">
        <f t="shared" ref="AP6:AP16" si="15">SUM(AM6:AO6)</f>
        <v>544</v>
      </c>
      <c r="AQ6" s="47"/>
      <c r="AR6" s="7">
        <v>49.49</v>
      </c>
      <c r="AS6" s="100">
        <v>118.39</v>
      </c>
      <c r="AT6" s="100">
        <v>326.33999999999997</v>
      </c>
      <c r="AU6" s="74">
        <f t="shared" ref="AU6:AU17" si="16">SUM(AR6:AT6)</f>
        <v>494.21999999999997</v>
      </c>
      <c r="AV6" s="130"/>
      <c r="AW6" s="127">
        <f t="shared" ref="AW6:AW16" si="17">AU6/AP6</f>
        <v>0.90849264705882349</v>
      </c>
      <c r="AX6" s="14"/>
      <c r="AY6" s="95">
        <f t="shared" ref="AY6:AY16" si="18">AA6+AI6+AU6</f>
        <v>114353.73616</v>
      </c>
      <c r="AZ6" s="95">
        <v>5550293.71</v>
      </c>
      <c r="BB6" s="416"/>
      <c r="BC6" s="417"/>
      <c r="BD6" s="417"/>
      <c r="BE6" s="417"/>
      <c r="BF6" s="417"/>
      <c r="BG6" s="418"/>
    </row>
    <row r="7" spans="1:59" x14ac:dyDescent="0.25">
      <c r="B7" s="5" t="s">
        <v>4</v>
      </c>
      <c r="C7" s="3">
        <v>92615</v>
      </c>
      <c r="D7" s="3">
        <v>441060</v>
      </c>
      <c r="E7" s="4">
        <f t="shared" si="0"/>
        <v>533675</v>
      </c>
      <c r="F7" s="14"/>
      <c r="G7" s="3">
        <v>38476</v>
      </c>
      <c r="H7" s="3">
        <v>188160</v>
      </c>
      <c r="I7" s="4">
        <f t="shared" si="1"/>
        <v>226636</v>
      </c>
      <c r="J7" s="14"/>
      <c r="K7" s="3">
        <f t="shared" si="2"/>
        <v>131091</v>
      </c>
      <c r="L7" s="3">
        <f t="shared" si="3"/>
        <v>629220</v>
      </c>
      <c r="M7" s="4">
        <f t="shared" si="4"/>
        <v>760311</v>
      </c>
      <c r="N7" s="14"/>
      <c r="O7" s="6">
        <v>6.2609999999999999E-2</v>
      </c>
      <c r="P7" s="7">
        <f t="shared" si="5"/>
        <v>33413.391750000003</v>
      </c>
      <c r="Q7" s="6">
        <v>4.1570000000000003E-2</v>
      </c>
      <c r="R7" s="7">
        <f t="shared" si="6"/>
        <v>9421.2585200000012</v>
      </c>
      <c r="S7" s="6">
        <v>3.5500000000000002E-3</v>
      </c>
      <c r="T7" s="7">
        <f t="shared" si="10"/>
        <v>2699.1040500000004</v>
      </c>
      <c r="U7" s="9">
        <f t="shared" si="7"/>
        <v>45533.754320000007</v>
      </c>
      <c r="V7" s="14"/>
      <c r="W7" s="9">
        <v>17541.939999999999</v>
      </c>
      <c r="X7" s="31">
        <f t="shared" si="8"/>
        <v>5.9888327697481696E-2</v>
      </c>
      <c r="Y7" s="39">
        <f t="shared" si="9"/>
        <v>8.2960386368209862E-2</v>
      </c>
      <c r="Z7" s="16"/>
      <c r="AA7" s="36">
        <f t="shared" si="11"/>
        <v>63075.69432000001</v>
      </c>
      <c r="AB7" s="94"/>
      <c r="AC7" s="146">
        <v>68230</v>
      </c>
      <c r="AD7" s="3">
        <v>52510</v>
      </c>
      <c r="AE7" s="69">
        <f t="shared" si="12"/>
        <v>120740</v>
      </c>
      <c r="AF7" s="113"/>
      <c r="AG7" s="7">
        <v>57879.26</v>
      </c>
      <c r="AH7" s="143">
        <v>0</v>
      </c>
      <c r="AI7" s="9">
        <f t="shared" si="13"/>
        <v>57879.26</v>
      </c>
      <c r="AJ7" s="151"/>
      <c r="AK7" s="127">
        <f t="shared" si="14"/>
        <v>0.47937104522113633</v>
      </c>
      <c r="AL7" s="122"/>
      <c r="AM7" s="138">
        <v>30</v>
      </c>
      <c r="AN7" s="3">
        <v>138</v>
      </c>
      <c r="AO7" s="3">
        <v>348</v>
      </c>
      <c r="AP7" s="4">
        <f t="shared" si="15"/>
        <v>516</v>
      </c>
      <c r="AQ7" s="47"/>
      <c r="AR7" s="7">
        <v>49.49</v>
      </c>
      <c r="AS7" s="100">
        <v>118.39</v>
      </c>
      <c r="AT7" s="100">
        <v>303.32</v>
      </c>
      <c r="AU7" s="74">
        <f t="shared" si="16"/>
        <v>471.2</v>
      </c>
      <c r="AV7" s="130"/>
      <c r="AW7" s="127">
        <f t="shared" si="17"/>
        <v>0.91317829457364341</v>
      </c>
      <c r="AX7" s="14"/>
      <c r="AY7" s="95">
        <f t="shared" si="18"/>
        <v>121426.15432000002</v>
      </c>
      <c r="AZ7" s="95">
        <v>7153648.29</v>
      </c>
      <c r="BB7" s="416"/>
      <c r="BC7" s="417"/>
      <c r="BD7" s="417"/>
      <c r="BE7" s="417"/>
      <c r="BF7" s="417"/>
      <c r="BG7" s="418"/>
    </row>
    <row r="8" spans="1:59" x14ac:dyDescent="0.25">
      <c r="B8" s="5" t="s">
        <v>5</v>
      </c>
      <c r="C8" s="3">
        <v>71525</v>
      </c>
      <c r="D8" s="3">
        <v>352650</v>
      </c>
      <c r="E8" s="4">
        <f t="shared" si="0"/>
        <v>424175</v>
      </c>
      <c r="F8" s="14"/>
      <c r="G8" s="3">
        <v>29966</v>
      </c>
      <c r="H8" s="3">
        <v>190650</v>
      </c>
      <c r="I8" s="4">
        <f t="shared" si="1"/>
        <v>220616</v>
      </c>
      <c r="J8" s="14"/>
      <c r="K8" s="3">
        <f t="shared" si="2"/>
        <v>101491</v>
      </c>
      <c r="L8" s="3">
        <f t="shared" si="3"/>
        <v>543300</v>
      </c>
      <c r="M8" s="4">
        <f t="shared" si="4"/>
        <v>644791</v>
      </c>
      <c r="N8" s="14"/>
      <c r="O8" s="6">
        <v>6.2609999999999999E-2</v>
      </c>
      <c r="P8" s="7">
        <f t="shared" si="5"/>
        <v>26557.596750000001</v>
      </c>
      <c r="Q8" s="6">
        <v>4.1570000000000003E-2</v>
      </c>
      <c r="R8" s="7">
        <f t="shared" si="6"/>
        <v>9171.0071200000002</v>
      </c>
      <c r="S8" s="6">
        <v>3.5500000000000002E-3</v>
      </c>
      <c r="T8" s="7">
        <f t="shared" si="10"/>
        <v>2289.0080499999999</v>
      </c>
      <c r="U8" s="9">
        <f t="shared" si="7"/>
        <v>38017.611919999996</v>
      </c>
      <c r="V8" s="14"/>
      <c r="W8" s="9">
        <v>13267</v>
      </c>
      <c r="X8" s="31">
        <f t="shared" si="8"/>
        <v>5.8961139221856376E-2</v>
      </c>
      <c r="Y8" s="39">
        <f t="shared" si="9"/>
        <v>7.9536798621568844E-2</v>
      </c>
      <c r="Z8" s="16"/>
      <c r="AA8" s="36">
        <f t="shared" si="11"/>
        <v>51284.611919999996</v>
      </c>
      <c r="AB8" s="94"/>
      <c r="AC8" s="146">
        <v>33020</v>
      </c>
      <c r="AD8" s="3">
        <v>20049</v>
      </c>
      <c r="AE8" s="69">
        <f t="shared" si="12"/>
        <v>53069</v>
      </c>
      <c r="AF8" s="113"/>
      <c r="AG8" s="7">
        <v>34641.089999999997</v>
      </c>
      <c r="AH8" s="143">
        <v>2212.08</v>
      </c>
      <c r="AI8" s="9">
        <f t="shared" si="13"/>
        <v>32429.009999999995</v>
      </c>
      <c r="AJ8" s="151"/>
      <c r="AK8" s="127">
        <f t="shared" si="14"/>
        <v>0.61107256590476544</v>
      </c>
      <c r="AL8" s="122"/>
      <c r="AM8" s="138">
        <v>30</v>
      </c>
      <c r="AN8" s="3">
        <v>138</v>
      </c>
      <c r="AO8" s="3">
        <v>348</v>
      </c>
      <c r="AP8" s="4">
        <f t="shared" si="15"/>
        <v>516</v>
      </c>
      <c r="AQ8" s="47"/>
      <c r="AR8" s="7">
        <v>49.49</v>
      </c>
      <c r="AS8" s="100">
        <v>118.39</v>
      </c>
      <c r="AT8" s="100">
        <v>303.32</v>
      </c>
      <c r="AU8" s="74">
        <f t="shared" si="16"/>
        <v>471.2</v>
      </c>
      <c r="AV8" s="130"/>
      <c r="AW8" s="127">
        <f t="shared" si="17"/>
        <v>0.91317829457364341</v>
      </c>
      <c r="AX8" s="14"/>
      <c r="AY8" s="95">
        <f t="shared" si="18"/>
        <v>84184.821919999988</v>
      </c>
      <c r="AZ8" s="95">
        <v>6187704.0700000003</v>
      </c>
      <c r="BB8" s="416"/>
      <c r="BC8" s="417"/>
      <c r="BD8" s="417"/>
      <c r="BE8" s="417"/>
      <c r="BF8" s="417"/>
      <c r="BG8" s="418"/>
    </row>
    <row r="9" spans="1:59" x14ac:dyDescent="0.25">
      <c r="B9" s="5" t="s">
        <v>6</v>
      </c>
      <c r="C9" s="3">
        <v>81999</v>
      </c>
      <c r="D9" s="3">
        <v>415410</v>
      </c>
      <c r="E9" s="4">
        <f t="shared" si="0"/>
        <v>497409</v>
      </c>
      <c r="F9" s="14"/>
      <c r="G9" s="3">
        <v>29763</v>
      </c>
      <c r="H9" s="3">
        <v>192660</v>
      </c>
      <c r="I9" s="4">
        <f t="shared" si="1"/>
        <v>222423</v>
      </c>
      <c r="J9" s="14"/>
      <c r="K9" s="3">
        <f t="shared" si="2"/>
        <v>111762</v>
      </c>
      <c r="L9" s="3">
        <f t="shared" si="3"/>
        <v>608070</v>
      </c>
      <c r="M9" s="4">
        <f t="shared" si="4"/>
        <v>719832</v>
      </c>
      <c r="N9" s="14"/>
      <c r="O9" s="6">
        <v>6.2609999999999999E-2</v>
      </c>
      <c r="P9" s="7">
        <f t="shared" si="5"/>
        <v>31142.77749</v>
      </c>
      <c r="Q9" s="6">
        <v>4.1570000000000003E-2</v>
      </c>
      <c r="R9" s="7">
        <f t="shared" si="6"/>
        <v>9246.1241100000007</v>
      </c>
      <c r="S9" s="6">
        <v>3.5500000000000002E-3</v>
      </c>
      <c r="T9" s="7">
        <f t="shared" si="10"/>
        <v>2555.4036000000001</v>
      </c>
      <c r="U9" s="9">
        <f t="shared" si="7"/>
        <v>42944.305199999995</v>
      </c>
      <c r="V9" s="14"/>
      <c r="W9" s="9">
        <v>13667.71</v>
      </c>
      <c r="X9" s="31">
        <f t="shared" si="8"/>
        <v>5.9658788717367378E-2</v>
      </c>
      <c r="Y9" s="39">
        <f t="shared" si="9"/>
        <v>7.8646149657142214E-2</v>
      </c>
      <c r="Z9" s="16"/>
      <c r="AA9" s="36">
        <f t="shared" si="11"/>
        <v>56612.015199999994</v>
      </c>
      <c r="AB9" s="94"/>
      <c r="AC9" s="146">
        <v>23255</v>
      </c>
      <c r="AD9" s="3">
        <v>24287</v>
      </c>
      <c r="AE9" s="69">
        <f t="shared" si="12"/>
        <v>47542</v>
      </c>
      <c r="AF9" s="113"/>
      <c r="AG9" s="7">
        <v>29562.47</v>
      </c>
      <c r="AH9" s="143">
        <v>0</v>
      </c>
      <c r="AI9" s="9">
        <f t="shared" si="13"/>
        <v>29562.47</v>
      </c>
      <c r="AJ9" s="151"/>
      <c r="AK9" s="127">
        <f t="shared" si="14"/>
        <v>0.62181797147785123</v>
      </c>
      <c r="AL9" s="122"/>
      <c r="AM9" s="138">
        <v>30</v>
      </c>
      <c r="AN9" s="3">
        <v>138</v>
      </c>
      <c r="AO9" s="3">
        <v>418</v>
      </c>
      <c r="AP9" s="4">
        <f t="shared" si="15"/>
        <v>586</v>
      </c>
      <c r="AQ9" s="47"/>
      <c r="AR9" s="7">
        <v>49.49</v>
      </c>
      <c r="AS9" s="100">
        <v>118.39</v>
      </c>
      <c r="AT9" s="100">
        <v>360.88</v>
      </c>
      <c r="AU9" s="74">
        <f t="shared" si="16"/>
        <v>528.76</v>
      </c>
      <c r="AV9" s="130"/>
      <c r="AW9" s="127">
        <f t="shared" si="17"/>
        <v>0.90232081911262796</v>
      </c>
      <c r="AX9" s="14"/>
      <c r="AY9" s="95">
        <f t="shared" si="18"/>
        <v>86703.24519999999</v>
      </c>
      <c r="AZ9" s="95">
        <v>6952467.7800000003</v>
      </c>
      <c r="BB9" s="416"/>
      <c r="BC9" s="417"/>
      <c r="BD9" s="417"/>
      <c r="BE9" s="417"/>
      <c r="BF9" s="417"/>
      <c r="BG9" s="418"/>
    </row>
    <row r="10" spans="1:59" x14ac:dyDescent="0.25">
      <c r="B10" s="5" t="s">
        <v>7</v>
      </c>
      <c r="C10" s="3">
        <v>85308</v>
      </c>
      <c r="D10" s="3">
        <v>414000</v>
      </c>
      <c r="E10" s="4">
        <f t="shared" si="0"/>
        <v>499308</v>
      </c>
      <c r="F10" s="14"/>
      <c r="G10" s="3">
        <v>30402</v>
      </c>
      <c r="H10" s="3">
        <v>175110</v>
      </c>
      <c r="I10" s="4">
        <f t="shared" si="1"/>
        <v>205512</v>
      </c>
      <c r="J10" s="14"/>
      <c r="K10" s="3">
        <f t="shared" si="2"/>
        <v>115710</v>
      </c>
      <c r="L10" s="3">
        <f t="shared" si="3"/>
        <v>589110</v>
      </c>
      <c r="M10" s="4">
        <f t="shared" si="4"/>
        <v>704820</v>
      </c>
      <c r="N10" s="14"/>
      <c r="O10" s="6">
        <v>6.2609999999999999E-2</v>
      </c>
      <c r="P10" s="7">
        <f t="shared" si="5"/>
        <v>31261.673879999998</v>
      </c>
      <c r="Q10" s="6">
        <v>4.1570000000000003E-2</v>
      </c>
      <c r="R10" s="7">
        <f t="shared" si="6"/>
        <v>8543.1338400000004</v>
      </c>
      <c r="S10" s="6">
        <v>3.5500000000000002E-3</v>
      </c>
      <c r="T10" s="7">
        <f t="shared" si="10"/>
        <v>2502.1110000000003</v>
      </c>
      <c r="U10" s="9">
        <f t="shared" si="7"/>
        <v>42306.918719999994</v>
      </c>
      <c r="V10" s="14"/>
      <c r="W10" s="9">
        <v>11502.88</v>
      </c>
      <c r="X10" s="31">
        <f t="shared" si="8"/>
        <v>6.0025139354728856E-2</v>
      </c>
      <c r="Y10" s="39">
        <f t="shared" si="9"/>
        <v>7.6345448086036133E-2</v>
      </c>
      <c r="Z10" s="16"/>
      <c r="AA10" s="36">
        <f t="shared" si="11"/>
        <v>53809.798719999992</v>
      </c>
      <c r="AB10" s="94"/>
      <c r="AC10" s="146">
        <v>19701</v>
      </c>
      <c r="AD10" s="3">
        <v>19833</v>
      </c>
      <c r="AE10" s="69">
        <f t="shared" si="12"/>
        <v>39534</v>
      </c>
      <c r="AF10" s="113"/>
      <c r="AG10" s="7">
        <v>26774</v>
      </c>
      <c r="AH10" s="143">
        <v>241.49</v>
      </c>
      <c r="AI10" s="9">
        <f t="shared" si="13"/>
        <v>26532.51</v>
      </c>
      <c r="AJ10" s="151"/>
      <c r="AK10" s="127">
        <f t="shared" si="14"/>
        <v>0.67113143117316731</v>
      </c>
      <c r="AL10" s="122"/>
      <c r="AM10" s="138">
        <v>30</v>
      </c>
      <c r="AN10" s="3">
        <v>138</v>
      </c>
      <c r="AO10" s="3">
        <v>381</v>
      </c>
      <c r="AP10" s="4">
        <f t="shared" si="15"/>
        <v>549</v>
      </c>
      <c r="AQ10" s="47"/>
      <c r="AR10" s="7">
        <v>49.49</v>
      </c>
      <c r="AS10" s="100">
        <v>118.39</v>
      </c>
      <c r="AT10" s="100">
        <v>330.47</v>
      </c>
      <c r="AU10" s="74">
        <f t="shared" si="16"/>
        <v>498.35</v>
      </c>
      <c r="AV10" s="130"/>
      <c r="AW10" s="127">
        <f t="shared" si="17"/>
        <v>0.90774134790528238</v>
      </c>
      <c r="AX10" s="14"/>
      <c r="AY10" s="95">
        <f t="shared" si="18"/>
        <v>80840.658719999992</v>
      </c>
      <c r="AZ10" s="95">
        <v>5983371.4400000004</v>
      </c>
      <c r="BB10" s="416"/>
      <c r="BC10" s="417"/>
      <c r="BD10" s="417"/>
      <c r="BE10" s="417"/>
      <c r="BF10" s="417"/>
      <c r="BG10" s="418"/>
    </row>
    <row r="11" spans="1:59" x14ac:dyDescent="0.25">
      <c r="B11" s="5" t="s">
        <v>8</v>
      </c>
      <c r="C11" s="3">
        <v>83747</v>
      </c>
      <c r="D11" s="3">
        <v>398910</v>
      </c>
      <c r="E11" s="4">
        <f t="shared" si="0"/>
        <v>482657</v>
      </c>
      <c r="F11" s="14"/>
      <c r="G11" s="3">
        <v>33514</v>
      </c>
      <c r="H11" s="3">
        <v>182460</v>
      </c>
      <c r="I11" s="4">
        <f t="shared" si="1"/>
        <v>215974</v>
      </c>
      <c r="J11" s="14"/>
      <c r="K11" s="3">
        <f t="shared" si="2"/>
        <v>117261</v>
      </c>
      <c r="L11" s="3">
        <f t="shared" si="3"/>
        <v>581370</v>
      </c>
      <c r="M11" s="4">
        <f t="shared" si="4"/>
        <v>698631</v>
      </c>
      <c r="N11" s="14"/>
      <c r="O11" s="11">
        <v>7.7380000000000004E-2</v>
      </c>
      <c r="P11" s="7">
        <f t="shared" si="5"/>
        <v>37347.998660000005</v>
      </c>
      <c r="Q11" s="11">
        <v>5.1380000000000002E-2</v>
      </c>
      <c r="R11" s="7">
        <f t="shared" si="6"/>
        <v>11096.744120000001</v>
      </c>
      <c r="S11" s="6">
        <v>3.5500000000000002E-3</v>
      </c>
      <c r="T11" s="7">
        <f t="shared" si="10"/>
        <v>2480.14005</v>
      </c>
      <c r="U11" s="9">
        <f t="shared" si="7"/>
        <v>50924.88283000001</v>
      </c>
      <c r="V11" s="14"/>
      <c r="W11" s="9">
        <v>11413.31</v>
      </c>
      <c r="X11" s="31">
        <f t="shared" si="8"/>
        <v>7.2892389301362243E-2</v>
      </c>
      <c r="Y11" s="39">
        <f t="shared" si="9"/>
        <v>8.9229067748210433E-2</v>
      </c>
      <c r="Z11" s="16"/>
      <c r="AA11" s="36">
        <f t="shared" si="11"/>
        <v>62338.192830000007</v>
      </c>
      <c r="AB11" s="94"/>
      <c r="AC11" s="146">
        <v>20089</v>
      </c>
      <c r="AD11" s="3">
        <v>20250</v>
      </c>
      <c r="AE11" s="69">
        <f t="shared" si="12"/>
        <v>40339</v>
      </c>
      <c r="AF11" s="113"/>
      <c r="AG11" s="7">
        <v>21873.5</v>
      </c>
      <c r="AH11" s="143">
        <v>350.35</v>
      </c>
      <c r="AI11" s="9">
        <f t="shared" si="13"/>
        <v>21523.15</v>
      </c>
      <c r="AJ11" s="151"/>
      <c r="AK11" s="127">
        <f t="shared" si="14"/>
        <v>0.53355685564838007</v>
      </c>
      <c r="AL11" s="122"/>
      <c r="AM11" s="138">
        <v>100</v>
      </c>
      <c r="AN11" s="3">
        <v>228</v>
      </c>
      <c r="AO11" s="3">
        <v>473</v>
      </c>
      <c r="AP11" s="4">
        <f t="shared" si="15"/>
        <v>801</v>
      </c>
      <c r="AQ11" s="47"/>
      <c r="AR11" s="7">
        <v>107.04</v>
      </c>
      <c r="AS11" s="100">
        <v>192.37</v>
      </c>
      <c r="AT11" s="100">
        <v>406.1</v>
      </c>
      <c r="AU11" s="74">
        <f t="shared" si="16"/>
        <v>705.51</v>
      </c>
      <c r="AV11" s="130"/>
      <c r="AW11" s="127">
        <f t="shared" si="17"/>
        <v>0.88078651685393261</v>
      </c>
      <c r="AX11" s="14"/>
      <c r="AY11" s="95">
        <f t="shared" si="18"/>
        <v>84566.852830000003</v>
      </c>
      <c r="AZ11" s="435">
        <v>9465172.5099999998</v>
      </c>
      <c r="BB11" s="416" t="s">
        <v>98</v>
      </c>
      <c r="BC11" s="417"/>
      <c r="BD11" s="417"/>
      <c r="BE11" s="417"/>
      <c r="BF11" s="417"/>
      <c r="BG11" s="418"/>
    </row>
    <row r="12" spans="1:59" x14ac:dyDescent="0.25">
      <c r="B12" s="5" t="s">
        <v>9</v>
      </c>
      <c r="C12" s="3">
        <v>45896</v>
      </c>
      <c r="D12" s="3">
        <v>232500</v>
      </c>
      <c r="E12" s="4">
        <f t="shared" si="0"/>
        <v>278396</v>
      </c>
      <c r="F12" s="14"/>
      <c r="G12" s="3">
        <v>15771</v>
      </c>
      <c r="H12" s="3">
        <v>121440</v>
      </c>
      <c r="I12" s="4">
        <f t="shared" si="1"/>
        <v>137211</v>
      </c>
      <c r="J12" s="14"/>
      <c r="K12" s="3">
        <f t="shared" si="2"/>
        <v>61667</v>
      </c>
      <c r="L12" s="3">
        <f t="shared" si="3"/>
        <v>353940</v>
      </c>
      <c r="M12" s="4">
        <f t="shared" si="4"/>
        <v>415607</v>
      </c>
      <c r="N12" s="14"/>
      <c r="O12" s="6">
        <v>7.7380000000000004E-2</v>
      </c>
      <c r="P12" s="7">
        <f t="shared" si="5"/>
        <v>21542.282480000002</v>
      </c>
      <c r="Q12" s="6">
        <v>5.1380000000000002E-2</v>
      </c>
      <c r="R12" s="7">
        <f t="shared" si="6"/>
        <v>7049.9011799999998</v>
      </c>
      <c r="S12" s="6">
        <v>3.5500000000000002E-3</v>
      </c>
      <c r="T12" s="7">
        <f t="shared" si="10"/>
        <v>1475.4048500000001</v>
      </c>
      <c r="U12" s="9">
        <f t="shared" si="7"/>
        <v>30067.588510000001</v>
      </c>
      <c r="V12" s="14"/>
      <c r="W12" s="9">
        <v>9648.99</v>
      </c>
      <c r="X12" s="31">
        <f t="shared" si="8"/>
        <v>7.2346203288202557E-2</v>
      </c>
      <c r="Y12" s="39">
        <f t="shared" si="9"/>
        <v>9.5562823797481752E-2</v>
      </c>
      <c r="Z12" s="16"/>
      <c r="AA12" s="36">
        <f t="shared" si="11"/>
        <v>39716.578509999999</v>
      </c>
      <c r="AB12" s="94"/>
      <c r="AC12" s="147">
        <v>171</v>
      </c>
      <c r="AD12" s="54">
        <v>16537</v>
      </c>
      <c r="AE12" s="69">
        <f t="shared" si="12"/>
        <v>16708</v>
      </c>
      <c r="AF12" s="113"/>
      <c r="AG12" s="7">
        <v>23184.44</v>
      </c>
      <c r="AH12" s="143">
        <v>710.36</v>
      </c>
      <c r="AI12" s="9">
        <f t="shared" si="13"/>
        <v>22474.079999999998</v>
      </c>
      <c r="AJ12" s="151"/>
      <c r="AK12" s="127">
        <f t="shared" si="14"/>
        <v>1.345108929853962</v>
      </c>
      <c r="AL12" s="122"/>
      <c r="AM12" s="138">
        <v>30</v>
      </c>
      <c r="AN12" s="3">
        <v>138</v>
      </c>
      <c r="AO12" s="3">
        <v>381</v>
      </c>
      <c r="AP12" s="4">
        <f t="shared" si="15"/>
        <v>549</v>
      </c>
      <c r="AQ12" s="47"/>
      <c r="AR12" s="7">
        <v>49.49</v>
      </c>
      <c r="AS12" s="100">
        <v>118.39</v>
      </c>
      <c r="AT12" s="100">
        <v>330.47</v>
      </c>
      <c r="AU12" s="74">
        <f t="shared" si="16"/>
        <v>498.35</v>
      </c>
      <c r="AV12" s="130"/>
      <c r="AW12" s="127">
        <f t="shared" si="17"/>
        <v>0.90774134790528238</v>
      </c>
      <c r="AX12" s="14"/>
      <c r="AY12" s="95">
        <f t="shared" si="18"/>
        <v>62689.008509999992</v>
      </c>
      <c r="AZ12" s="436"/>
      <c r="BB12" s="416"/>
      <c r="BC12" s="417"/>
      <c r="BD12" s="417"/>
      <c r="BE12" s="417"/>
      <c r="BF12" s="417"/>
      <c r="BG12" s="418"/>
    </row>
    <row r="13" spans="1:59" x14ac:dyDescent="0.25">
      <c r="B13" s="5" t="s">
        <v>10</v>
      </c>
      <c r="C13" s="3">
        <v>85792</v>
      </c>
      <c r="D13" s="3">
        <v>430860</v>
      </c>
      <c r="E13" s="4">
        <f t="shared" si="0"/>
        <v>516652</v>
      </c>
      <c r="F13" s="14"/>
      <c r="G13" s="3">
        <v>31076</v>
      </c>
      <c r="H13" s="3">
        <v>180060</v>
      </c>
      <c r="I13" s="4">
        <f t="shared" si="1"/>
        <v>211136</v>
      </c>
      <c r="J13" s="14"/>
      <c r="K13" s="3">
        <f t="shared" si="2"/>
        <v>116868</v>
      </c>
      <c r="L13" s="3">
        <f t="shared" si="3"/>
        <v>610920</v>
      </c>
      <c r="M13" s="4">
        <f t="shared" si="4"/>
        <v>727788</v>
      </c>
      <c r="N13" s="14"/>
      <c r="O13" s="12">
        <v>7.7380000000000004E-2</v>
      </c>
      <c r="P13" s="30">
        <f t="shared" si="5"/>
        <v>39978.531760000005</v>
      </c>
      <c r="Q13" s="12">
        <v>5.1380000000000002E-2</v>
      </c>
      <c r="R13" s="7">
        <f t="shared" si="6"/>
        <v>10848.16768</v>
      </c>
      <c r="S13" s="6">
        <v>3.5500000000000002E-3</v>
      </c>
      <c r="T13" s="7">
        <f>M13*S13</f>
        <v>2583.6474000000003</v>
      </c>
      <c r="U13" s="9">
        <f t="shared" si="7"/>
        <v>53410.346840000006</v>
      </c>
      <c r="V13" s="14"/>
      <c r="W13" s="9">
        <v>11827.36</v>
      </c>
      <c r="X13" s="31">
        <f t="shared" si="8"/>
        <v>7.3387232051091808E-2</v>
      </c>
      <c r="Y13" s="39">
        <f t="shared" si="9"/>
        <v>8.9638338142426097E-2</v>
      </c>
      <c r="Z13" s="16"/>
      <c r="AA13" s="36">
        <f t="shared" si="11"/>
        <v>65237.706840000006</v>
      </c>
      <c r="AB13" s="94"/>
      <c r="AC13" s="146">
        <v>22158</v>
      </c>
      <c r="AD13" s="3">
        <v>21520</v>
      </c>
      <c r="AE13" s="69">
        <f t="shared" si="12"/>
        <v>43678</v>
      </c>
      <c r="AF13" s="113"/>
      <c r="AG13" s="7">
        <v>32368.46</v>
      </c>
      <c r="AH13" s="143">
        <v>1688.83</v>
      </c>
      <c r="AI13" s="9">
        <f t="shared" si="13"/>
        <v>30679.629999999997</v>
      </c>
      <c r="AJ13" s="151"/>
      <c r="AK13" s="127">
        <f t="shared" si="14"/>
        <v>0.7024046430697376</v>
      </c>
      <c r="AL13" s="122"/>
      <c r="AM13" s="138">
        <v>30</v>
      </c>
      <c r="AN13" s="3">
        <v>138</v>
      </c>
      <c r="AO13" s="3">
        <v>381</v>
      </c>
      <c r="AP13" s="4">
        <f t="shared" si="15"/>
        <v>549</v>
      </c>
      <c r="AQ13" s="47"/>
      <c r="AR13" s="7">
        <v>49.49</v>
      </c>
      <c r="AS13" s="100">
        <v>118.39</v>
      </c>
      <c r="AT13" s="100">
        <v>330.47</v>
      </c>
      <c r="AU13" s="74">
        <f t="shared" si="16"/>
        <v>498.35</v>
      </c>
      <c r="AV13" s="130"/>
      <c r="AW13" s="127">
        <f t="shared" si="17"/>
        <v>0.90774134790528238</v>
      </c>
      <c r="AX13" s="14"/>
      <c r="AY13" s="95">
        <f t="shared" si="18"/>
        <v>96415.686840000009</v>
      </c>
      <c r="AZ13" s="95">
        <v>6491219.7400000002</v>
      </c>
      <c r="BB13" s="416"/>
      <c r="BC13" s="417"/>
      <c r="BD13" s="417"/>
      <c r="BE13" s="417"/>
      <c r="BF13" s="417"/>
      <c r="BG13" s="418"/>
    </row>
    <row r="14" spans="1:59" x14ac:dyDescent="0.25">
      <c r="B14" s="5" t="s">
        <v>11</v>
      </c>
      <c r="C14" s="3">
        <v>78044</v>
      </c>
      <c r="D14" s="3">
        <v>392790</v>
      </c>
      <c r="E14" s="4">
        <f t="shared" si="0"/>
        <v>470834</v>
      </c>
      <c r="F14" s="14"/>
      <c r="G14" s="3">
        <v>31703</v>
      </c>
      <c r="H14" s="3">
        <v>180180</v>
      </c>
      <c r="I14" s="4">
        <f t="shared" si="1"/>
        <v>211883</v>
      </c>
      <c r="J14" s="14"/>
      <c r="K14" s="3">
        <f t="shared" si="2"/>
        <v>109747</v>
      </c>
      <c r="L14" s="3">
        <f t="shared" si="3"/>
        <v>572970</v>
      </c>
      <c r="M14" s="4">
        <f t="shared" si="4"/>
        <v>682717</v>
      </c>
      <c r="N14" s="14"/>
      <c r="O14" s="6">
        <v>7.7380000000000004E-2</v>
      </c>
      <c r="P14" s="7">
        <f t="shared" si="5"/>
        <v>36433.134920000004</v>
      </c>
      <c r="Q14" s="6">
        <v>5.1380000000000002E-2</v>
      </c>
      <c r="R14" s="7">
        <f t="shared" si="6"/>
        <v>10886.54854</v>
      </c>
      <c r="S14" s="6">
        <v>3.5500000000000002E-3</v>
      </c>
      <c r="T14" s="7">
        <f>M14*S14</f>
        <v>2423.6453500000002</v>
      </c>
      <c r="U14" s="9">
        <f t="shared" si="7"/>
        <v>49743.328809999999</v>
      </c>
      <c r="V14" s="14"/>
      <c r="W14" s="9">
        <v>14801.33</v>
      </c>
      <c r="X14" s="31">
        <f t="shared" si="8"/>
        <v>7.286083224820826E-2</v>
      </c>
      <c r="Y14" s="39">
        <f t="shared" si="9"/>
        <v>9.4540869511085854E-2</v>
      </c>
      <c r="Z14" s="16"/>
      <c r="AA14" s="36">
        <f t="shared" si="11"/>
        <v>64544.658810000001</v>
      </c>
      <c r="AB14" s="94"/>
      <c r="AC14" s="146">
        <v>35180</v>
      </c>
      <c r="AD14" s="3">
        <v>48280</v>
      </c>
      <c r="AE14" s="69">
        <f t="shared" si="12"/>
        <v>83460</v>
      </c>
      <c r="AF14" s="113"/>
      <c r="AG14" s="7">
        <v>53528.97</v>
      </c>
      <c r="AH14" s="143">
        <v>16852.52</v>
      </c>
      <c r="AI14" s="9">
        <f t="shared" si="13"/>
        <v>36676.449999999997</v>
      </c>
      <c r="AJ14" s="151"/>
      <c r="AK14" s="127">
        <f t="shared" si="14"/>
        <v>0.43944943685597887</v>
      </c>
      <c r="AL14" s="122"/>
      <c r="AM14" s="138">
        <v>30</v>
      </c>
      <c r="AN14" s="3">
        <v>138</v>
      </c>
      <c r="AO14" s="3">
        <v>583</v>
      </c>
      <c r="AP14" s="4">
        <f t="shared" si="15"/>
        <v>751</v>
      </c>
      <c r="AQ14" s="47"/>
      <c r="AR14" s="7">
        <v>49.84</v>
      </c>
      <c r="AS14" s="100">
        <v>119.99</v>
      </c>
      <c r="AT14" s="100">
        <v>503.31</v>
      </c>
      <c r="AU14" s="74">
        <f t="shared" si="16"/>
        <v>673.14</v>
      </c>
      <c r="AV14" s="130"/>
      <c r="AW14" s="127">
        <f t="shared" si="17"/>
        <v>0.8963249001331558</v>
      </c>
      <c r="AX14" s="14"/>
      <c r="AY14" s="95">
        <f t="shared" si="18"/>
        <v>101894.24881</v>
      </c>
      <c r="AZ14" s="95">
        <v>5815404.5800000001</v>
      </c>
      <c r="BB14" s="416"/>
      <c r="BC14" s="417"/>
      <c r="BD14" s="417"/>
      <c r="BE14" s="417"/>
      <c r="BF14" s="417"/>
      <c r="BG14" s="418"/>
    </row>
    <row r="15" spans="1:59" x14ac:dyDescent="0.25">
      <c r="B15" s="5" t="s">
        <v>12</v>
      </c>
      <c r="C15" s="3">
        <v>82628</v>
      </c>
      <c r="D15" s="3">
        <v>423960</v>
      </c>
      <c r="E15" s="4">
        <f t="shared" si="0"/>
        <v>506588</v>
      </c>
      <c r="F15" s="14"/>
      <c r="G15" s="3">
        <v>30038</v>
      </c>
      <c r="H15" s="3">
        <v>170580</v>
      </c>
      <c r="I15" s="4">
        <f t="shared" si="1"/>
        <v>200618</v>
      </c>
      <c r="J15" s="14"/>
      <c r="K15" s="3">
        <f t="shared" si="2"/>
        <v>112666</v>
      </c>
      <c r="L15" s="3">
        <f t="shared" si="3"/>
        <v>594540</v>
      </c>
      <c r="M15" s="4">
        <f t="shared" si="4"/>
        <v>707206</v>
      </c>
      <c r="N15" s="14"/>
      <c r="O15" s="12">
        <v>7.7380000000000004E-2</v>
      </c>
      <c r="P15" s="30">
        <f t="shared" si="5"/>
        <v>39199.779440000006</v>
      </c>
      <c r="Q15" s="12">
        <v>5.1380000000000002E-2</v>
      </c>
      <c r="R15" s="7">
        <f t="shared" si="6"/>
        <v>10307.752840000001</v>
      </c>
      <c r="S15" s="6">
        <v>3.5500000000000002E-3</v>
      </c>
      <c r="T15" s="7">
        <f>M15*S15</f>
        <v>2510.5813000000003</v>
      </c>
      <c r="U15" s="9">
        <f t="shared" si="7"/>
        <v>52018.113580000005</v>
      </c>
      <c r="V15" s="14"/>
      <c r="W15" s="9">
        <v>15174.65</v>
      </c>
      <c r="X15" s="31">
        <f t="shared" si="8"/>
        <v>7.3554400811079099E-2</v>
      </c>
      <c r="Y15" s="39">
        <f t="shared" si="9"/>
        <v>9.5011585846273922E-2</v>
      </c>
      <c r="Z15" s="16"/>
      <c r="AA15" s="36">
        <f t="shared" si="11"/>
        <v>67192.763579999999</v>
      </c>
      <c r="AB15" s="94"/>
      <c r="AC15" s="146">
        <v>41411</v>
      </c>
      <c r="AD15" s="3">
        <v>62208</v>
      </c>
      <c r="AE15" s="69">
        <f t="shared" si="12"/>
        <v>103619</v>
      </c>
      <c r="AF15" s="113"/>
      <c r="AG15" s="7">
        <v>83343.47</v>
      </c>
      <c r="AH15" s="143">
        <v>29401.98</v>
      </c>
      <c r="AI15" s="9">
        <f t="shared" si="13"/>
        <v>53941.490000000005</v>
      </c>
      <c r="AJ15" s="151"/>
      <c r="AK15" s="127">
        <f t="shared" si="14"/>
        <v>0.52057528059525771</v>
      </c>
      <c r="AL15" s="122"/>
      <c r="AM15" s="138">
        <v>44</v>
      </c>
      <c r="AN15" s="3">
        <v>148</v>
      </c>
      <c r="AO15" s="3">
        <v>417</v>
      </c>
      <c r="AP15" s="4">
        <f t="shared" si="15"/>
        <v>609</v>
      </c>
      <c r="AQ15" s="47"/>
      <c r="AR15" s="7">
        <v>61.5</v>
      </c>
      <c r="AS15" s="100">
        <v>128.32</v>
      </c>
      <c r="AT15" s="100">
        <v>364.89</v>
      </c>
      <c r="AU15" s="74">
        <f t="shared" si="16"/>
        <v>554.71</v>
      </c>
      <c r="AV15" s="130"/>
      <c r="AW15" s="127">
        <f t="shared" si="17"/>
        <v>0.91085385878489333</v>
      </c>
      <c r="AX15" s="14"/>
      <c r="AY15" s="95">
        <f t="shared" si="18"/>
        <v>121688.96358000001</v>
      </c>
      <c r="AZ15" s="95">
        <v>5839244.8200000003</v>
      </c>
      <c r="BB15" s="416"/>
      <c r="BC15" s="417"/>
      <c r="BD15" s="417"/>
      <c r="BE15" s="417"/>
      <c r="BF15" s="417"/>
      <c r="BG15" s="418"/>
    </row>
    <row r="16" spans="1:59" ht="15.75" thickBot="1" x14ac:dyDescent="0.3">
      <c r="B16" s="5" t="s">
        <v>13</v>
      </c>
      <c r="C16" s="3">
        <v>62668</v>
      </c>
      <c r="D16" s="3">
        <v>313800</v>
      </c>
      <c r="E16" s="4">
        <f t="shared" si="0"/>
        <v>376468</v>
      </c>
      <c r="F16" s="14"/>
      <c r="G16" s="3">
        <v>25801</v>
      </c>
      <c r="H16" s="3">
        <v>139140</v>
      </c>
      <c r="I16" s="4">
        <f t="shared" si="1"/>
        <v>164941</v>
      </c>
      <c r="J16" s="14"/>
      <c r="K16" s="3">
        <f t="shared" si="2"/>
        <v>88469</v>
      </c>
      <c r="L16" s="3">
        <f t="shared" si="3"/>
        <v>452940</v>
      </c>
      <c r="M16" s="4">
        <f t="shared" si="4"/>
        <v>541409</v>
      </c>
      <c r="N16" s="14"/>
      <c r="O16" s="6">
        <v>7.7380000000000004E-2</v>
      </c>
      <c r="P16" s="7">
        <f t="shared" si="5"/>
        <v>29131.093840000001</v>
      </c>
      <c r="Q16" s="6">
        <v>5.1380000000000002E-2</v>
      </c>
      <c r="R16" s="7">
        <f t="shared" si="6"/>
        <v>8474.6685799999996</v>
      </c>
      <c r="S16" s="6">
        <v>3.5500000000000002E-3</v>
      </c>
      <c r="T16" s="7">
        <f>M16*S16</f>
        <v>1922.0019500000001</v>
      </c>
      <c r="U16" s="9">
        <f t="shared" si="7"/>
        <v>39527.764369999997</v>
      </c>
      <c r="V16" s="14"/>
      <c r="W16" s="9">
        <v>13603.82</v>
      </c>
      <c r="X16" s="31">
        <f t="shared" si="8"/>
        <v>7.3009064071709179E-2</v>
      </c>
      <c r="Y16" s="44">
        <f t="shared" si="9"/>
        <v>9.813576126366573E-2</v>
      </c>
      <c r="Z16" s="16"/>
      <c r="AA16" s="45">
        <f t="shared" si="11"/>
        <v>53131.584369999997</v>
      </c>
      <c r="AB16" s="94"/>
      <c r="AC16" s="148">
        <v>45404</v>
      </c>
      <c r="AD16" s="18">
        <v>53324</v>
      </c>
      <c r="AE16" s="69">
        <f t="shared" si="12"/>
        <v>98728</v>
      </c>
      <c r="AF16" s="114"/>
      <c r="AG16" s="50">
        <v>72977.64</v>
      </c>
      <c r="AH16" s="144">
        <v>29656.93</v>
      </c>
      <c r="AI16" s="9">
        <f t="shared" si="13"/>
        <v>43320.71</v>
      </c>
      <c r="AJ16" s="152"/>
      <c r="AK16" s="127">
        <f t="shared" si="14"/>
        <v>0.43878848958755368</v>
      </c>
      <c r="AL16" s="122"/>
      <c r="AM16" s="139">
        <v>37</v>
      </c>
      <c r="AN16" s="18">
        <v>154</v>
      </c>
      <c r="AO16" s="18">
        <v>417</v>
      </c>
      <c r="AP16" s="19">
        <f t="shared" si="15"/>
        <v>608</v>
      </c>
      <c r="AQ16" s="123"/>
      <c r="AR16" s="21">
        <v>55.66</v>
      </c>
      <c r="AS16" s="124">
        <v>133.33000000000001</v>
      </c>
      <c r="AT16" s="124">
        <v>364.89</v>
      </c>
      <c r="AU16" s="91">
        <f t="shared" si="16"/>
        <v>553.88</v>
      </c>
      <c r="AV16" s="51"/>
      <c r="AW16" s="128">
        <f t="shared" si="17"/>
        <v>0.91098684210526315</v>
      </c>
      <c r="AX16" s="14"/>
      <c r="AY16" s="95">
        <f t="shared" si="18"/>
        <v>97006.174369999993</v>
      </c>
      <c r="AZ16" s="95">
        <v>3787363.3</v>
      </c>
      <c r="BB16" s="416"/>
      <c r="BC16" s="417"/>
      <c r="BD16" s="417"/>
      <c r="BE16" s="417"/>
      <c r="BF16" s="417"/>
      <c r="BG16" s="418"/>
    </row>
    <row r="17" spans="2:59" ht="15.75" thickBot="1" x14ac:dyDescent="0.3">
      <c r="B17" s="48">
        <v>2011</v>
      </c>
      <c r="C17" s="23">
        <f>SUM(C5:C16)</f>
        <v>928715</v>
      </c>
      <c r="D17" s="23">
        <f>SUM(D5:D16)</f>
        <v>4536360</v>
      </c>
      <c r="E17" s="27">
        <f>SUM(E5:E16)</f>
        <v>5465075</v>
      </c>
      <c r="F17" s="23"/>
      <c r="G17" s="23">
        <f>SUM(G5:G16)</f>
        <v>353555</v>
      </c>
      <c r="H17" s="23">
        <f>SUM(H5:H16)</f>
        <v>2037990</v>
      </c>
      <c r="I17" s="27">
        <f>SUM(I5:I16)</f>
        <v>2391545</v>
      </c>
      <c r="J17" s="23"/>
      <c r="K17" s="23">
        <f>SUM(K5:K16)</f>
        <v>1282270</v>
      </c>
      <c r="L17" s="23">
        <f>SUM(L5:L16)</f>
        <v>6574350</v>
      </c>
      <c r="M17" s="27">
        <f>SUM(M5:M16)</f>
        <v>7856620</v>
      </c>
      <c r="N17" s="23"/>
      <c r="O17" s="25">
        <f>SUM(O5:O16)/COUNTA(O5:O16)</f>
        <v>6.9995000000000002E-2</v>
      </c>
      <c r="P17" s="26">
        <f>SUM(P5:P16)</f>
        <v>381037.00389999995</v>
      </c>
      <c r="Q17" s="25">
        <f>SUM(Q5:Q16)/COUNTA(Q5:Q16)</f>
        <v>4.6474999999999995E-2</v>
      </c>
      <c r="R17" s="26">
        <f>SUM(R5:R16)</f>
        <v>110617.22068</v>
      </c>
      <c r="S17" s="25">
        <f>SUM(S5:S16)/COUNTA(S5:S16)</f>
        <v>3.5499999999999998E-3</v>
      </c>
      <c r="T17" s="26">
        <f>SUM(T5:T16)</f>
        <v>27891.001000000004</v>
      </c>
      <c r="U17" s="28">
        <f>SUM(U5:U16)</f>
        <v>519545.22557999997</v>
      </c>
      <c r="V17" s="23"/>
      <c r="W17" s="28">
        <f>SUM(W5:W16)</f>
        <v>165152.69999999998</v>
      </c>
      <c r="X17" s="25">
        <f>(U17)/M17</f>
        <v>6.6128338341424175E-2</v>
      </c>
      <c r="Y17" s="41">
        <f t="shared" si="9"/>
        <v>8.7149171727791325E-2</v>
      </c>
      <c r="Z17" s="35"/>
      <c r="AA17" s="37">
        <f>SUM(AA5:AA16)</f>
        <v>684697.92558000004</v>
      </c>
      <c r="AB17" s="94"/>
      <c r="AC17" s="149">
        <f>SUM(AC5:AC16)</f>
        <v>439289</v>
      </c>
      <c r="AD17" s="140">
        <f>SUM(AD5:AD16)</f>
        <v>477388</v>
      </c>
      <c r="AE17" s="140">
        <f>SUM(AE5:AE16)</f>
        <v>916677</v>
      </c>
      <c r="AF17" s="153"/>
      <c r="AG17" s="136">
        <f>SUM(AG5:AG16)</f>
        <v>546434</v>
      </c>
      <c r="AH17" s="136">
        <f>SUM(AH5:AH16)</f>
        <v>81114.540000000008</v>
      </c>
      <c r="AI17" s="28">
        <f>SUM(AI5:AI16)</f>
        <v>465319.46000000008</v>
      </c>
      <c r="AJ17" s="134"/>
      <c r="AK17" s="131">
        <f>SUM(AK5:AK16)/COUNTA(AK5:AK16)</f>
        <v>0.5986095681105601</v>
      </c>
      <c r="AL17" s="122"/>
      <c r="AM17" s="140">
        <f>SUM(AM5:AM16)</f>
        <v>427</v>
      </c>
      <c r="AN17" s="23">
        <f>SUM(AN5:AN16)</f>
        <v>1675</v>
      </c>
      <c r="AO17" s="23">
        <f>SUM(AO5:AO16)</f>
        <v>4801</v>
      </c>
      <c r="AP17" s="27">
        <f>SUM(AP5:AP16)</f>
        <v>6903</v>
      </c>
      <c r="AQ17" s="27"/>
      <c r="AR17" s="26">
        <f>SUM(AR5:AR16)</f>
        <v>650.22</v>
      </c>
      <c r="AS17" s="26">
        <f>SUM(AS5:AS16)</f>
        <v>1441.37</v>
      </c>
      <c r="AT17" s="26">
        <f>SUM(AT5:AT16)</f>
        <v>4170.2300000000005</v>
      </c>
      <c r="AU17" s="28">
        <f t="shared" si="16"/>
        <v>6261.8200000000006</v>
      </c>
      <c r="AV17" s="28"/>
      <c r="AW17" s="131">
        <f>AU17/AP17</f>
        <v>0.90711574677676376</v>
      </c>
      <c r="AX17" s="94"/>
      <c r="AY17" s="96">
        <f>AA17+AI17+AU17</f>
        <v>1156279.2055800001</v>
      </c>
      <c r="AZ17" s="96">
        <f>SUM(AZ5:AZ16)</f>
        <v>68538069.879999995</v>
      </c>
      <c r="BB17" s="419"/>
      <c r="BC17" s="420"/>
      <c r="BD17" s="420"/>
      <c r="BE17" s="420"/>
      <c r="BF17" s="420"/>
      <c r="BG17" s="421"/>
    </row>
    <row r="18" spans="2:59" ht="15.75" thickBot="1" x14ac:dyDescent="0.3">
      <c r="B18" s="81"/>
      <c r="C18" s="82"/>
      <c r="D18" s="82"/>
      <c r="E18" s="83"/>
      <c r="F18" s="82"/>
      <c r="G18" s="82"/>
      <c r="H18" s="82"/>
      <c r="I18" s="83"/>
      <c r="J18" s="82"/>
      <c r="K18" s="82"/>
      <c r="L18" s="82"/>
      <c r="M18" s="83"/>
      <c r="N18" s="82"/>
      <c r="O18" s="84"/>
      <c r="P18" s="85"/>
      <c r="Q18" s="84"/>
      <c r="R18" s="85"/>
      <c r="S18" s="86"/>
      <c r="T18" s="85"/>
      <c r="U18" s="87"/>
      <c r="V18" s="82"/>
      <c r="W18" s="87"/>
      <c r="X18" s="84"/>
      <c r="Y18" s="88"/>
      <c r="Z18" s="35"/>
      <c r="AA18" s="87"/>
      <c r="AC18" s="14"/>
      <c r="AD18" s="14"/>
      <c r="AE18" s="14"/>
      <c r="AF18" s="116"/>
      <c r="AG18" s="14"/>
      <c r="AH18" s="14"/>
      <c r="AI18" s="14"/>
      <c r="AJ18" s="14"/>
      <c r="AK18" s="14"/>
      <c r="AM18" s="15"/>
      <c r="AN18" s="15"/>
      <c r="AO18" s="15"/>
      <c r="AP18" s="15"/>
      <c r="AQ18" s="15"/>
      <c r="AR18" s="15"/>
      <c r="AS18" s="15"/>
      <c r="AT18" s="15"/>
      <c r="AU18" s="15"/>
      <c r="AV18" s="117"/>
      <c r="AW18" s="117"/>
      <c r="AX18" s="14"/>
      <c r="AY18" s="15"/>
      <c r="BB18" s="15"/>
      <c r="BC18" s="15"/>
      <c r="BD18" s="15"/>
      <c r="BE18" s="142"/>
      <c r="BF18" s="142"/>
      <c r="BG18" s="142"/>
    </row>
    <row r="19" spans="2:59" x14ac:dyDescent="0.25">
      <c r="B19" s="67" t="s">
        <v>14</v>
      </c>
      <c r="C19" s="68">
        <v>73004</v>
      </c>
      <c r="D19" s="68">
        <v>365550</v>
      </c>
      <c r="E19" s="69">
        <f t="shared" ref="E19:E30" si="19">C19+D19</f>
        <v>438554</v>
      </c>
      <c r="F19" s="14"/>
      <c r="G19" s="68">
        <v>28731</v>
      </c>
      <c r="H19" s="68">
        <v>160830</v>
      </c>
      <c r="I19" s="69">
        <f t="shared" ref="I19:I30" si="20">G19+H19</f>
        <v>189561</v>
      </c>
      <c r="J19" s="14"/>
      <c r="K19" s="68">
        <f t="shared" ref="K19:K30" si="21">C19+G19</f>
        <v>101735</v>
      </c>
      <c r="L19" s="68">
        <f t="shared" ref="L19:L30" si="22">D19+H19</f>
        <v>526380</v>
      </c>
      <c r="M19" s="69">
        <f t="shared" ref="M19:M30" si="23">K19+L19</f>
        <v>628115</v>
      </c>
      <c r="N19" s="14"/>
      <c r="O19" s="79">
        <v>6.8500000000000005E-2</v>
      </c>
      <c r="P19" s="71">
        <f t="shared" ref="P19:P30" si="24">E19*O19</f>
        <v>30040.949000000001</v>
      </c>
      <c r="Q19" s="80">
        <v>4.65E-2</v>
      </c>
      <c r="R19" s="71">
        <f t="shared" ref="R19:R30" si="25">I19*Q19</f>
        <v>8814.5864999999994</v>
      </c>
      <c r="S19" s="73">
        <v>3.5500000000000002E-3</v>
      </c>
      <c r="T19" s="71">
        <f t="shared" ref="T19:T30" si="26">M19*S19</f>
        <v>2229.80825</v>
      </c>
      <c r="U19" s="74">
        <f t="shared" ref="U19:U30" si="27">P19+R19+T19</f>
        <v>41085.34375</v>
      </c>
      <c r="V19" s="14"/>
      <c r="W19" s="74">
        <v>15117.1</v>
      </c>
      <c r="X19" s="75">
        <f t="shared" ref="X19:X30" si="28">U19/M19</f>
        <v>6.5410543849454314E-2</v>
      </c>
      <c r="Y19" s="76">
        <f t="shared" ref="Y19:Y31" si="29">(U19+W19)/M19</f>
        <v>8.9477951887791243E-2</v>
      </c>
      <c r="Z19" s="16"/>
      <c r="AA19" s="77">
        <f t="shared" ref="AA19:AA30" si="30">U19+W19</f>
        <v>56202.443749999999</v>
      </c>
      <c r="AB19" s="94"/>
      <c r="AC19" s="154">
        <v>33705</v>
      </c>
      <c r="AD19" s="58">
        <v>81625</v>
      </c>
      <c r="AE19" s="59">
        <f>AC19+AD19</f>
        <v>115330</v>
      </c>
      <c r="AF19" s="155"/>
      <c r="AG19" s="61">
        <v>96982.12</v>
      </c>
      <c r="AH19" s="156">
        <v>34044.54</v>
      </c>
      <c r="AI19" s="62">
        <f>AG19-AH19</f>
        <v>62937.579999999994</v>
      </c>
      <c r="AJ19" s="157"/>
      <c r="AK19" s="158">
        <f>AI19/AE19</f>
        <v>0.54571733287089219</v>
      </c>
      <c r="AL19" s="373"/>
      <c r="AM19" s="137">
        <v>51</v>
      </c>
      <c r="AN19" s="54">
        <v>196</v>
      </c>
      <c r="AO19" s="54">
        <v>258</v>
      </c>
      <c r="AP19" s="69">
        <f>SUM(AM19:AO19)</f>
        <v>505</v>
      </c>
      <c r="AQ19" s="47"/>
      <c r="AR19" s="102">
        <v>67.34</v>
      </c>
      <c r="AS19" s="103">
        <v>168.34</v>
      </c>
      <c r="AT19" s="103">
        <v>232.33</v>
      </c>
      <c r="AU19" s="62">
        <f>SUM(AR19:AT19)</f>
        <v>468.01</v>
      </c>
      <c r="AV19" s="133"/>
      <c r="AW19" s="101">
        <f>AU19/AP19</f>
        <v>0.92675247524752469</v>
      </c>
      <c r="AY19" s="95">
        <f t="shared" ref="AY19:AY30" si="31">AA19+AI19+AU19</f>
        <v>119608.03374999999</v>
      </c>
      <c r="AZ19" s="173">
        <v>5174636.17</v>
      </c>
      <c r="BB19" s="416"/>
      <c r="BC19" s="417"/>
      <c r="BD19" s="417"/>
      <c r="BE19" s="422"/>
      <c r="BF19" s="422"/>
      <c r="BG19" s="423"/>
    </row>
    <row r="20" spans="2:59" x14ac:dyDescent="0.25">
      <c r="B20" s="5" t="s">
        <v>15</v>
      </c>
      <c r="C20" s="3">
        <v>87772</v>
      </c>
      <c r="D20" s="3">
        <v>395220</v>
      </c>
      <c r="E20" s="4">
        <f t="shared" si="19"/>
        <v>482992</v>
      </c>
      <c r="F20" s="14"/>
      <c r="G20" s="3">
        <v>38911</v>
      </c>
      <c r="H20" s="3">
        <v>196620</v>
      </c>
      <c r="I20" s="4">
        <f t="shared" si="20"/>
        <v>235531</v>
      </c>
      <c r="J20" s="14"/>
      <c r="K20" s="3">
        <f t="shared" si="21"/>
        <v>126683</v>
      </c>
      <c r="L20" s="3">
        <f t="shared" si="22"/>
        <v>591840</v>
      </c>
      <c r="M20" s="4">
        <f t="shared" si="23"/>
        <v>718523</v>
      </c>
      <c r="N20" s="14"/>
      <c r="O20" s="10">
        <v>6.8500000000000005E-2</v>
      </c>
      <c r="P20" s="7">
        <f t="shared" si="24"/>
        <v>33084.952000000005</v>
      </c>
      <c r="Q20" s="10">
        <v>4.65E-2</v>
      </c>
      <c r="R20" s="7">
        <f t="shared" si="25"/>
        <v>10952.191500000001</v>
      </c>
      <c r="S20" s="6">
        <v>3.5500000000000002E-3</v>
      </c>
      <c r="T20" s="7">
        <f t="shared" si="26"/>
        <v>2550.7566500000003</v>
      </c>
      <c r="U20" s="9">
        <f t="shared" si="27"/>
        <v>46587.900150000009</v>
      </c>
      <c r="V20" s="14"/>
      <c r="W20" s="9">
        <v>15992.13</v>
      </c>
      <c r="X20" s="31">
        <f t="shared" si="28"/>
        <v>6.4838425701056204E-2</v>
      </c>
      <c r="Y20" s="39">
        <f t="shared" si="29"/>
        <v>8.709537502626917E-2</v>
      </c>
      <c r="Z20" s="16"/>
      <c r="AA20" s="36">
        <f t="shared" si="30"/>
        <v>62580.030150000006</v>
      </c>
      <c r="AB20" s="94"/>
      <c r="AC20" s="146">
        <v>100650</v>
      </c>
      <c r="AD20" s="3">
        <v>59220</v>
      </c>
      <c r="AE20" s="69">
        <f t="shared" ref="AE20:AE30" si="32">AC20+AD20</f>
        <v>159870</v>
      </c>
      <c r="AF20" s="113"/>
      <c r="AG20" s="7">
        <v>114987.51</v>
      </c>
      <c r="AH20" s="143">
        <v>43065.4</v>
      </c>
      <c r="AI20" s="9">
        <f t="shared" ref="AI20:AI30" si="33">AG20-AH20</f>
        <v>71922.109999999986</v>
      </c>
      <c r="AJ20" s="151"/>
      <c r="AK20" s="127">
        <f t="shared" ref="AK20:AK30" si="34">AI20/AE20</f>
        <v>0.44987871395508844</v>
      </c>
      <c r="AL20" s="373"/>
      <c r="AM20" s="139">
        <v>37</v>
      </c>
      <c r="AN20" s="18">
        <v>154</v>
      </c>
      <c r="AO20" s="18">
        <v>417</v>
      </c>
      <c r="AP20" s="4">
        <f t="shared" ref="AP20:AP30" si="35">SUM(AM20:AO20)</f>
        <v>608</v>
      </c>
      <c r="AQ20" s="47"/>
      <c r="AR20" s="7">
        <v>55.66</v>
      </c>
      <c r="AS20" s="7">
        <v>133.33000000000001</v>
      </c>
      <c r="AT20" s="7">
        <v>364.89</v>
      </c>
      <c r="AU20" s="74">
        <f t="shared" ref="AU20:AU31" si="36">SUM(AR20:AT20)</f>
        <v>553.88</v>
      </c>
      <c r="AV20" s="133"/>
      <c r="AW20" s="127">
        <f t="shared" ref="AW20:AW30" si="37">AU20/AP20</f>
        <v>0.91098684210526315</v>
      </c>
      <c r="AY20" s="95">
        <f t="shared" si="31"/>
        <v>135056.02015</v>
      </c>
      <c r="AZ20" s="95">
        <v>6773980.5999999996</v>
      </c>
      <c r="BB20" s="416"/>
      <c r="BC20" s="417"/>
      <c r="BD20" s="417"/>
      <c r="BE20" s="417"/>
      <c r="BF20" s="417"/>
      <c r="BG20" s="418"/>
    </row>
    <row r="21" spans="2:59" x14ac:dyDescent="0.25">
      <c r="B21" s="5" t="s">
        <v>16</v>
      </c>
      <c r="C21" s="3">
        <v>93912</v>
      </c>
      <c r="D21" s="3">
        <v>456270</v>
      </c>
      <c r="E21" s="4">
        <f t="shared" si="19"/>
        <v>550182</v>
      </c>
      <c r="F21" s="14"/>
      <c r="G21" s="3">
        <v>40469</v>
      </c>
      <c r="H21" s="3">
        <v>202590</v>
      </c>
      <c r="I21" s="4">
        <f t="shared" si="20"/>
        <v>243059</v>
      </c>
      <c r="J21" s="14"/>
      <c r="K21" s="3">
        <f t="shared" si="21"/>
        <v>134381</v>
      </c>
      <c r="L21" s="3">
        <f t="shared" si="22"/>
        <v>658860</v>
      </c>
      <c r="M21" s="4">
        <f t="shared" si="23"/>
        <v>793241</v>
      </c>
      <c r="N21" s="14"/>
      <c r="O21" s="33">
        <v>6.8500000000000005E-2</v>
      </c>
      <c r="P21" s="30">
        <f t="shared" si="24"/>
        <v>37687.467000000004</v>
      </c>
      <c r="Q21" s="34">
        <v>4.65E-2</v>
      </c>
      <c r="R21" s="7">
        <f t="shared" si="25"/>
        <v>11302.2435</v>
      </c>
      <c r="S21" s="6">
        <v>3.5500000000000002E-3</v>
      </c>
      <c r="T21" s="7">
        <f t="shared" si="26"/>
        <v>2816.0055500000003</v>
      </c>
      <c r="U21" s="9">
        <f t="shared" si="27"/>
        <v>51805.716050000003</v>
      </c>
      <c r="V21" s="14"/>
      <c r="W21" s="9">
        <v>16830.2</v>
      </c>
      <c r="X21" s="31">
        <f t="shared" si="28"/>
        <v>6.5308923832731791E-2</v>
      </c>
      <c r="Y21" s="39">
        <f t="shared" si="29"/>
        <v>8.6525931022224015E-2</v>
      </c>
      <c r="Z21" s="16"/>
      <c r="AA21" s="36">
        <f t="shared" si="30"/>
        <v>68635.91605</v>
      </c>
      <c r="AB21" s="94"/>
      <c r="AC21" s="146">
        <v>55250</v>
      </c>
      <c r="AD21" s="3">
        <v>40350</v>
      </c>
      <c r="AE21" s="69">
        <f t="shared" si="32"/>
        <v>95600</v>
      </c>
      <c r="AF21" s="113"/>
      <c r="AG21" s="7">
        <v>63453.7</v>
      </c>
      <c r="AH21" s="143">
        <v>15137.89</v>
      </c>
      <c r="AI21" s="9">
        <f t="shared" si="33"/>
        <v>48315.81</v>
      </c>
      <c r="AJ21" s="151"/>
      <c r="AK21" s="127">
        <f t="shared" si="34"/>
        <v>0.5053955020920502</v>
      </c>
      <c r="AL21" s="373"/>
      <c r="AM21" s="139">
        <v>37</v>
      </c>
      <c r="AN21" s="18">
        <v>154</v>
      </c>
      <c r="AO21" s="18">
        <v>417</v>
      </c>
      <c r="AP21" s="4">
        <f t="shared" si="35"/>
        <v>608</v>
      </c>
      <c r="AQ21" s="47"/>
      <c r="AR21" s="7">
        <v>55.66</v>
      </c>
      <c r="AS21" s="7">
        <v>133.33000000000001</v>
      </c>
      <c r="AT21" s="7">
        <v>364.89</v>
      </c>
      <c r="AU21" s="74">
        <f t="shared" si="36"/>
        <v>553.88</v>
      </c>
      <c r="AV21" s="133"/>
      <c r="AW21" s="127">
        <f t="shared" si="37"/>
        <v>0.91098684210526315</v>
      </c>
      <c r="AY21" s="95">
        <f t="shared" si="31"/>
        <v>117505.60605</v>
      </c>
      <c r="AZ21" s="95">
        <v>7598343.5</v>
      </c>
      <c r="BB21" s="416"/>
      <c r="BC21" s="417"/>
      <c r="BD21" s="417"/>
      <c r="BE21" s="417"/>
      <c r="BF21" s="417"/>
      <c r="BG21" s="418"/>
    </row>
    <row r="22" spans="2:59" x14ac:dyDescent="0.25">
      <c r="B22" s="5" t="s">
        <v>17</v>
      </c>
      <c r="C22" s="3">
        <v>76088</v>
      </c>
      <c r="D22" s="3">
        <v>373980</v>
      </c>
      <c r="E22" s="4">
        <f t="shared" si="19"/>
        <v>450068</v>
      </c>
      <c r="F22" s="14"/>
      <c r="G22" s="3">
        <v>37507</v>
      </c>
      <c r="H22" s="3">
        <v>194520</v>
      </c>
      <c r="I22" s="4">
        <f t="shared" si="20"/>
        <v>232027</v>
      </c>
      <c r="J22" s="14"/>
      <c r="K22" s="3">
        <f t="shared" si="21"/>
        <v>113595</v>
      </c>
      <c r="L22" s="3">
        <f t="shared" si="22"/>
        <v>568500</v>
      </c>
      <c r="M22" s="4">
        <f t="shared" si="23"/>
        <v>682095</v>
      </c>
      <c r="N22" s="14"/>
      <c r="O22" s="34">
        <v>6.8500000000000005E-2</v>
      </c>
      <c r="P22" s="30">
        <f t="shared" si="24"/>
        <v>30829.658000000003</v>
      </c>
      <c r="Q22" s="34">
        <v>4.65E-2</v>
      </c>
      <c r="R22" s="7">
        <f t="shared" si="25"/>
        <v>10789.255499999999</v>
      </c>
      <c r="S22" s="6">
        <v>3.5500000000000002E-3</v>
      </c>
      <c r="T22" s="7">
        <f t="shared" si="26"/>
        <v>2421.4372499999999</v>
      </c>
      <c r="U22" s="9">
        <f t="shared" si="27"/>
        <v>44040.350750000005</v>
      </c>
      <c r="V22" s="14"/>
      <c r="W22" s="9">
        <v>12181.89</v>
      </c>
      <c r="X22" s="31">
        <f t="shared" si="28"/>
        <v>6.4566300515324124E-2</v>
      </c>
      <c r="Y22" s="39">
        <f t="shared" si="29"/>
        <v>8.2425821549784131E-2</v>
      </c>
      <c r="Z22" s="16"/>
      <c r="AA22" s="36">
        <f t="shared" si="30"/>
        <v>56222.240750000004</v>
      </c>
      <c r="AB22" s="94"/>
      <c r="AC22" s="146">
        <v>32660</v>
      </c>
      <c r="AD22" s="3">
        <v>32071</v>
      </c>
      <c r="AE22" s="69">
        <f t="shared" si="32"/>
        <v>64731</v>
      </c>
      <c r="AF22" s="113"/>
      <c r="AG22" s="7">
        <v>49815.45</v>
      </c>
      <c r="AH22" s="143">
        <v>10531.7</v>
      </c>
      <c r="AI22" s="9">
        <f t="shared" si="33"/>
        <v>39283.75</v>
      </c>
      <c r="AJ22" s="151"/>
      <c r="AK22" s="127">
        <f t="shared" si="34"/>
        <v>0.60687692141323324</v>
      </c>
      <c r="AL22" s="373"/>
      <c r="AM22" s="138">
        <v>54</v>
      </c>
      <c r="AN22" s="3">
        <v>209</v>
      </c>
      <c r="AO22" s="3">
        <v>480</v>
      </c>
      <c r="AP22" s="4">
        <f t="shared" si="35"/>
        <v>743</v>
      </c>
      <c r="AQ22" s="47"/>
      <c r="AR22" s="7">
        <v>69.849999999999994</v>
      </c>
      <c r="AS22" s="7">
        <v>179.19</v>
      </c>
      <c r="AT22" s="7">
        <v>417.42</v>
      </c>
      <c r="AU22" s="74">
        <f t="shared" si="36"/>
        <v>666.46</v>
      </c>
      <c r="AV22" s="133"/>
      <c r="AW22" s="127">
        <f t="shared" si="37"/>
        <v>0.89698519515477793</v>
      </c>
      <c r="AY22" s="95">
        <f t="shared" si="31"/>
        <v>96172.450750000004</v>
      </c>
      <c r="AZ22" s="95">
        <v>6490037.3300000001</v>
      </c>
      <c r="BB22" s="416"/>
      <c r="BC22" s="417"/>
      <c r="BD22" s="417"/>
      <c r="BE22" s="417"/>
      <c r="BF22" s="417"/>
      <c r="BG22" s="418"/>
    </row>
    <row r="23" spans="2:59" x14ac:dyDescent="0.25">
      <c r="B23" s="5" t="s">
        <v>18</v>
      </c>
      <c r="C23" s="3">
        <v>85990</v>
      </c>
      <c r="D23" s="3">
        <v>416340</v>
      </c>
      <c r="E23" s="4">
        <f t="shared" si="19"/>
        <v>502330</v>
      </c>
      <c r="F23" s="14"/>
      <c r="G23" s="3">
        <v>33503</v>
      </c>
      <c r="H23" s="3">
        <v>174900</v>
      </c>
      <c r="I23" s="4">
        <f t="shared" si="20"/>
        <v>208403</v>
      </c>
      <c r="J23" s="14"/>
      <c r="K23" s="3">
        <f t="shared" si="21"/>
        <v>119493</v>
      </c>
      <c r="L23" s="3">
        <f t="shared" si="22"/>
        <v>591240</v>
      </c>
      <c r="M23" s="4">
        <f t="shared" si="23"/>
        <v>710733</v>
      </c>
      <c r="N23" s="14"/>
      <c r="O23" s="33">
        <v>6.8500000000000005E-2</v>
      </c>
      <c r="P23" s="30">
        <f t="shared" si="24"/>
        <v>34409.605000000003</v>
      </c>
      <c r="Q23" s="34">
        <v>4.65E-2</v>
      </c>
      <c r="R23" s="7">
        <f t="shared" si="25"/>
        <v>9690.7394999999997</v>
      </c>
      <c r="S23" s="6">
        <v>3.5500000000000002E-3</v>
      </c>
      <c r="T23" s="7">
        <f t="shared" si="26"/>
        <v>2523.1021500000002</v>
      </c>
      <c r="U23" s="9">
        <f t="shared" si="27"/>
        <v>46623.446650000005</v>
      </c>
      <c r="V23" s="14"/>
      <c r="W23" s="9">
        <v>12353.47</v>
      </c>
      <c r="X23" s="31">
        <f t="shared" si="28"/>
        <v>6.5599102124145076E-2</v>
      </c>
      <c r="Y23" s="39">
        <f t="shared" si="29"/>
        <v>8.2980411279622593E-2</v>
      </c>
      <c r="Z23" s="16"/>
      <c r="AA23" s="36">
        <f t="shared" si="30"/>
        <v>58976.916650000006</v>
      </c>
      <c r="AB23" s="94"/>
      <c r="AC23" s="146">
        <v>20709</v>
      </c>
      <c r="AD23" s="3">
        <v>29742</v>
      </c>
      <c r="AE23" s="69">
        <f t="shared" si="32"/>
        <v>50451</v>
      </c>
      <c r="AF23" s="113"/>
      <c r="AG23" s="7">
        <v>39542.69</v>
      </c>
      <c r="AH23" s="143">
        <v>4949.83</v>
      </c>
      <c r="AI23" s="9">
        <f t="shared" si="33"/>
        <v>34592.86</v>
      </c>
      <c r="AJ23" s="151"/>
      <c r="AK23" s="127">
        <f t="shared" si="34"/>
        <v>0.6856724346395513</v>
      </c>
      <c r="AL23" s="373"/>
      <c r="AM23" s="139">
        <v>37</v>
      </c>
      <c r="AN23" s="18">
        <v>154</v>
      </c>
      <c r="AO23" s="18">
        <v>417</v>
      </c>
      <c r="AP23" s="4">
        <f t="shared" si="35"/>
        <v>608</v>
      </c>
      <c r="AQ23" s="47"/>
      <c r="AR23" s="7">
        <v>55.66</v>
      </c>
      <c r="AS23" s="7">
        <v>133.33000000000001</v>
      </c>
      <c r="AT23" s="7">
        <v>364.89</v>
      </c>
      <c r="AU23" s="74">
        <f t="shared" si="36"/>
        <v>553.88</v>
      </c>
      <c r="AV23" s="133"/>
      <c r="AW23" s="127">
        <f t="shared" si="37"/>
        <v>0.91098684210526315</v>
      </c>
      <c r="AY23" s="95">
        <f t="shared" si="31"/>
        <v>94123.656650000019</v>
      </c>
      <c r="AZ23" s="95">
        <v>6157168.8099999996</v>
      </c>
      <c r="BB23" s="416"/>
      <c r="BC23" s="417"/>
      <c r="BD23" s="417"/>
      <c r="BE23" s="417"/>
      <c r="BF23" s="417"/>
      <c r="BG23" s="418"/>
    </row>
    <row r="24" spans="2:59" x14ac:dyDescent="0.25">
      <c r="B24" s="5" t="s">
        <v>19</v>
      </c>
      <c r="C24" s="3">
        <v>81965</v>
      </c>
      <c r="D24" s="3">
        <v>395070</v>
      </c>
      <c r="E24" s="4">
        <f t="shared" si="19"/>
        <v>477035</v>
      </c>
      <c r="F24" s="14"/>
      <c r="G24" s="3">
        <v>33046</v>
      </c>
      <c r="H24" s="3">
        <v>170580</v>
      </c>
      <c r="I24" s="4">
        <f t="shared" si="20"/>
        <v>203626</v>
      </c>
      <c r="J24" s="14"/>
      <c r="K24" s="3">
        <f t="shared" si="21"/>
        <v>115011</v>
      </c>
      <c r="L24" s="3">
        <f t="shared" si="22"/>
        <v>565650</v>
      </c>
      <c r="M24" s="4">
        <f t="shared" si="23"/>
        <v>680661</v>
      </c>
      <c r="N24" s="14"/>
      <c r="O24" s="34">
        <v>6.8500000000000005E-2</v>
      </c>
      <c r="P24" s="30">
        <f t="shared" si="24"/>
        <v>32676.897500000003</v>
      </c>
      <c r="Q24" s="34">
        <v>4.65E-2</v>
      </c>
      <c r="R24" s="7">
        <f t="shared" si="25"/>
        <v>9468.6090000000004</v>
      </c>
      <c r="S24" s="6">
        <v>3.5500000000000002E-3</v>
      </c>
      <c r="T24" s="7">
        <f t="shared" si="26"/>
        <v>2416.3465500000002</v>
      </c>
      <c r="U24" s="9">
        <f t="shared" si="27"/>
        <v>44561.853050000005</v>
      </c>
      <c r="V24" s="14"/>
      <c r="W24" s="9">
        <v>12161.05</v>
      </c>
      <c r="X24" s="31">
        <f t="shared" si="28"/>
        <v>6.5468497607472739E-2</v>
      </c>
      <c r="Y24" s="39">
        <f t="shared" si="29"/>
        <v>8.3335027348415747E-2</v>
      </c>
      <c r="Z24" s="16"/>
      <c r="AA24" s="36">
        <f t="shared" si="30"/>
        <v>56722.903050000008</v>
      </c>
      <c r="AB24" s="94"/>
      <c r="AC24" s="146">
        <v>19468</v>
      </c>
      <c r="AD24" s="3">
        <v>19840</v>
      </c>
      <c r="AE24" s="69">
        <f t="shared" si="32"/>
        <v>39308</v>
      </c>
      <c r="AF24" s="113"/>
      <c r="AG24" s="7">
        <v>33506.089999999997</v>
      </c>
      <c r="AH24" s="143">
        <v>3542.7</v>
      </c>
      <c r="AI24" s="9">
        <f t="shared" si="33"/>
        <v>29963.389999999996</v>
      </c>
      <c r="AJ24" s="151"/>
      <c r="AK24" s="127">
        <f t="shared" si="34"/>
        <v>0.76227205657881336</v>
      </c>
      <c r="AL24" s="373"/>
      <c r="AM24" s="139">
        <v>37</v>
      </c>
      <c r="AN24" s="18">
        <v>154</v>
      </c>
      <c r="AO24" s="18">
        <v>417</v>
      </c>
      <c r="AP24" s="4">
        <f t="shared" si="35"/>
        <v>608</v>
      </c>
      <c r="AQ24" s="47"/>
      <c r="AR24" s="7">
        <v>55.66</v>
      </c>
      <c r="AS24" s="7">
        <v>133.33000000000001</v>
      </c>
      <c r="AT24" s="7">
        <v>364.89</v>
      </c>
      <c r="AU24" s="74">
        <f t="shared" si="36"/>
        <v>553.88</v>
      </c>
      <c r="AV24" s="133"/>
      <c r="AW24" s="127">
        <f t="shared" si="37"/>
        <v>0.91098684210526315</v>
      </c>
      <c r="AY24" s="95">
        <f t="shared" si="31"/>
        <v>87240.173050000012</v>
      </c>
      <c r="AZ24" s="95">
        <v>6209517.1900000004</v>
      </c>
      <c r="BB24" s="416"/>
      <c r="BC24" s="417"/>
      <c r="BD24" s="417"/>
      <c r="BE24" s="417"/>
      <c r="BF24" s="417"/>
      <c r="BG24" s="418"/>
    </row>
    <row r="25" spans="2:59" x14ac:dyDescent="0.25">
      <c r="B25" s="5" t="s">
        <v>20</v>
      </c>
      <c r="C25" s="3">
        <v>84628</v>
      </c>
      <c r="D25" s="3">
        <v>400470</v>
      </c>
      <c r="E25" s="4">
        <f t="shared" si="19"/>
        <v>485098</v>
      </c>
      <c r="F25" s="14"/>
      <c r="G25" s="3">
        <v>38934</v>
      </c>
      <c r="H25" s="3">
        <v>171810</v>
      </c>
      <c r="I25" s="4">
        <f t="shared" si="20"/>
        <v>210744</v>
      </c>
      <c r="J25" s="14"/>
      <c r="K25" s="3">
        <f t="shared" si="21"/>
        <v>123562</v>
      </c>
      <c r="L25" s="3">
        <f t="shared" si="22"/>
        <v>572280</v>
      </c>
      <c r="M25" s="4">
        <f t="shared" si="23"/>
        <v>695842</v>
      </c>
      <c r="N25" s="14"/>
      <c r="O25" s="33">
        <v>6.8500000000000005E-2</v>
      </c>
      <c r="P25" s="30">
        <f t="shared" si="24"/>
        <v>33229.213000000003</v>
      </c>
      <c r="Q25" s="34">
        <v>4.65E-2</v>
      </c>
      <c r="R25" s="7">
        <f t="shared" si="25"/>
        <v>9799.5959999999995</v>
      </c>
      <c r="S25" s="6">
        <v>3.5500000000000002E-3</v>
      </c>
      <c r="T25" s="7">
        <f>M25*S25</f>
        <v>2470.2391000000002</v>
      </c>
      <c r="U25" s="9">
        <f t="shared" si="27"/>
        <v>45499.0481</v>
      </c>
      <c r="V25" s="14"/>
      <c r="W25" s="9">
        <v>12263.58</v>
      </c>
      <c r="X25" s="31">
        <f t="shared" si="28"/>
        <v>6.538703915544046E-2</v>
      </c>
      <c r="Y25" s="39">
        <f t="shared" si="29"/>
        <v>8.3011126232679255E-2</v>
      </c>
      <c r="Z25" s="16"/>
      <c r="AA25" s="36">
        <f t="shared" si="30"/>
        <v>57762.628100000002</v>
      </c>
      <c r="AB25" s="94"/>
      <c r="AC25" s="146">
        <v>18110</v>
      </c>
      <c r="AD25" s="3">
        <v>20010</v>
      </c>
      <c r="AE25" s="69">
        <f t="shared" si="32"/>
        <v>38120</v>
      </c>
      <c r="AF25" s="113"/>
      <c r="AG25" s="7">
        <v>33846.92</v>
      </c>
      <c r="AH25" s="143">
        <v>3209.79</v>
      </c>
      <c r="AI25" s="9">
        <f t="shared" si="33"/>
        <v>30637.129999999997</v>
      </c>
      <c r="AJ25" s="151"/>
      <c r="AK25" s="127">
        <f t="shared" si="34"/>
        <v>0.80370225603357814</v>
      </c>
      <c r="AL25" s="373"/>
      <c r="AM25" s="138">
        <v>85</v>
      </c>
      <c r="AN25" s="3">
        <v>232</v>
      </c>
      <c r="AO25" s="3">
        <v>537</v>
      </c>
      <c r="AP25" s="4">
        <f t="shared" si="35"/>
        <v>854</v>
      </c>
      <c r="AQ25" s="47"/>
      <c r="AR25" s="7">
        <v>95.69</v>
      </c>
      <c r="AS25" s="100">
        <v>198.36</v>
      </c>
      <c r="AT25" s="100">
        <v>464.94</v>
      </c>
      <c r="AU25" s="74">
        <f t="shared" si="36"/>
        <v>758.99</v>
      </c>
      <c r="AV25" s="133"/>
      <c r="AW25" s="127">
        <f t="shared" si="37"/>
        <v>0.88874707259953167</v>
      </c>
      <c r="AY25" s="95">
        <f t="shared" si="31"/>
        <v>89158.748100000012</v>
      </c>
      <c r="AZ25" s="435">
        <v>9357630.4399999995</v>
      </c>
      <c r="BB25" s="416"/>
      <c r="BC25" s="417"/>
      <c r="BD25" s="417"/>
      <c r="BE25" s="417"/>
      <c r="BF25" s="417"/>
      <c r="BG25" s="418"/>
    </row>
    <row r="26" spans="2:59" x14ac:dyDescent="0.25">
      <c r="B26" s="38" t="s">
        <v>21</v>
      </c>
      <c r="C26" s="3">
        <v>52916</v>
      </c>
      <c r="D26" s="3">
        <v>259200</v>
      </c>
      <c r="E26" s="4">
        <f t="shared" si="19"/>
        <v>312116</v>
      </c>
      <c r="F26" s="14"/>
      <c r="G26" s="3">
        <v>20721</v>
      </c>
      <c r="H26" s="3">
        <v>119760</v>
      </c>
      <c r="I26" s="4">
        <f t="shared" si="20"/>
        <v>140481</v>
      </c>
      <c r="J26" s="14"/>
      <c r="K26" s="3">
        <f t="shared" si="21"/>
        <v>73637</v>
      </c>
      <c r="L26" s="3">
        <f t="shared" si="22"/>
        <v>378960</v>
      </c>
      <c r="M26" s="4">
        <f t="shared" si="23"/>
        <v>452597</v>
      </c>
      <c r="N26" s="14"/>
      <c r="O26" s="34">
        <v>6.8500000000000005E-2</v>
      </c>
      <c r="P26" s="30">
        <f t="shared" si="24"/>
        <v>21379.946</v>
      </c>
      <c r="Q26" s="34">
        <v>4.65E-2</v>
      </c>
      <c r="R26" s="7">
        <f t="shared" si="25"/>
        <v>6532.3665000000001</v>
      </c>
      <c r="S26" s="6">
        <v>3.5500000000000002E-3</v>
      </c>
      <c r="T26" s="7">
        <f t="shared" si="26"/>
        <v>1606.7193500000001</v>
      </c>
      <c r="U26" s="9">
        <f t="shared" si="27"/>
        <v>29519.031849999999</v>
      </c>
      <c r="V26" s="14"/>
      <c r="W26" s="9">
        <v>10587.44</v>
      </c>
      <c r="X26" s="31">
        <f t="shared" si="28"/>
        <v>6.5221448330413143E-2</v>
      </c>
      <c r="Y26" s="39">
        <f t="shared" si="29"/>
        <v>8.8614091233481448E-2</v>
      </c>
      <c r="Z26" s="16"/>
      <c r="AA26" s="36">
        <f t="shared" si="30"/>
        <v>40106.471850000002</v>
      </c>
      <c r="AB26" s="94"/>
      <c r="AC26" s="147">
        <v>1928</v>
      </c>
      <c r="AD26" s="54">
        <v>22492</v>
      </c>
      <c r="AE26" s="69">
        <f t="shared" si="32"/>
        <v>24420</v>
      </c>
      <c r="AF26" s="113"/>
      <c r="AG26" s="7">
        <v>26604.1</v>
      </c>
      <c r="AH26" s="143">
        <v>8042.17</v>
      </c>
      <c r="AI26" s="9">
        <f t="shared" si="33"/>
        <v>18561.93</v>
      </c>
      <c r="AJ26" s="151"/>
      <c r="AK26" s="127">
        <f t="shared" si="34"/>
        <v>0.7601117936117936</v>
      </c>
      <c r="AL26" s="373"/>
      <c r="AM26" s="139">
        <v>37</v>
      </c>
      <c r="AN26" s="18">
        <v>154</v>
      </c>
      <c r="AO26" s="18">
        <v>417</v>
      </c>
      <c r="AP26" s="4">
        <f t="shared" si="35"/>
        <v>608</v>
      </c>
      <c r="AQ26" s="47"/>
      <c r="AR26" s="7">
        <v>55.66</v>
      </c>
      <c r="AS26" s="7">
        <v>133.33000000000001</v>
      </c>
      <c r="AT26" s="7">
        <v>364.89</v>
      </c>
      <c r="AU26" s="74">
        <f t="shared" si="36"/>
        <v>553.88</v>
      </c>
      <c r="AV26" s="133"/>
      <c r="AW26" s="127">
        <f t="shared" si="37"/>
        <v>0.91098684210526315</v>
      </c>
      <c r="AY26" s="95">
        <f t="shared" si="31"/>
        <v>59222.281849999999</v>
      </c>
      <c r="AZ26" s="436"/>
      <c r="BB26" s="416"/>
      <c r="BC26" s="417"/>
      <c r="BD26" s="417"/>
      <c r="BE26" s="417"/>
      <c r="BF26" s="417"/>
      <c r="BG26" s="418"/>
    </row>
    <row r="27" spans="2:59" x14ac:dyDescent="0.25">
      <c r="B27" s="38" t="s">
        <v>22</v>
      </c>
      <c r="C27" s="3">
        <v>83413</v>
      </c>
      <c r="D27" s="3">
        <v>405660</v>
      </c>
      <c r="E27" s="4">
        <f t="shared" si="19"/>
        <v>489073</v>
      </c>
      <c r="F27" s="14"/>
      <c r="G27" s="3">
        <v>34592</v>
      </c>
      <c r="H27" s="3">
        <v>171840</v>
      </c>
      <c r="I27" s="4">
        <f t="shared" si="20"/>
        <v>206432</v>
      </c>
      <c r="J27" s="14"/>
      <c r="K27" s="3">
        <f t="shared" si="21"/>
        <v>118005</v>
      </c>
      <c r="L27" s="3">
        <f t="shared" si="22"/>
        <v>577500</v>
      </c>
      <c r="M27" s="4">
        <f t="shared" si="23"/>
        <v>695505</v>
      </c>
      <c r="N27" s="14"/>
      <c r="O27" s="33">
        <v>6.8500000000000005E-2</v>
      </c>
      <c r="P27" s="30">
        <f t="shared" si="24"/>
        <v>33501.500500000002</v>
      </c>
      <c r="Q27" s="34">
        <v>4.65E-2</v>
      </c>
      <c r="R27" s="7">
        <f t="shared" si="25"/>
        <v>9599.0879999999997</v>
      </c>
      <c r="S27" s="6">
        <v>3.5500000000000002E-3</v>
      </c>
      <c r="T27" s="7">
        <f t="shared" si="26"/>
        <v>2469.0427500000001</v>
      </c>
      <c r="U27" s="9">
        <f t="shared" si="27"/>
        <v>45569.631249999999</v>
      </c>
      <c r="V27" s="14"/>
      <c r="W27" s="9">
        <v>12318.03</v>
      </c>
      <c r="X27" s="31">
        <f t="shared" si="28"/>
        <v>6.5520206540571238E-2</v>
      </c>
      <c r="Y27" s="39">
        <f t="shared" si="29"/>
        <v>8.3231121631045069E-2</v>
      </c>
      <c r="Z27" s="16"/>
      <c r="AA27" s="36">
        <f t="shared" si="30"/>
        <v>57887.661249999997</v>
      </c>
      <c r="AB27" s="94"/>
      <c r="AC27" s="146">
        <v>21930</v>
      </c>
      <c r="AD27" s="3">
        <v>21790</v>
      </c>
      <c r="AE27" s="69">
        <f t="shared" si="32"/>
        <v>43720</v>
      </c>
      <c r="AF27" s="113"/>
      <c r="AG27" s="7">
        <v>37607</v>
      </c>
      <c r="AH27" s="143">
        <v>5411.84</v>
      </c>
      <c r="AI27" s="9">
        <f t="shared" si="33"/>
        <v>32195.16</v>
      </c>
      <c r="AJ27" s="151"/>
      <c r="AK27" s="127">
        <f t="shared" si="34"/>
        <v>0.73639432753888379</v>
      </c>
      <c r="AL27" s="373"/>
      <c r="AM27" s="139">
        <v>37</v>
      </c>
      <c r="AN27" s="18">
        <v>154</v>
      </c>
      <c r="AO27" s="18">
        <v>417</v>
      </c>
      <c r="AP27" s="4">
        <f t="shared" si="35"/>
        <v>608</v>
      </c>
      <c r="AQ27" s="47"/>
      <c r="AR27" s="7">
        <v>55.66</v>
      </c>
      <c r="AS27" s="7">
        <v>133.33000000000001</v>
      </c>
      <c r="AT27" s="7">
        <v>364.89</v>
      </c>
      <c r="AU27" s="74">
        <f t="shared" si="36"/>
        <v>553.88</v>
      </c>
      <c r="AV27" s="133"/>
      <c r="AW27" s="127">
        <f t="shared" si="37"/>
        <v>0.91098684210526315</v>
      </c>
      <c r="AY27" s="95">
        <f t="shared" si="31"/>
        <v>90636.701249999998</v>
      </c>
      <c r="AZ27" s="95">
        <v>5929817.7400000002</v>
      </c>
      <c r="BB27" s="416"/>
      <c r="BC27" s="417"/>
      <c r="BD27" s="417"/>
      <c r="BE27" s="417"/>
      <c r="BF27" s="417"/>
      <c r="BG27" s="418"/>
    </row>
    <row r="28" spans="2:59" x14ac:dyDescent="0.25">
      <c r="B28" s="5" t="s">
        <v>23</v>
      </c>
      <c r="C28" s="3">
        <v>88574</v>
      </c>
      <c r="D28" s="3">
        <v>422730</v>
      </c>
      <c r="E28" s="4">
        <f t="shared" si="19"/>
        <v>511304</v>
      </c>
      <c r="F28" s="14"/>
      <c r="G28" s="3">
        <v>38257</v>
      </c>
      <c r="H28" s="3">
        <v>158040</v>
      </c>
      <c r="I28" s="4">
        <f t="shared" si="20"/>
        <v>196297</v>
      </c>
      <c r="J28" s="14"/>
      <c r="K28" s="3">
        <f t="shared" si="21"/>
        <v>126831</v>
      </c>
      <c r="L28" s="3">
        <f t="shared" si="22"/>
        <v>580770</v>
      </c>
      <c r="M28" s="4">
        <f t="shared" si="23"/>
        <v>707601</v>
      </c>
      <c r="N28" s="14"/>
      <c r="O28" s="34">
        <v>6.8500000000000005E-2</v>
      </c>
      <c r="P28" s="30">
        <f t="shared" si="24"/>
        <v>35024.324000000001</v>
      </c>
      <c r="Q28" s="34">
        <v>4.65E-2</v>
      </c>
      <c r="R28" s="7">
        <f t="shared" si="25"/>
        <v>9127.8104999999996</v>
      </c>
      <c r="S28" s="6">
        <v>3.5500000000000002E-3</v>
      </c>
      <c r="T28" s="7">
        <f t="shared" si="26"/>
        <v>2511.9835499999999</v>
      </c>
      <c r="U28" s="9">
        <f t="shared" si="27"/>
        <v>46664.118049999997</v>
      </c>
      <c r="V28" s="14"/>
      <c r="W28" s="9">
        <v>15894.28</v>
      </c>
      <c r="X28" s="31">
        <f t="shared" si="28"/>
        <v>6.5946936267755413E-2</v>
      </c>
      <c r="Y28" s="39">
        <f t="shared" si="29"/>
        <v>8.8409143076394747E-2</v>
      </c>
      <c r="Z28" s="16"/>
      <c r="AA28" s="36">
        <f t="shared" si="30"/>
        <v>62558.398049999996</v>
      </c>
      <c r="AB28" s="94"/>
      <c r="AC28" s="146">
        <v>22050</v>
      </c>
      <c r="AD28" s="3">
        <v>34430</v>
      </c>
      <c r="AE28" s="69">
        <f t="shared" si="32"/>
        <v>56480</v>
      </c>
      <c r="AF28" s="113"/>
      <c r="AG28" s="7">
        <v>44751.26</v>
      </c>
      <c r="AH28" s="143">
        <v>14991.29</v>
      </c>
      <c r="AI28" s="9">
        <f t="shared" si="33"/>
        <v>29759.97</v>
      </c>
      <c r="AJ28" s="151"/>
      <c r="AK28" s="127">
        <f t="shared" si="34"/>
        <v>0.5269116501416431</v>
      </c>
      <c r="AL28" s="373"/>
      <c r="AM28" s="138">
        <v>50</v>
      </c>
      <c r="AN28" s="3">
        <v>134</v>
      </c>
      <c r="AO28" s="3">
        <v>459</v>
      </c>
      <c r="AP28" s="4">
        <f t="shared" si="35"/>
        <v>643</v>
      </c>
      <c r="AQ28" s="47"/>
      <c r="AR28" s="7">
        <v>66.52</v>
      </c>
      <c r="AS28" s="100">
        <v>116.65</v>
      </c>
      <c r="AT28" s="100">
        <v>399.91</v>
      </c>
      <c r="AU28" s="74">
        <f t="shared" si="36"/>
        <v>583.08000000000004</v>
      </c>
      <c r="AV28" s="133"/>
      <c r="AW28" s="127">
        <f t="shared" si="37"/>
        <v>0.9068118195956455</v>
      </c>
      <c r="AY28" s="95">
        <f t="shared" si="31"/>
        <v>92901.448049999992</v>
      </c>
      <c r="AZ28" s="95">
        <v>5699126.3499999996</v>
      </c>
      <c r="BB28" s="416"/>
      <c r="BC28" s="417"/>
      <c r="BD28" s="417"/>
      <c r="BE28" s="417"/>
      <c r="BF28" s="417"/>
      <c r="BG28" s="418"/>
    </row>
    <row r="29" spans="2:59" x14ac:dyDescent="0.25">
      <c r="B29" s="5" t="s">
        <v>24</v>
      </c>
      <c r="C29" s="3">
        <v>82188</v>
      </c>
      <c r="D29" s="3">
        <v>390480</v>
      </c>
      <c r="E29" s="4">
        <f t="shared" si="19"/>
        <v>472668</v>
      </c>
      <c r="F29" s="14"/>
      <c r="G29" s="3">
        <v>38257</v>
      </c>
      <c r="H29" s="3">
        <v>158040</v>
      </c>
      <c r="I29" s="4">
        <f t="shared" si="20"/>
        <v>196297</v>
      </c>
      <c r="J29" s="14"/>
      <c r="K29" s="3">
        <f t="shared" si="21"/>
        <v>120445</v>
      </c>
      <c r="L29" s="3">
        <f t="shared" si="22"/>
        <v>548520</v>
      </c>
      <c r="M29" s="4">
        <f t="shared" si="23"/>
        <v>668965</v>
      </c>
      <c r="N29" s="14"/>
      <c r="O29" s="33">
        <v>6.8500000000000005E-2</v>
      </c>
      <c r="P29" s="30">
        <f t="shared" si="24"/>
        <v>32377.758000000002</v>
      </c>
      <c r="Q29" s="34">
        <v>4.65E-2</v>
      </c>
      <c r="R29" s="7">
        <f t="shared" si="25"/>
        <v>9127.8104999999996</v>
      </c>
      <c r="S29" s="6">
        <v>3.5500000000000002E-3</v>
      </c>
      <c r="T29" s="7">
        <f t="shared" si="26"/>
        <v>2374.82575</v>
      </c>
      <c r="U29" s="9">
        <f t="shared" si="27"/>
        <v>43880.394249999998</v>
      </c>
      <c r="V29" s="14"/>
      <c r="W29" s="9">
        <v>15491.18</v>
      </c>
      <c r="X29" s="31">
        <f t="shared" si="28"/>
        <v>6.5594454493134918E-2</v>
      </c>
      <c r="Y29" s="39">
        <f t="shared" si="29"/>
        <v>8.875139095468372E-2</v>
      </c>
      <c r="Z29" s="16"/>
      <c r="AA29" s="36">
        <f t="shared" si="30"/>
        <v>59371.574249999998</v>
      </c>
      <c r="AB29" s="94"/>
      <c r="AC29" s="146">
        <v>32580</v>
      </c>
      <c r="AD29" s="3">
        <v>48430</v>
      </c>
      <c r="AE29" s="69">
        <f t="shared" si="32"/>
        <v>81010</v>
      </c>
      <c r="AF29" s="113"/>
      <c r="AG29" s="7">
        <v>62767.86</v>
      </c>
      <c r="AH29" s="143">
        <v>24865.89</v>
      </c>
      <c r="AI29" s="9">
        <f t="shared" si="33"/>
        <v>37901.97</v>
      </c>
      <c r="AJ29" s="151"/>
      <c r="AK29" s="127">
        <f t="shared" si="34"/>
        <v>0.46786779409949392</v>
      </c>
      <c r="AL29" s="373"/>
      <c r="AM29" s="139">
        <v>37</v>
      </c>
      <c r="AN29" s="18">
        <v>154</v>
      </c>
      <c r="AO29" s="18">
        <v>417</v>
      </c>
      <c r="AP29" s="4">
        <f t="shared" si="35"/>
        <v>608</v>
      </c>
      <c r="AQ29" s="47"/>
      <c r="AR29" s="7">
        <v>55.66</v>
      </c>
      <c r="AS29" s="7">
        <v>133.33000000000001</v>
      </c>
      <c r="AT29" s="7">
        <v>364.89</v>
      </c>
      <c r="AU29" s="74">
        <f t="shared" si="36"/>
        <v>553.88</v>
      </c>
      <c r="AV29" s="133"/>
      <c r="AW29" s="127">
        <f t="shared" si="37"/>
        <v>0.91098684210526315</v>
      </c>
      <c r="AY29" s="95">
        <f t="shared" si="31"/>
        <v>97827.424250000011</v>
      </c>
      <c r="AZ29" s="95">
        <v>5463398.7300000004</v>
      </c>
      <c r="BB29" s="416"/>
      <c r="BC29" s="417"/>
      <c r="BD29" s="417"/>
      <c r="BE29" s="417"/>
      <c r="BF29" s="417"/>
      <c r="BG29" s="418"/>
    </row>
    <row r="30" spans="2:59" ht="15.75" thickBot="1" x14ac:dyDescent="0.3">
      <c r="B30" s="17" t="s">
        <v>25</v>
      </c>
      <c r="C30" s="18">
        <v>64454</v>
      </c>
      <c r="D30" s="18">
        <v>304470</v>
      </c>
      <c r="E30" s="19">
        <f t="shared" si="19"/>
        <v>368924</v>
      </c>
      <c r="F30" s="14"/>
      <c r="G30" s="18">
        <v>37127</v>
      </c>
      <c r="H30" s="18">
        <v>141210</v>
      </c>
      <c r="I30" s="19">
        <f t="shared" si="20"/>
        <v>178337</v>
      </c>
      <c r="J30" s="14"/>
      <c r="K30" s="18">
        <f t="shared" si="21"/>
        <v>101581</v>
      </c>
      <c r="L30" s="18">
        <f t="shared" si="22"/>
        <v>445680</v>
      </c>
      <c r="M30" s="19">
        <f t="shared" si="23"/>
        <v>547261</v>
      </c>
      <c r="N30" s="14"/>
      <c r="O30" s="42">
        <v>6.8500000000000005E-2</v>
      </c>
      <c r="P30" s="43">
        <f t="shared" si="24"/>
        <v>25271.294000000002</v>
      </c>
      <c r="Q30" s="42">
        <v>4.65E-2</v>
      </c>
      <c r="R30" s="21">
        <f t="shared" si="25"/>
        <v>8292.6705000000002</v>
      </c>
      <c r="S30" s="20">
        <v>3.5500000000000002E-3</v>
      </c>
      <c r="T30" s="21">
        <f t="shared" si="26"/>
        <v>1942.77655</v>
      </c>
      <c r="U30" s="22">
        <f t="shared" si="27"/>
        <v>35506.741050000004</v>
      </c>
      <c r="V30" s="14"/>
      <c r="W30" s="22">
        <v>14424.02</v>
      </c>
      <c r="X30" s="32">
        <f t="shared" si="28"/>
        <v>6.4880817471005617E-2</v>
      </c>
      <c r="Y30" s="44">
        <f t="shared" si="29"/>
        <v>9.1237564982704786E-2</v>
      </c>
      <c r="Z30" s="16"/>
      <c r="AA30" s="45">
        <f t="shared" si="30"/>
        <v>49930.761050000001</v>
      </c>
      <c r="AB30" s="94"/>
      <c r="AC30" s="148">
        <v>55880</v>
      </c>
      <c r="AD30" s="18">
        <v>41650</v>
      </c>
      <c r="AE30" s="69">
        <f t="shared" si="32"/>
        <v>97530</v>
      </c>
      <c r="AF30" s="114"/>
      <c r="AG30" s="50">
        <v>77663.25</v>
      </c>
      <c r="AH30" s="144">
        <v>36650.32</v>
      </c>
      <c r="AI30" s="9">
        <f t="shared" si="33"/>
        <v>41012.93</v>
      </c>
      <c r="AJ30" s="152"/>
      <c r="AK30" s="127">
        <f t="shared" si="34"/>
        <v>0.42051604634471446</v>
      </c>
      <c r="AL30" s="373"/>
      <c r="AM30" s="139">
        <v>37</v>
      </c>
      <c r="AN30" s="18">
        <v>154</v>
      </c>
      <c r="AO30" s="18">
        <v>417</v>
      </c>
      <c r="AP30" s="4">
        <f t="shared" si="35"/>
        <v>608</v>
      </c>
      <c r="AQ30" s="52"/>
      <c r="AR30" s="50">
        <v>55.66</v>
      </c>
      <c r="AS30" s="50">
        <v>133.33000000000001</v>
      </c>
      <c r="AT30" s="50">
        <v>364.89</v>
      </c>
      <c r="AU30" s="91">
        <f t="shared" si="36"/>
        <v>553.88</v>
      </c>
      <c r="AV30" s="134"/>
      <c r="AW30" s="128">
        <f t="shared" si="37"/>
        <v>0.91098684210526315</v>
      </c>
      <c r="AY30" s="95">
        <f t="shared" si="31"/>
        <v>91497.571049999999</v>
      </c>
      <c r="AZ30" s="95">
        <v>4365583.8600000003</v>
      </c>
      <c r="BB30" s="416"/>
      <c r="BC30" s="417"/>
      <c r="BD30" s="417"/>
      <c r="BE30" s="417"/>
      <c r="BF30" s="417"/>
      <c r="BG30" s="418"/>
    </row>
    <row r="31" spans="2:59" ht="15.75" thickBot="1" x14ac:dyDescent="0.3">
      <c r="B31" s="24">
        <v>2012</v>
      </c>
      <c r="C31" s="23">
        <f>SUM(C19:C30)</f>
        <v>954904</v>
      </c>
      <c r="D31" s="23">
        <f>SUM(D19:D30)</f>
        <v>4585440</v>
      </c>
      <c r="E31" s="27">
        <f>SUM(E19:E30)</f>
        <v>5540344</v>
      </c>
      <c r="F31" s="23"/>
      <c r="G31" s="23">
        <f>SUM(G19:G30)</f>
        <v>420055</v>
      </c>
      <c r="H31" s="23">
        <f>SUM(H19:H30)</f>
        <v>2020740</v>
      </c>
      <c r="I31" s="27">
        <f>SUM(I19:I30)</f>
        <v>2440795</v>
      </c>
      <c r="J31" s="23"/>
      <c r="K31" s="23">
        <f>SUM(K19:K30)</f>
        <v>1374959</v>
      </c>
      <c r="L31" s="23">
        <f>SUM(L19:L30)</f>
        <v>6606180</v>
      </c>
      <c r="M31" s="27">
        <f>SUM(M19:M30)</f>
        <v>7981139</v>
      </c>
      <c r="N31" s="23"/>
      <c r="O31" s="55">
        <f>SUM(O19:O30)/COUNTA(O19:O30)</f>
        <v>6.8500000000000005E-2</v>
      </c>
      <c r="P31" s="26">
        <f>SUM(P19:P30)</f>
        <v>379513.56400000001</v>
      </c>
      <c r="Q31" s="55">
        <f>SUM(Q19:Q30)/COUNTA(Q19:Q30)</f>
        <v>4.6499999999999993E-2</v>
      </c>
      <c r="R31" s="26">
        <f>SUM(R19:R30)</f>
        <v>113496.9675</v>
      </c>
      <c r="S31" s="25">
        <f>SUM(S19:S30)/COUNTA(S19:S30)</f>
        <v>3.5499999999999998E-3</v>
      </c>
      <c r="T31" s="26">
        <f>SUM(T19:T30)</f>
        <v>28333.043450000001</v>
      </c>
      <c r="U31" s="28">
        <f>SUM(U19:U30)</f>
        <v>521343.57495000004</v>
      </c>
      <c r="V31" s="23"/>
      <c r="W31" s="28">
        <f>SUM(W19:W30)</f>
        <v>165614.37</v>
      </c>
      <c r="X31" s="25">
        <f>(U31)/M31</f>
        <v>6.5321951534737091E-2</v>
      </c>
      <c r="Y31" s="40">
        <f t="shared" si="29"/>
        <v>8.6072670197825149E-2</v>
      </c>
      <c r="Z31" s="35"/>
      <c r="AA31" s="37">
        <f>SUM(AA19:AA30)</f>
        <v>686957.94494999992</v>
      </c>
      <c r="AB31" s="94"/>
      <c r="AC31" s="149">
        <f>SUM(AC19:AC30)</f>
        <v>414920</v>
      </c>
      <c r="AD31" s="140">
        <f>SUM(AD19:AD30)</f>
        <v>451650</v>
      </c>
      <c r="AE31" s="140">
        <f>SUM(AE19:AE30)</f>
        <v>866570</v>
      </c>
      <c r="AF31" s="153"/>
      <c r="AG31" s="136">
        <f>SUM(AG19:AG30)</f>
        <v>681527.95</v>
      </c>
      <c r="AH31" s="136">
        <f>SUM(AH19:AH30)</f>
        <v>204443.36</v>
      </c>
      <c r="AI31" s="28">
        <f>SUM(AI19:AI30)</f>
        <v>477084.58999999991</v>
      </c>
      <c r="AJ31" s="134"/>
      <c r="AK31" s="159">
        <f>AI31/AE31</f>
        <v>0.55054362601982521</v>
      </c>
      <c r="AL31" s="122"/>
      <c r="AM31" s="140">
        <f>SUM(AM19:AM30)</f>
        <v>536</v>
      </c>
      <c r="AN31" s="23">
        <f>SUM(AN19:AN30)</f>
        <v>2003</v>
      </c>
      <c r="AO31" s="23">
        <f>SUM(AO19:AO30)</f>
        <v>5070</v>
      </c>
      <c r="AP31" s="27">
        <f>SUM(AP19:AP30)</f>
        <v>7609</v>
      </c>
      <c r="AQ31" s="49"/>
      <c r="AR31" s="51">
        <f>SUM(AR19:AR30)</f>
        <v>744.67999999999984</v>
      </c>
      <c r="AS31" s="51">
        <f>SUM(AS19:AS30)</f>
        <v>1729.1799999999998</v>
      </c>
      <c r="AT31" s="51">
        <f>SUM(AT19:AT30)</f>
        <v>4433.7199999999993</v>
      </c>
      <c r="AU31" s="28">
        <f t="shared" si="36"/>
        <v>6907.579999999999</v>
      </c>
      <c r="AV31" s="132"/>
      <c r="AW31" s="131">
        <f>AU31/AP31</f>
        <v>0.90781705874622143</v>
      </c>
      <c r="AY31" s="96">
        <f>AA31+AI31+AU31</f>
        <v>1170950.1149499998</v>
      </c>
      <c r="AZ31" s="96">
        <f>SUM(AZ19:AZ30)</f>
        <v>69219240.719999999</v>
      </c>
      <c r="BB31" s="419"/>
      <c r="BC31" s="420"/>
      <c r="BD31" s="420"/>
      <c r="BE31" s="420"/>
      <c r="BF31" s="420"/>
      <c r="BG31" s="421"/>
    </row>
    <row r="32" spans="2:59" ht="15.75" thickBot="1" x14ac:dyDescent="0.3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C32" s="35"/>
      <c r="AD32" s="97"/>
      <c r="AE32" s="35"/>
      <c r="AF32" s="115"/>
      <c r="AG32" s="97"/>
      <c r="AH32" s="35"/>
      <c r="AI32" s="35"/>
      <c r="AJ32" s="14"/>
      <c r="AK32" s="14"/>
      <c r="AM32" s="35"/>
      <c r="AN32" s="35"/>
      <c r="AO32" s="35"/>
      <c r="AP32" s="35"/>
      <c r="AQ32" s="35"/>
      <c r="AR32" s="35"/>
      <c r="AS32" s="92"/>
      <c r="AT32" s="92"/>
      <c r="AU32" s="35"/>
      <c r="AV32" s="117"/>
      <c r="AW32" s="117"/>
      <c r="AY32" s="35"/>
      <c r="BB32" s="142"/>
      <c r="BC32" s="142"/>
      <c r="BD32" s="142"/>
      <c r="BE32" s="142"/>
      <c r="BF32" s="142"/>
      <c r="BG32" s="142"/>
    </row>
    <row r="33" spans="2:59" x14ac:dyDescent="0.25">
      <c r="B33" s="78" t="s">
        <v>26</v>
      </c>
      <c r="C33" s="68">
        <v>89622</v>
      </c>
      <c r="D33" s="68">
        <v>427830</v>
      </c>
      <c r="E33" s="69">
        <f>C33+D33</f>
        <v>517452</v>
      </c>
      <c r="F33" s="14"/>
      <c r="G33" s="68">
        <v>42817</v>
      </c>
      <c r="H33" s="68">
        <v>154950</v>
      </c>
      <c r="I33" s="69">
        <f>G33+H33</f>
        <v>197767</v>
      </c>
      <c r="J33" s="14"/>
      <c r="K33" s="68">
        <f>C33+G33</f>
        <v>132439</v>
      </c>
      <c r="L33" s="68">
        <f>D33+H33</f>
        <v>582780</v>
      </c>
      <c r="M33" s="69">
        <f>K33+L33</f>
        <v>715219</v>
      </c>
      <c r="N33" s="14"/>
      <c r="O33" s="79">
        <v>6.4799999999999996E-2</v>
      </c>
      <c r="P33" s="71">
        <f>E33*O33</f>
        <v>33530.889599999995</v>
      </c>
      <c r="Q33" s="72">
        <v>4.5370000000000001E-2</v>
      </c>
      <c r="R33" s="71">
        <f>I33*Q33</f>
        <v>8972.6887900000002</v>
      </c>
      <c r="S33" s="73">
        <v>3.5500000000000002E-3</v>
      </c>
      <c r="T33" s="71">
        <f>M33*S33</f>
        <v>2539.02745</v>
      </c>
      <c r="U33" s="74">
        <f>P33+R33+T33</f>
        <v>45042.605839999997</v>
      </c>
      <c r="V33" s="14"/>
      <c r="W33" s="74">
        <v>16425.169999999998</v>
      </c>
      <c r="X33" s="75">
        <f>U33/M33</f>
        <v>6.2977361954869762E-2</v>
      </c>
      <c r="Y33" s="76">
        <f>(U33+W33)/M33</f>
        <v>8.5942593583224147E-2</v>
      </c>
      <c r="Z33" s="16"/>
      <c r="AA33" s="77">
        <f>U33+W33</f>
        <v>61467.775839999995</v>
      </c>
      <c r="AB33" s="94"/>
      <c r="AC33" s="154">
        <v>45740</v>
      </c>
      <c r="AD33" s="58">
        <v>78300</v>
      </c>
      <c r="AE33" s="59">
        <f>AC33+AD33</f>
        <v>124040</v>
      </c>
      <c r="AF33" s="155"/>
      <c r="AG33" s="61">
        <v>94725.15</v>
      </c>
      <c r="AH33" s="156">
        <v>36739.71</v>
      </c>
      <c r="AI33" s="62">
        <f>AG33-AH33</f>
        <v>57985.439999999995</v>
      </c>
      <c r="AJ33" s="157"/>
      <c r="AK33" s="158">
        <f>AI33/AE33</f>
        <v>0.4674737181554337</v>
      </c>
      <c r="AL33" s="373"/>
      <c r="AM33" s="137">
        <v>118</v>
      </c>
      <c r="AN33" s="54">
        <v>223</v>
      </c>
      <c r="AO33" s="54">
        <v>291</v>
      </c>
      <c r="AP33" s="69">
        <f>SUM(AM33:AO33)</f>
        <v>632</v>
      </c>
      <c r="AQ33" s="47"/>
      <c r="AR33" s="102">
        <v>123.21</v>
      </c>
      <c r="AS33" s="103">
        <v>190.86</v>
      </c>
      <c r="AT33" s="103">
        <v>259.83</v>
      </c>
      <c r="AU33" s="62">
        <f>SUM(AR33:AT33)</f>
        <v>573.9</v>
      </c>
      <c r="AV33" s="133"/>
      <c r="AW33" s="101">
        <f>AU33/AP33</f>
        <v>0.90806962025316451</v>
      </c>
      <c r="AY33" s="95">
        <f t="shared" ref="AY33:AY44" si="38">AA33+AI33+AU33</f>
        <v>120027.11583999998</v>
      </c>
      <c r="AZ33" s="173">
        <v>5503655.54</v>
      </c>
      <c r="BB33" s="416"/>
      <c r="BC33" s="417"/>
      <c r="BD33" s="417"/>
      <c r="BE33" s="422"/>
      <c r="BF33" s="422"/>
      <c r="BG33" s="423"/>
    </row>
    <row r="34" spans="2:59" x14ac:dyDescent="0.25">
      <c r="B34" s="53" t="s">
        <v>27</v>
      </c>
      <c r="C34" s="3">
        <v>85702</v>
      </c>
      <c r="D34" s="3">
        <v>416940</v>
      </c>
      <c r="E34" s="4">
        <f>C34+D34</f>
        <v>502642</v>
      </c>
      <c r="F34" s="14"/>
      <c r="G34" s="3">
        <v>44529</v>
      </c>
      <c r="H34" s="3">
        <v>185340</v>
      </c>
      <c r="I34" s="4">
        <f>G34+H34</f>
        <v>229869</v>
      </c>
      <c r="J34" s="14"/>
      <c r="K34" s="3">
        <f>C34+G34</f>
        <v>130231</v>
      </c>
      <c r="L34" s="3">
        <f>D34+H34</f>
        <v>602280</v>
      </c>
      <c r="M34" s="4">
        <f>K34+L34</f>
        <v>732511</v>
      </c>
      <c r="N34" s="14"/>
      <c r="O34" s="10">
        <v>6.4799999999999996E-2</v>
      </c>
      <c r="P34" s="7">
        <f>E34*O34</f>
        <v>32571.201599999997</v>
      </c>
      <c r="Q34" s="6">
        <v>4.5370000000000001E-2</v>
      </c>
      <c r="R34" s="7">
        <f>I34*Q34</f>
        <v>10429.15653</v>
      </c>
      <c r="S34" s="6">
        <v>3.5500000000000002E-3</v>
      </c>
      <c r="T34" s="7">
        <f t="shared" ref="T34:T44" si="39">M34*S34</f>
        <v>2600.4140500000003</v>
      </c>
      <c r="U34" s="9">
        <f>P34+R34+T34</f>
        <v>45600.772179999993</v>
      </c>
      <c r="V34" s="14"/>
      <c r="W34" s="9">
        <v>21510.62</v>
      </c>
      <c r="X34" s="31">
        <f>U34/M34</f>
        <v>6.2252679045092831E-2</v>
      </c>
      <c r="Y34" s="39">
        <f>(U34+W34)/M34</f>
        <v>9.1618272189769159E-2</v>
      </c>
      <c r="Z34" s="16"/>
      <c r="AA34" s="36">
        <f t="shared" ref="AA34:AA44" si="40">U34+W34</f>
        <v>67111.392179999995</v>
      </c>
      <c r="AB34" s="94"/>
      <c r="AC34" s="146">
        <v>30939</v>
      </c>
      <c r="AD34" s="3">
        <v>64200</v>
      </c>
      <c r="AE34" s="69">
        <f t="shared" ref="AE34:AE44" si="41">AC34+AD34</f>
        <v>95139</v>
      </c>
      <c r="AF34" s="113"/>
      <c r="AG34" s="7">
        <v>84463.03</v>
      </c>
      <c r="AH34" s="143">
        <v>31992.25</v>
      </c>
      <c r="AI34" s="9">
        <f t="shared" ref="AI34:AI44" si="42">AG34-AH34</f>
        <v>52470.78</v>
      </c>
      <c r="AJ34" s="151"/>
      <c r="AK34" s="127">
        <f t="shared" ref="AK34:AK44" si="43">AI34/AE34</f>
        <v>0.55151704348374486</v>
      </c>
      <c r="AL34" s="373"/>
      <c r="AM34" s="139">
        <v>51</v>
      </c>
      <c r="AN34" s="18">
        <v>163</v>
      </c>
      <c r="AO34" s="18">
        <v>413</v>
      </c>
      <c r="AP34" s="4">
        <f t="shared" ref="AP34:AP44" si="44">SUM(AM34:AO34)</f>
        <v>627</v>
      </c>
      <c r="AQ34" s="47"/>
      <c r="AR34" s="7">
        <v>67.72</v>
      </c>
      <c r="AS34" s="7">
        <v>142.05000000000001</v>
      </c>
      <c r="AT34" s="7">
        <v>364.22</v>
      </c>
      <c r="AU34" s="74">
        <f t="shared" ref="AU34:AU45" si="45">SUM(AR34:AT34)</f>
        <v>573.99</v>
      </c>
      <c r="AV34" s="133"/>
      <c r="AW34" s="127">
        <f t="shared" ref="AW34:AW44" si="46">AU34/AP34</f>
        <v>0.91545454545454552</v>
      </c>
      <c r="AY34" s="95">
        <f t="shared" si="38"/>
        <v>120156.16218</v>
      </c>
      <c r="AZ34" s="95">
        <v>6740950.8499999996</v>
      </c>
      <c r="BB34" s="416"/>
      <c r="BC34" s="417"/>
      <c r="BD34" s="417"/>
      <c r="BE34" s="417"/>
      <c r="BF34" s="417"/>
      <c r="BG34" s="418"/>
    </row>
    <row r="35" spans="2:59" x14ac:dyDescent="0.25">
      <c r="B35" s="53" t="s">
        <v>28</v>
      </c>
      <c r="C35" s="3">
        <v>89886</v>
      </c>
      <c r="D35" s="3">
        <v>435390</v>
      </c>
      <c r="E35" s="4">
        <f t="shared" ref="E35:E44" si="47">C35+D35</f>
        <v>525276</v>
      </c>
      <c r="F35" s="14"/>
      <c r="G35" s="3">
        <v>44852</v>
      </c>
      <c r="H35" s="3">
        <v>191730</v>
      </c>
      <c r="I35" s="4">
        <f t="shared" ref="I35:I44" si="48">G35+H35</f>
        <v>236582</v>
      </c>
      <c r="J35" s="14"/>
      <c r="K35" s="3">
        <f t="shared" ref="K35:K44" si="49">C35+G35</f>
        <v>134738</v>
      </c>
      <c r="L35" s="3">
        <f t="shared" ref="L35:L44" si="50">D35+H35</f>
        <v>627120</v>
      </c>
      <c r="M35" s="4">
        <f t="shared" ref="M35:M44" si="51">K35+L35</f>
        <v>761858</v>
      </c>
      <c r="N35" s="14"/>
      <c r="O35" s="33">
        <v>6.4799999999999996E-2</v>
      </c>
      <c r="P35" s="30">
        <f t="shared" ref="P35:P44" si="52">E35*O35</f>
        <v>34037.8848</v>
      </c>
      <c r="Q35" s="12">
        <v>4.5370000000000001E-2</v>
      </c>
      <c r="R35" s="7">
        <f t="shared" ref="R35:R44" si="53">I35*Q35</f>
        <v>10733.725340000001</v>
      </c>
      <c r="S35" s="6">
        <v>3.5500000000000002E-3</v>
      </c>
      <c r="T35" s="7">
        <f t="shared" si="39"/>
        <v>2704.5959000000003</v>
      </c>
      <c r="U35" s="9">
        <f t="shared" ref="U35:U44" si="54">P35+R35+T35</f>
        <v>47476.206040000005</v>
      </c>
      <c r="V35" s="14"/>
      <c r="W35" s="9">
        <v>21352.2</v>
      </c>
      <c r="X35" s="31">
        <f t="shared" ref="X35:X44" si="55">U35/M35</f>
        <v>6.2316345093180098E-2</v>
      </c>
      <c r="Y35" s="39">
        <f t="shared" ref="Y35:Y44" si="56">(U35+W35)/M35</f>
        <v>9.0342827718551233E-2</v>
      </c>
      <c r="Z35" s="16"/>
      <c r="AA35" s="36">
        <f t="shared" si="40"/>
        <v>68828.406040000002</v>
      </c>
      <c r="AB35" s="94"/>
      <c r="AC35" s="146">
        <v>37540</v>
      </c>
      <c r="AD35" s="3">
        <v>64680</v>
      </c>
      <c r="AE35" s="69">
        <f t="shared" si="41"/>
        <v>102220</v>
      </c>
      <c r="AF35" s="113"/>
      <c r="AG35" s="7">
        <v>66919.100000000006</v>
      </c>
      <c r="AH35" s="143">
        <v>31595.82</v>
      </c>
      <c r="AI35" s="9">
        <f t="shared" si="42"/>
        <v>35323.280000000006</v>
      </c>
      <c r="AJ35" s="151"/>
      <c r="AK35" s="127">
        <f t="shared" si="43"/>
        <v>0.34556133828996288</v>
      </c>
      <c r="AL35" s="373"/>
      <c r="AM35" s="139">
        <v>51</v>
      </c>
      <c r="AN35" s="18">
        <v>163</v>
      </c>
      <c r="AO35" s="18">
        <v>413</v>
      </c>
      <c r="AP35" s="4">
        <f t="shared" si="44"/>
        <v>627</v>
      </c>
      <c r="AQ35" s="47"/>
      <c r="AR35" s="7">
        <v>67.760000000000005</v>
      </c>
      <c r="AS35" s="7">
        <v>142.19</v>
      </c>
      <c r="AT35" s="7">
        <v>364.99</v>
      </c>
      <c r="AU35" s="74">
        <f t="shared" si="45"/>
        <v>574.94000000000005</v>
      </c>
      <c r="AV35" s="133"/>
      <c r="AW35" s="127">
        <f t="shared" si="46"/>
        <v>0.9169696969696971</v>
      </c>
      <c r="AY35" s="95">
        <f t="shared" si="38"/>
        <v>104726.62604</v>
      </c>
      <c r="AZ35" s="95">
        <v>7174660.25</v>
      </c>
      <c r="BB35" s="416"/>
      <c r="BC35" s="417"/>
      <c r="BD35" s="417"/>
      <c r="BE35" s="417"/>
      <c r="BF35" s="417"/>
      <c r="BG35" s="418"/>
    </row>
    <row r="36" spans="2:59" x14ac:dyDescent="0.25">
      <c r="B36" s="53" t="s">
        <v>29</v>
      </c>
      <c r="C36" s="3">
        <v>86322</v>
      </c>
      <c r="D36" s="3">
        <v>423990</v>
      </c>
      <c r="E36" s="4">
        <f t="shared" si="47"/>
        <v>510312</v>
      </c>
      <c r="F36" s="14"/>
      <c r="G36" s="3">
        <v>37636</v>
      </c>
      <c r="H36" s="3">
        <v>169440</v>
      </c>
      <c r="I36" s="4">
        <f t="shared" si="48"/>
        <v>207076</v>
      </c>
      <c r="J36" s="14"/>
      <c r="K36" s="3">
        <f t="shared" si="49"/>
        <v>123958</v>
      </c>
      <c r="L36" s="3">
        <f t="shared" si="50"/>
        <v>593430</v>
      </c>
      <c r="M36" s="4">
        <f t="shared" si="51"/>
        <v>717388</v>
      </c>
      <c r="N36" s="14"/>
      <c r="O36" s="10">
        <v>6.4799999999999996E-2</v>
      </c>
      <c r="P36" s="30">
        <f t="shared" si="52"/>
        <v>33068.217599999996</v>
      </c>
      <c r="Q36" s="6">
        <v>4.5370000000000001E-2</v>
      </c>
      <c r="R36" s="7">
        <f t="shared" si="53"/>
        <v>9395.0381199999993</v>
      </c>
      <c r="S36" s="6">
        <v>3.5500000000000002E-3</v>
      </c>
      <c r="T36" s="7">
        <f t="shared" si="39"/>
        <v>2546.7274000000002</v>
      </c>
      <c r="U36" s="9">
        <f t="shared" si="54"/>
        <v>45009.983119999997</v>
      </c>
      <c r="V36" s="14"/>
      <c r="W36" s="9">
        <v>17238.96</v>
      </c>
      <c r="X36" s="31">
        <f t="shared" si="55"/>
        <v>6.2741477582563404E-2</v>
      </c>
      <c r="Y36" s="39">
        <f t="shared" si="56"/>
        <v>8.6771653721556527E-2</v>
      </c>
      <c r="Z36" s="16"/>
      <c r="AA36" s="36">
        <f t="shared" si="40"/>
        <v>62248.943119999996</v>
      </c>
      <c r="AB36" s="94"/>
      <c r="AC36" s="146">
        <v>41330</v>
      </c>
      <c r="AD36" s="3">
        <v>23670</v>
      </c>
      <c r="AE36" s="69">
        <f t="shared" si="41"/>
        <v>65000</v>
      </c>
      <c r="AF36" s="113"/>
      <c r="AG36" s="7">
        <v>46186.7</v>
      </c>
      <c r="AH36" s="143">
        <v>11509</v>
      </c>
      <c r="AI36" s="9">
        <f t="shared" si="42"/>
        <v>34677.699999999997</v>
      </c>
      <c r="AJ36" s="151"/>
      <c r="AK36" s="127">
        <f t="shared" si="43"/>
        <v>0.53350307692307686</v>
      </c>
      <c r="AL36" s="373"/>
      <c r="AM36" s="138">
        <v>46</v>
      </c>
      <c r="AN36" s="3">
        <v>266</v>
      </c>
      <c r="AO36" s="3">
        <v>366</v>
      </c>
      <c r="AP36" s="4">
        <f t="shared" si="44"/>
        <v>678</v>
      </c>
      <c r="AQ36" s="47"/>
      <c r="AR36" s="7">
        <v>63.55</v>
      </c>
      <c r="AS36" s="7">
        <v>228.92</v>
      </c>
      <c r="AT36" s="7">
        <v>325.41000000000003</v>
      </c>
      <c r="AU36" s="74">
        <f t="shared" si="45"/>
        <v>617.88</v>
      </c>
      <c r="AV36" s="133"/>
      <c r="AW36" s="127">
        <f t="shared" si="46"/>
        <v>0.91132743362831858</v>
      </c>
      <c r="AY36" s="95">
        <f t="shared" si="38"/>
        <v>97544.523119999998</v>
      </c>
      <c r="AZ36" s="95">
        <v>7136916.5099999998</v>
      </c>
      <c r="BB36" s="416"/>
      <c r="BC36" s="417"/>
      <c r="BD36" s="417"/>
      <c r="BE36" s="417"/>
      <c r="BF36" s="417"/>
      <c r="BG36" s="418"/>
    </row>
    <row r="37" spans="2:59" x14ac:dyDescent="0.25">
      <c r="B37" s="53" t="s">
        <v>30</v>
      </c>
      <c r="C37" s="3">
        <v>82745</v>
      </c>
      <c r="D37" s="3">
        <v>389550</v>
      </c>
      <c r="E37" s="4">
        <f t="shared" si="47"/>
        <v>472295</v>
      </c>
      <c r="F37" s="14"/>
      <c r="G37" s="3">
        <v>33745</v>
      </c>
      <c r="H37" s="3">
        <v>164280</v>
      </c>
      <c r="I37" s="4">
        <f t="shared" si="48"/>
        <v>198025</v>
      </c>
      <c r="J37" s="14"/>
      <c r="K37" s="3">
        <f t="shared" si="49"/>
        <v>116490</v>
      </c>
      <c r="L37" s="3">
        <f t="shared" si="50"/>
        <v>553830</v>
      </c>
      <c r="M37" s="4">
        <f t="shared" si="51"/>
        <v>670320</v>
      </c>
      <c r="N37" s="14"/>
      <c r="O37" s="33">
        <v>6.4799999999999996E-2</v>
      </c>
      <c r="P37" s="30">
        <f t="shared" si="52"/>
        <v>30604.715999999997</v>
      </c>
      <c r="Q37" s="12">
        <v>4.5370000000000001E-2</v>
      </c>
      <c r="R37" s="7">
        <f t="shared" si="53"/>
        <v>8984.3942499999994</v>
      </c>
      <c r="S37" s="6">
        <v>3.5500000000000002E-3</v>
      </c>
      <c r="T37" s="7">
        <f t="shared" si="39"/>
        <v>2379.636</v>
      </c>
      <c r="U37" s="9">
        <f t="shared" si="54"/>
        <v>41968.746249999997</v>
      </c>
      <c r="V37" s="14"/>
      <c r="W37" s="9">
        <v>16656.66</v>
      </c>
      <c r="X37" s="31">
        <f t="shared" si="55"/>
        <v>6.2610016484664036E-2</v>
      </c>
      <c r="Y37" s="39">
        <f t="shared" si="56"/>
        <v>8.745883495942236E-2</v>
      </c>
      <c r="Z37" s="16"/>
      <c r="AA37" s="36">
        <f t="shared" si="40"/>
        <v>58625.40625</v>
      </c>
      <c r="AB37" s="94"/>
      <c r="AC37" s="146">
        <v>11060</v>
      </c>
      <c r="AD37" s="3">
        <v>21280</v>
      </c>
      <c r="AE37" s="69">
        <f t="shared" si="41"/>
        <v>32340</v>
      </c>
      <c r="AF37" s="113"/>
      <c r="AG37" s="7">
        <v>27155.99</v>
      </c>
      <c r="AH37" s="143">
        <v>5796.48</v>
      </c>
      <c r="AI37" s="9">
        <f t="shared" si="42"/>
        <v>21359.510000000002</v>
      </c>
      <c r="AJ37" s="151"/>
      <c r="AK37" s="127">
        <f t="shared" si="43"/>
        <v>0.66046722325293761</v>
      </c>
      <c r="AL37" s="373"/>
      <c r="AM37" s="139">
        <v>52</v>
      </c>
      <c r="AN37" s="18">
        <v>174</v>
      </c>
      <c r="AO37" s="18">
        <v>410</v>
      </c>
      <c r="AP37" s="4">
        <f t="shared" si="44"/>
        <v>636</v>
      </c>
      <c r="AQ37" s="47"/>
      <c r="AR37" s="7">
        <v>68.61</v>
      </c>
      <c r="AS37" s="7">
        <v>151.44999999999999</v>
      </c>
      <c r="AT37" s="7">
        <v>361.46</v>
      </c>
      <c r="AU37" s="74">
        <f t="shared" si="45"/>
        <v>581.52</v>
      </c>
      <c r="AV37" s="133"/>
      <c r="AW37" s="127">
        <f t="shared" si="46"/>
        <v>0.91433962264150936</v>
      </c>
      <c r="AY37" s="95">
        <f t="shared" si="38"/>
        <v>80566.436250000013</v>
      </c>
      <c r="AZ37" s="95">
        <v>5241856.62</v>
      </c>
      <c r="BB37" s="416"/>
      <c r="BC37" s="417"/>
      <c r="BD37" s="417"/>
      <c r="BE37" s="417"/>
      <c r="BF37" s="417"/>
      <c r="BG37" s="418"/>
    </row>
    <row r="38" spans="2:59" x14ac:dyDescent="0.25">
      <c r="B38" s="53" t="s">
        <v>31</v>
      </c>
      <c r="C38" s="3">
        <v>76936</v>
      </c>
      <c r="D38" s="3">
        <v>371910</v>
      </c>
      <c r="E38" s="4">
        <f t="shared" si="47"/>
        <v>448846</v>
      </c>
      <c r="F38" s="14"/>
      <c r="G38" s="3">
        <v>45149</v>
      </c>
      <c r="H38" s="3">
        <v>188580</v>
      </c>
      <c r="I38" s="4">
        <f t="shared" si="48"/>
        <v>233729</v>
      </c>
      <c r="J38" s="14"/>
      <c r="K38" s="3">
        <f t="shared" si="49"/>
        <v>122085</v>
      </c>
      <c r="L38" s="3">
        <f t="shared" si="50"/>
        <v>560490</v>
      </c>
      <c r="M38" s="4">
        <f t="shared" si="51"/>
        <v>682575</v>
      </c>
      <c r="N38" s="14"/>
      <c r="O38" s="10">
        <v>6.4799999999999996E-2</v>
      </c>
      <c r="P38" s="30">
        <f t="shared" si="52"/>
        <v>29085.220799999999</v>
      </c>
      <c r="Q38" s="6">
        <v>4.5370000000000001E-2</v>
      </c>
      <c r="R38" s="7">
        <f t="shared" si="53"/>
        <v>10604.284729999999</v>
      </c>
      <c r="S38" s="6">
        <v>3.5500000000000002E-3</v>
      </c>
      <c r="T38" s="7">
        <f t="shared" si="39"/>
        <v>2423.1412500000001</v>
      </c>
      <c r="U38" s="9">
        <f t="shared" si="54"/>
        <v>42112.646779999995</v>
      </c>
      <c r="V38" s="14"/>
      <c r="W38" s="9">
        <v>16803.79</v>
      </c>
      <c r="X38" s="31">
        <f t="shared" si="55"/>
        <v>6.1696731904918867E-2</v>
      </c>
      <c r="Y38" s="39">
        <f t="shared" si="56"/>
        <v>8.6314964333589705E-2</v>
      </c>
      <c r="Z38" s="16"/>
      <c r="AA38" s="36">
        <f t="shared" si="40"/>
        <v>58916.436779999996</v>
      </c>
      <c r="AB38" s="94"/>
      <c r="AC38" s="146">
        <v>17060</v>
      </c>
      <c r="AD38" s="3">
        <v>17230</v>
      </c>
      <c r="AE38" s="69">
        <f t="shared" si="41"/>
        <v>34290</v>
      </c>
      <c r="AF38" s="113"/>
      <c r="AG38" s="7">
        <v>24463.15</v>
      </c>
      <c r="AH38" s="143">
        <v>3754.4450000000002</v>
      </c>
      <c r="AI38" s="9">
        <f t="shared" si="42"/>
        <v>20708.705000000002</v>
      </c>
      <c r="AJ38" s="151"/>
      <c r="AK38" s="127">
        <f t="shared" si="43"/>
        <v>0.60392840478273557</v>
      </c>
      <c r="AL38" s="373"/>
      <c r="AM38" s="139">
        <v>53</v>
      </c>
      <c r="AN38" s="18">
        <v>181</v>
      </c>
      <c r="AO38" s="18">
        <v>492</v>
      </c>
      <c r="AP38" s="4">
        <f t="shared" si="44"/>
        <v>726</v>
      </c>
      <c r="AQ38" s="47"/>
      <c r="AR38" s="7">
        <v>69.45</v>
      </c>
      <c r="AS38" s="7">
        <v>157.35</v>
      </c>
      <c r="AT38" s="7">
        <v>431.51</v>
      </c>
      <c r="AU38" s="74">
        <f t="shared" si="45"/>
        <v>658.31</v>
      </c>
      <c r="AV38" s="133"/>
      <c r="AW38" s="127">
        <f t="shared" si="46"/>
        <v>0.90676308539944894</v>
      </c>
      <c r="AY38" s="95">
        <f t="shared" si="38"/>
        <v>80283.451780000003</v>
      </c>
      <c r="AZ38" s="95">
        <v>5832588.5300000003</v>
      </c>
      <c r="BB38" s="416"/>
      <c r="BC38" s="417"/>
      <c r="BD38" s="417"/>
      <c r="BE38" s="417"/>
      <c r="BF38" s="417"/>
      <c r="BG38" s="418"/>
    </row>
    <row r="39" spans="2:59" x14ac:dyDescent="0.25">
      <c r="B39" s="53" t="s">
        <v>32</v>
      </c>
      <c r="C39" s="3">
        <v>91739</v>
      </c>
      <c r="D39" s="3">
        <v>443490</v>
      </c>
      <c r="E39" s="4">
        <f t="shared" si="47"/>
        <v>535229</v>
      </c>
      <c r="F39" s="14"/>
      <c r="G39" s="3">
        <v>48754</v>
      </c>
      <c r="H39" s="3">
        <v>173160</v>
      </c>
      <c r="I39" s="4">
        <f t="shared" si="48"/>
        <v>221914</v>
      </c>
      <c r="J39" s="14"/>
      <c r="K39" s="3">
        <f t="shared" si="49"/>
        <v>140493</v>
      </c>
      <c r="L39" s="3">
        <f t="shared" si="50"/>
        <v>616650</v>
      </c>
      <c r="M39" s="4">
        <f t="shared" si="51"/>
        <v>757143</v>
      </c>
      <c r="N39" s="14"/>
      <c r="O39" s="33">
        <v>6.4799999999999996E-2</v>
      </c>
      <c r="P39" s="30">
        <f t="shared" si="52"/>
        <v>34682.839199999995</v>
      </c>
      <c r="Q39" s="12">
        <v>4.5370000000000001E-2</v>
      </c>
      <c r="R39" s="7">
        <f t="shared" si="53"/>
        <v>10068.23818</v>
      </c>
      <c r="S39" s="6">
        <v>3.5500000000000002E-3</v>
      </c>
      <c r="T39" s="7">
        <f t="shared" si="39"/>
        <v>2687.8576500000004</v>
      </c>
      <c r="U39" s="9">
        <f t="shared" si="54"/>
        <v>47438.935029999993</v>
      </c>
      <c r="V39" s="14"/>
      <c r="W39" s="105">
        <v>17349.87</v>
      </c>
      <c r="X39" s="31">
        <f t="shared" si="55"/>
        <v>6.265518538770086E-2</v>
      </c>
      <c r="Y39" s="39">
        <f t="shared" si="56"/>
        <v>8.557010370564079E-2</v>
      </c>
      <c r="Z39" s="16"/>
      <c r="AA39" s="36">
        <f t="shared" si="40"/>
        <v>64788.805029999989</v>
      </c>
      <c r="AB39" s="94"/>
      <c r="AC39" s="146">
        <v>19170</v>
      </c>
      <c r="AD39" s="3">
        <v>17980</v>
      </c>
      <c r="AE39" s="69">
        <f t="shared" si="41"/>
        <v>37150</v>
      </c>
      <c r="AF39" s="113"/>
      <c r="AG39" s="7">
        <v>27504.560000000001</v>
      </c>
      <c r="AH39" s="143">
        <v>2509.79</v>
      </c>
      <c r="AI39" s="9">
        <f t="shared" si="42"/>
        <v>24994.77</v>
      </c>
      <c r="AJ39" s="151"/>
      <c r="AK39" s="127">
        <f t="shared" si="43"/>
        <v>0.67280672947510101</v>
      </c>
      <c r="AL39" s="373"/>
      <c r="AM39" s="138">
        <v>309</v>
      </c>
      <c r="AN39" s="3">
        <v>351</v>
      </c>
      <c r="AO39" s="3">
        <v>1377</v>
      </c>
      <c r="AP39" s="4">
        <f t="shared" si="44"/>
        <v>2037</v>
      </c>
      <c r="AQ39" s="47"/>
      <c r="AR39" s="7">
        <v>277.41000000000003</v>
      </c>
      <c r="AS39" s="100">
        <v>300.49</v>
      </c>
      <c r="AT39" s="100">
        <v>1184.3900000000001</v>
      </c>
      <c r="AU39" s="74">
        <f t="shared" si="45"/>
        <v>1762.2900000000002</v>
      </c>
      <c r="AV39" s="133"/>
      <c r="AW39" s="127">
        <f t="shared" si="46"/>
        <v>0.86513991163475712</v>
      </c>
      <c r="AY39" s="95">
        <f t="shared" si="38"/>
        <v>91545.865029999986</v>
      </c>
      <c r="AZ39" s="435">
        <v>10521480.52</v>
      </c>
      <c r="BB39" s="416"/>
      <c r="BC39" s="417"/>
      <c r="BD39" s="417"/>
      <c r="BE39" s="417"/>
      <c r="BF39" s="417"/>
      <c r="BG39" s="418"/>
    </row>
    <row r="40" spans="2:59" x14ac:dyDescent="0.25">
      <c r="B40" s="53" t="s">
        <v>33</v>
      </c>
      <c r="C40" s="3">
        <v>56245</v>
      </c>
      <c r="D40" s="3">
        <v>264600</v>
      </c>
      <c r="E40" s="4">
        <f t="shared" si="47"/>
        <v>320845</v>
      </c>
      <c r="F40" s="14"/>
      <c r="G40" s="3">
        <v>30792</v>
      </c>
      <c r="H40" s="3">
        <v>128760</v>
      </c>
      <c r="I40" s="4">
        <f t="shared" si="48"/>
        <v>159552</v>
      </c>
      <c r="J40" s="14"/>
      <c r="K40" s="3">
        <f t="shared" si="49"/>
        <v>87037</v>
      </c>
      <c r="L40" s="3">
        <f t="shared" si="50"/>
        <v>393360</v>
      </c>
      <c r="M40" s="4">
        <f t="shared" si="51"/>
        <v>480397</v>
      </c>
      <c r="N40" s="14"/>
      <c r="O40" s="10">
        <v>6.4799999999999996E-2</v>
      </c>
      <c r="P40" s="30">
        <f t="shared" si="52"/>
        <v>20790.755999999998</v>
      </c>
      <c r="Q40" s="6">
        <v>4.5370000000000001E-2</v>
      </c>
      <c r="R40" s="7">
        <f t="shared" si="53"/>
        <v>7238.8742400000001</v>
      </c>
      <c r="S40" s="6">
        <v>3.5500000000000002E-3</v>
      </c>
      <c r="T40" s="7">
        <f t="shared" si="39"/>
        <v>1705.4093500000001</v>
      </c>
      <c r="U40" s="9">
        <f t="shared" si="54"/>
        <v>29735.03959</v>
      </c>
      <c r="V40" s="14"/>
      <c r="W40" s="105">
        <v>15707.57</v>
      </c>
      <c r="X40" s="31">
        <f t="shared" si="55"/>
        <v>6.1896805329758511E-2</v>
      </c>
      <c r="Y40" s="39">
        <f t="shared" si="56"/>
        <v>9.4593866302245852E-2</v>
      </c>
      <c r="Z40" s="16"/>
      <c r="AA40" s="36">
        <f t="shared" si="40"/>
        <v>45442.60959</v>
      </c>
      <c r="AB40" s="94"/>
      <c r="AC40" s="147">
        <v>2869</v>
      </c>
      <c r="AD40" s="54">
        <v>15650</v>
      </c>
      <c r="AE40" s="69">
        <f t="shared" si="41"/>
        <v>18519</v>
      </c>
      <c r="AF40" s="113"/>
      <c r="AG40" s="7">
        <v>20782.45</v>
      </c>
      <c r="AH40" s="143">
        <v>2643.42</v>
      </c>
      <c r="AI40" s="9">
        <f t="shared" si="42"/>
        <v>18139.03</v>
      </c>
      <c r="AJ40" s="151"/>
      <c r="AK40" s="127">
        <f t="shared" si="43"/>
        <v>0.97948215346400991</v>
      </c>
      <c r="AL40" s="373"/>
      <c r="AM40" s="139">
        <v>19</v>
      </c>
      <c r="AN40" s="18">
        <v>100</v>
      </c>
      <c r="AO40" s="18">
        <v>383</v>
      </c>
      <c r="AP40" s="4">
        <f t="shared" si="44"/>
        <v>502</v>
      </c>
      <c r="AQ40" s="47"/>
      <c r="AR40" s="7">
        <v>40.81</v>
      </c>
      <c r="AS40" s="7">
        <v>89.13</v>
      </c>
      <c r="AT40" s="7">
        <v>339.73</v>
      </c>
      <c r="AU40" s="74">
        <f t="shared" si="45"/>
        <v>469.67</v>
      </c>
      <c r="AV40" s="133"/>
      <c r="AW40" s="127">
        <f t="shared" si="46"/>
        <v>0.93559760956175297</v>
      </c>
      <c r="AY40" s="95">
        <f t="shared" si="38"/>
        <v>64051.309589999997</v>
      </c>
      <c r="AZ40" s="436"/>
      <c r="BB40" s="416"/>
      <c r="BC40" s="417"/>
      <c r="BD40" s="417"/>
      <c r="BE40" s="417"/>
      <c r="BF40" s="417"/>
      <c r="BG40" s="418"/>
    </row>
    <row r="41" spans="2:59" x14ac:dyDescent="0.25">
      <c r="B41" s="53" t="s">
        <v>34</v>
      </c>
      <c r="C41" s="3">
        <v>90240</v>
      </c>
      <c r="D41" s="3">
        <v>433980</v>
      </c>
      <c r="E41" s="4">
        <f t="shared" si="47"/>
        <v>524220</v>
      </c>
      <c r="F41" s="14"/>
      <c r="G41" s="3">
        <v>43347</v>
      </c>
      <c r="H41" s="54">
        <v>171090</v>
      </c>
      <c r="I41" s="4">
        <f t="shared" si="48"/>
        <v>214437</v>
      </c>
      <c r="J41" s="14"/>
      <c r="K41" s="3">
        <f t="shared" si="49"/>
        <v>133587</v>
      </c>
      <c r="L41" s="3">
        <f t="shared" si="50"/>
        <v>605070</v>
      </c>
      <c r="M41" s="4">
        <f t="shared" si="51"/>
        <v>738657</v>
      </c>
      <c r="N41" s="14"/>
      <c r="O41" s="33">
        <v>6.4799999999999996E-2</v>
      </c>
      <c r="P41" s="30">
        <f t="shared" si="52"/>
        <v>33969.455999999998</v>
      </c>
      <c r="Q41" s="12">
        <v>4.5370000000000001E-2</v>
      </c>
      <c r="R41" s="7">
        <f t="shared" si="53"/>
        <v>9729.0066900000002</v>
      </c>
      <c r="S41" s="6">
        <v>3.5500000000000002E-3</v>
      </c>
      <c r="T41" s="7">
        <f t="shared" si="39"/>
        <v>2622.2323500000002</v>
      </c>
      <c r="U41" s="9">
        <f t="shared" si="54"/>
        <v>46320.695039999999</v>
      </c>
      <c r="V41" s="14"/>
      <c r="W41" s="105">
        <v>22238.33</v>
      </c>
      <c r="X41" s="31">
        <f t="shared" si="55"/>
        <v>6.2709342820822106E-2</v>
      </c>
      <c r="Y41" s="39">
        <f t="shared" si="56"/>
        <v>9.2815779231767939E-2</v>
      </c>
      <c r="Z41" s="16"/>
      <c r="AA41" s="36">
        <f t="shared" si="40"/>
        <v>68559.025040000008</v>
      </c>
      <c r="AB41" s="94"/>
      <c r="AC41" s="146">
        <v>23151</v>
      </c>
      <c r="AD41" s="3">
        <v>20680</v>
      </c>
      <c r="AE41" s="69">
        <f t="shared" si="41"/>
        <v>43831</v>
      </c>
      <c r="AF41" s="113"/>
      <c r="AG41" s="7">
        <v>30898.03</v>
      </c>
      <c r="AH41" s="143">
        <v>4900.6499999999996</v>
      </c>
      <c r="AI41" s="9">
        <f t="shared" si="42"/>
        <v>25997.379999999997</v>
      </c>
      <c r="AJ41" s="151"/>
      <c r="AK41" s="127">
        <f t="shared" si="43"/>
        <v>0.59312769501038076</v>
      </c>
      <c r="AL41" s="373"/>
      <c r="AM41" s="139">
        <v>53</v>
      </c>
      <c r="AN41" s="18">
        <v>208</v>
      </c>
      <c r="AO41" s="18">
        <v>383</v>
      </c>
      <c r="AP41" s="4">
        <f t="shared" si="44"/>
        <v>644</v>
      </c>
      <c r="AQ41" s="47"/>
      <c r="AR41" s="7">
        <v>69.45</v>
      </c>
      <c r="AS41" s="7">
        <v>180.08</v>
      </c>
      <c r="AT41" s="7">
        <v>339.73</v>
      </c>
      <c r="AU41" s="74">
        <f t="shared" si="45"/>
        <v>589.26</v>
      </c>
      <c r="AV41" s="133"/>
      <c r="AW41" s="127">
        <f t="shared" si="46"/>
        <v>0.91500000000000004</v>
      </c>
      <c r="AY41" s="95">
        <f t="shared" si="38"/>
        <v>95145.665040000007</v>
      </c>
      <c r="AZ41" s="95">
        <v>6782728.54</v>
      </c>
      <c r="BB41" s="416"/>
      <c r="BC41" s="417"/>
      <c r="BD41" s="417"/>
      <c r="BE41" s="417"/>
      <c r="BF41" s="417"/>
      <c r="BG41" s="418"/>
    </row>
    <row r="42" spans="2:59" x14ac:dyDescent="0.25">
      <c r="B42" s="53" t="s">
        <v>35</v>
      </c>
      <c r="C42" s="3">
        <v>90182</v>
      </c>
      <c r="D42" s="3">
        <v>461400</v>
      </c>
      <c r="E42" s="4">
        <f t="shared" si="47"/>
        <v>551582</v>
      </c>
      <c r="F42" s="14"/>
      <c r="G42" s="3">
        <v>42451</v>
      </c>
      <c r="H42" s="3">
        <v>188100</v>
      </c>
      <c r="I42" s="4">
        <f t="shared" si="48"/>
        <v>230551</v>
      </c>
      <c r="J42" s="14"/>
      <c r="K42" s="3">
        <f t="shared" si="49"/>
        <v>132633</v>
      </c>
      <c r="L42" s="3">
        <f t="shared" si="50"/>
        <v>649500</v>
      </c>
      <c r="M42" s="4">
        <f t="shared" si="51"/>
        <v>782133</v>
      </c>
      <c r="N42" s="14"/>
      <c r="O42" s="10">
        <v>6.4799999999999996E-2</v>
      </c>
      <c r="P42" s="30">
        <f t="shared" si="52"/>
        <v>35742.513599999998</v>
      </c>
      <c r="Q42" s="6">
        <v>4.5370000000000001E-2</v>
      </c>
      <c r="R42" s="7">
        <f t="shared" si="53"/>
        <v>10460.09887</v>
      </c>
      <c r="S42" s="6">
        <v>3.5500000000000002E-3</v>
      </c>
      <c r="T42" s="7">
        <f t="shared" si="39"/>
        <v>2776.57215</v>
      </c>
      <c r="U42" s="9">
        <f t="shared" si="54"/>
        <v>48979.18462</v>
      </c>
      <c r="V42" s="14"/>
      <c r="W42" s="105">
        <v>18525.88</v>
      </c>
      <c r="X42" s="31">
        <f t="shared" si="55"/>
        <v>6.2622577771299773E-2</v>
      </c>
      <c r="Y42" s="39">
        <f t="shared" si="56"/>
        <v>8.6308932905273153E-2</v>
      </c>
      <c r="Z42" s="16"/>
      <c r="AA42" s="36">
        <f t="shared" si="40"/>
        <v>67505.064620000005</v>
      </c>
      <c r="AB42" s="94"/>
      <c r="AC42" s="146">
        <v>27080</v>
      </c>
      <c r="AD42" s="3">
        <v>24130</v>
      </c>
      <c r="AE42" s="69">
        <f t="shared" si="41"/>
        <v>51210</v>
      </c>
      <c r="AF42" s="113"/>
      <c r="AG42" s="7">
        <v>35339.870000000003</v>
      </c>
      <c r="AH42" s="143">
        <v>4788.96</v>
      </c>
      <c r="AI42" s="9">
        <f t="shared" si="42"/>
        <v>30550.910000000003</v>
      </c>
      <c r="AJ42" s="151"/>
      <c r="AK42" s="127">
        <f t="shared" si="43"/>
        <v>0.59658094122241756</v>
      </c>
      <c r="AL42" s="373"/>
      <c r="AM42" s="138">
        <v>59</v>
      </c>
      <c r="AN42" s="3">
        <v>254</v>
      </c>
      <c r="AO42" s="3">
        <v>503</v>
      </c>
      <c r="AP42" s="4">
        <f t="shared" si="44"/>
        <v>816</v>
      </c>
      <c r="AQ42" s="47"/>
      <c r="AR42" s="7">
        <v>74.5</v>
      </c>
      <c r="AS42" s="100">
        <v>218.82</v>
      </c>
      <c r="AT42" s="100">
        <v>440.77</v>
      </c>
      <c r="AU42" s="74">
        <f t="shared" si="45"/>
        <v>734.08999999999992</v>
      </c>
      <c r="AV42" s="133"/>
      <c r="AW42" s="127">
        <f t="shared" si="46"/>
        <v>0.89962009803921561</v>
      </c>
      <c r="AY42" s="95">
        <f t="shared" si="38"/>
        <v>98790.064620000005</v>
      </c>
      <c r="AZ42" s="95">
        <v>7572275.4299999997</v>
      </c>
      <c r="BB42" s="416"/>
      <c r="BC42" s="417"/>
      <c r="BD42" s="417"/>
      <c r="BE42" s="417"/>
      <c r="BF42" s="417"/>
      <c r="BG42" s="418"/>
    </row>
    <row r="43" spans="2:59" x14ac:dyDescent="0.25">
      <c r="B43" s="53" t="s">
        <v>36</v>
      </c>
      <c r="C43" s="3">
        <v>84876</v>
      </c>
      <c r="D43" s="3">
        <v>430260</v>
      </c>
      <c r="E43" s="4">
        <f t="shared" si="47"/>
        <v>515136</v>
      </c>
      <c r="F43" s="14"/>
      <c r="G43" s="3">
        <v>40940</v>
      </c>
      <c r="H43" s="3">
        <v>187320</v>
      </c>
      <c r="I43" s="4">
        <f t="shared" si="48"/>
        <v>228260</v>
      </c>
      <c r="J43" s="14"/>
      <c r="K43" s="3">
        <f t="shared" si="49"/>
        <v>125816</v>
      </c>
      <c r="L43" s="3">
        <f t="shared" si="50"/>
        <v>617580</v>
      </c>
      <c r="M43" s="4">
        <f t="shared" si="51"/>
        <v>743396</v>
      </c>
      <c r="N43" s="14"/>
      <c r="O43" s="33">
        <v>6.4799999999999996E-2</v>
      </c>
      <c r="P43" s="30">
        <f t="shared" si="52"/>
        <v>33380.8128</v>
      </c>
      <c r="Q43" s="12">
        <v>4.5370000000000001E-2</v>
      </c>
      <c r="R43" s="7">
        <f t="shared" si="53"/>
        <v>10356.156199999999</v>
      </c>
      <c r="S43" s="6">
        <v>3.5500000000000002E-3</v>
      </c>
      <c r="T43" s="7">
        <f t="shared" si="39"/>
        <v>2639.0558000000001</v>
      </c>
      <c r="U43" s="9">
        <f t="shared" si="54"/>
        <v>46376.024799999999</v>
      </c>
      <c r="V43" s="14"/>
      <c r="W43" s="105">
        <v>17774.12</v>
      </c>
      <c r="X43" s="31">
        <f t="shared" si="55"/>
        <v>6.2384011751475663E-2</v>
      </c>
      <c r="Y43" s="39">
        <f t="shared" si="56"/>
        <v>8.6293368272091858E-2</v>
      </c>
      <c r="Z43" s="16"/>
      <c r="AA43" s="36">
        <f t="shared" si="40"/>
        <v>64150.144799999995</v>
      </c>
      <c r="AB43" s="94"/>
      <c r="AC43" s="146">
        <v>31840</v>
      </c>
      <c r="AD43" s="3">
        <v>63350</v>
      </c>
      <c r="AE43" s="69">
        <f t="shared" si="41"/>
        <v>95190</v>
      </c>
      <c r="AF43" s="113"/>
      <c r="AG43" s="7">
        <v>45209.23</v>
      </c>
      <c r="AH43" s="143">
        <v>14723.11</v>
      </c>
      <c r="AI43" s="9">
        <f t="shared" si="42"/>
        <v>30486.120000000003</v>
      </c>
      <c r="AJ43" s="151"/>
      <c r="AK43" s="127">
        <f t="shared" si="43"/>
        <v>0.32026599432713521</v>
      </c>
      <c r="AL43" s="373"/>
      <c r="AM43" s="139">
        <v>51</v>
      </c>
      <c r="AN43" s="18">
        <v>211</v>
      </c>
      <c r="AO43" s="18">
        <v>524</v>
      </c>
      <c r="AP43" s="4">
        <f t="shared" si="44"/>
        <v>786</v>
      </c>
      <c r="AQ43" s="47"/>
      <c r="AR43" s="7">
        <v>67.760000000000005</v>
      </c>
      <c r="AS43" s="7">
        <v>182.6</v>
      </c>
      <c r="AT43" s="7">
        <v>458.46</v>
      </c>
      <c r="AU43" s="74">
        <f t="shared" si="45"/>
        <v>708.81999999999994</v>
      </c>
      <c r="AV43" s="133"/>
      <c r="AW43" s="127">
        <f t="shared" si="46"/>
        <v>0.90180661577608134</v>
      </c>
      <c r="AY43" s="95">
        <f t="shared" si="38"/>
        <v>95345.084800000011</v>
      </c>
      <c r="AZ43" s="95">
        <v>6991194.6399999997</v>
      </c>
      <c r="BB43" s="416"/>
      <c r="BC43" s="417"/>
      <c r="BD43" s="417"/>
      <c r="BE43" s="417"/>
      <c r="BF43" s="417"/>
      <c r="BG43" s="418"/>
    </row>
    <row r="44" spans="2:59" ht="15.75" thickBot="1" x14ac:dyDescent="0.3">
      <c r="B44" s="53" t="s">
        <v>37</v>
      </c>
      <c r="C44" s="18">
        <v>67924</v>
      </c>
      <c r="D44" s="18">
        <v>323040</v>
      </c>
      <c r="E44" s="19">
        <f t="shared" si="47"/>
        <v>390964</v>
      </c>
      <c r="F44" s="14"/>
      <c r="G44" s="18">
        <v>37298</v>
      </c>
      <c r="H44" s="18">
        <v>156390</v>
      </c>
      <c r="I44" s="19">
        <f t="shared" si="48"/>
        <v>193688</v>
      </c>
      <c r="J44" s="14"/>
      <c r="K44" s="18">
        <f t="shared" si="49"/>
        <v>105222</v>
      </c>
      <c r="L44" s="18">
        <f t="shared" si="50"/>
        <v>479430</v>
      </c>
      <c r="M44" s="19">
        <f t="shared" si="51"/>
        <v>584652</v>
      </c>
      <c r="N44" s="14"/>
      <c r="O44" s="10">
        <v>6.4799999999999996E-2</v>
      </c>
      <c r="P44" s="43">
        <f t="shared" si="52"/>
        <v>25334.467199999999</v>
      </c>
      <c r="Q44" s="6">
        <v>4.5370000000000001E-2</v>
      </c>
      <c r="R44" s="21">
        <f t="shared" si="53"/>
        <v>8787.6245600000002</v>
      </c>
      <c r="S44" s="6">
        <v>3.5500000000000002E-3</v>
      </c>
      <c r="T44" s="21">
        <f t="shared" si="39"/>
        <v>2075.5146</v>
      </c>
      <c r="U44" s="22">
        <f t="shared" si="54"/>
        <v>36197.606359999998</v>
      </c>
      <c r="V44" s="14"/>
      <c r="W44" s="22">
        <v>10587.44</v>
      </c>
      <c r="X44" s="32">
        <f t="shared" si="55"/>
        <v>6.1913080533377116E-2</v>
      </c>
      <c r="Y44" s="44">
        <f t="shared" si="56"/>
        <v>8.0022041077427261E-2</v>
      </c>
      <c r="Z44" s="16"/>
      <c r="AA44" s="45">
        <f t="shared" si="40"/>
        <v>46785.04636</v>
      </c>
      <c r="AB44" s="94"/>
      <c r="AC44" s="148">
        <v>60672</v>
      </c>
      <c r="AD44" s="18">
        <v>54398</v>
      </c>
      <c r="AE44" s="69">
        <f t="shared" si="41"/>
        <v>115070</v>
      </c>
      <c r="AF44" s="114"/>
      <c r="AG44" s="50">
        <v>65318.96</v>
      </c>
      <c r="AH44" s="144">
        <v>22161.91</v>
      </c>
      <c r="AI44" s="9">
        <f t="shared" si="42"/>
        <v>43157.05</v>
      </c>
      <c r="AJ44" s="152"/>
      <c r="AK44" s="127">
        <f t="shared" si="43"/>
        <v>0.37505040410185109</v>
      </c>
      <c r="AL44" s="373"/>
      <c r="AM44" s="139">
        <v>51</v>
      </c>
      <c r="AN44" s="18">
        <v>211</v>
      </c>
      <c r="AO44" s="18">
        <v>440</v>
      </c>
      <c r="AP44" s="4">
        <f t="shared" si="44"/>
        <v>702</v>
      </c>
      <c r="AQ44" s="52"/>
      <c r="AR44" s="50">
        <v>67.760000000000005</v>
      </c>
      <c r="AS44" s="50">
        <v>182.6</v>
      </c>
      <c r="AT44" s="50">
        <v>387.73</v>
      </c>
      <c r="AU44" s="91">
        <f t="shared" si="45"/>
        <v>638.09</v>
      </c>
      <c r="AV44" s="134"/>
      <c r="AW44" s="128">
        <f t="shared" si="46"/>
        <v>0.908960113960114</v>
      </c>
      <c r="AY44" s="95">
        <f t="shared" si="38"/>
        <v>90580.186359999992</v>
      </c>
      <c r="AZ44" s="95">
        <v>4925353.09</v>
      </c>
      <c r="BB44" s="416"/>
      <c r="BC44" s="417"/>
      <c r="BD44" s="417"/>
      <c r="BE44" s="417"/>
      <c r="BF44" s="417"/>
      <c r="BG44" s="418"/>
    </row>
    <row r="45" spans="2:59" ht="15.75" thickBot="1" x14ac:dyDescent="0.3">
      <c r="B45" s="24">
        <v>2013</v>
      </c>
      <c r="C45" s="23">
        <f>SUM(C33:C44)</f>
        <v>992419</v>
      </c>
      <c r="D45" s="23">
        <f>SUM(D33:D44)</f>
        <v>4822380</v>
      </c>
      <c r="E45" s="27">
        <f>SUM(E33:E44)</f>
        <v>5814799</v>
      </c>
      <c r="F45" s="23"/>
      <c r="G45" s="23">
        <f>SUM(G33:G44)</f>
        <v>492310</v>
      </c>
      <c r="H45" s="23">
        <f>SUM(H33:H44)</f>
        <v>2059140</v>
      </c>
      <c r="I45" s="27">
        <f>SUM(I33:I44)</f>
        <v>2551450</v>
      </c>
      <c r="J45" s="23"/>
      <c r="K45" s="23">
        <f>SUM(K33:K44)</f>
        <v>1484729</v>
      </c>
      <c r="L45" s="23">
        <f>SUM(L33:L44)</f>
        <v>6881520</v>
      </c>
      <c r="M45" s="27">
        <f>SUM(M33:M44)</f>
        <v>8366249</v>
      </c>
      <c r="N45" s="23"/>
      <c r="O45" s="55">
        <f>SUM(O33:O44)/COUNTA(O33:O44)</f>
        <v>6.4799999999999983E-2</v>
      </c>
      <c r="P45" s="26">
        <f>SUM(P33:P44)</f>
        <v>376798.97519999999</v>
      </c>
      <c r="Q45" s="25">
        <f>SUM(Q33:Q44)/COUNTA(Q33:Q44)</f>
        <v>4.5370000000000014E-2</v>
      </c>
      <c r="R45" s="26">
        <f>SUM(R33:R44)</f>
        <v>115759.28649999999</v>
      </c>
      <c r="S45" s="25">
        <f>SUM(S33:S44)/COUNTA(S33:S44)</f>
        <v>3.5499999999999998E-3</v>
      </c>
      <c r="T45" s="26">
        <f>SUM(T33:T44)</f>
        <v>29700.183950000002</v>
      </c>
      <c r="U45" s="28">
        <f>SUM(U33:U44)</f>
        <v>522258.44565000001</v>
      </c>
      <c r="V45" s="23"/>
      <c r="W45" s="28">
        <f>SUM(W33:W44)</f>
        <v>212170.61</v>
      </c>
      <c r="X45" s="25">
        <f>(U45)/M45</f>
        <v>6.2424444413500008E-2</v>
      </c>
      <c r="Y45" s="40">
        <f>(U45+W45)/M45</f>
        <v>8.7784747459703868E-2</v>
      </c>
      <c r="Z45" s="35"/>
      <c r="AA45" s="37">
        <f>SUM(AA33:AA44)</f>
        <v>734429.05564999999</v>
      </c>
      <c r="AB45" s="94"/>
      <c r="AC45" s="149">
        <f>SUM(AC33:AC44)</f>
        <v>348451</v>
      </c>
      <c r="AD45" s="140">
        <f>SUM(AD33:AD44)</f>
        <v>465548</v>
      </c>
      <c r="AE45" s="140">
        <f>SUM(AE33:AE44)</f>
        <v>813999</v>
      </c>
      <c r="AF45" s="153"/>
      <c r="AG45" s="136">
        <f>SUM(AG33:AG44)</f>
        <v>568966.22</v>
      </c>
      <c r="AH45" s="136">
        <f>SUM(AH33:AH44)</f>
        <v>173115.54500000001</v>
      </c>
      <c r="AI45" s="28">
        <f>SUM(AI33:AI44)</f>
        <v>395850.67499999999</v>
      </c>
      <c r="AJ45" s="134"/>
      <c r="AK45" s="159">
        <f>AI45/AE45</f>
        <v>0.48630363796515719</v>
      </c>
      <c r="AL45" s="122"/>
      <c r="AM45" s="140">
        <f>SUM(AM33:AM44)</f>
        <v>913</v>
      </c>
      <c r="AN45" s="23">
        <f>SUM(AN33:AN44)</f>
        <v>2505</v>
      </c>
      <c r="AO45" s="23">
        <f>SUM(AO33:AO44)</f>
        <v>5995</v>
      </c>
      <c r="AP45" s="27">
        <f>SUM(AP33:AP44)</f>
        <v>9413</v>
      </c>
      <c r="AQ45" s="49"/>
      <c r="AR45" s="51">
        <f>SUM(AR33:AR44)</f>
        <v>1057.99</v>
      </c>
      <c r="AS45" s="51">
        <f>SUM(AS33:AS44)</f>
        <v>2166.54</v>
      </c>
      <c r="AT45" s="51">
        <f>SUM(AT33:AT44)</f>
        <v>5258.2300000000014</v>
      </c>
      <c r="AU45" s="28">
        <f t="shared" si="45"/>
        <v>8482.760000000002</v>
      </c>
      <c r="AV45" s="132"/>
      <c r="AW45" s="131">
        <f>AU45/AP45</f>
        <v>0.90117497078508468</v>
      </c>
      <c r="AY45" s="96">
        <f>AA45+AI45+AU45</f>
        <v>1138762.4906500001</v>
      </c>
      <c r="AZ45" s="96">
        <f>SUM(AZ33:AZ44)</f>
        <v>74423660.519999996</v>
      </c>
      <c r="BB45" s="419"/>
      <c r="BC45" s="420"/>
      <c r="BD45" s="420"/>
      <c r="BE45" s="420"/>
      <c r="BF45" s="420"/>
      <c r="BG45" s="421"/>
    </row>
    <row r="46" spans="2:59" ht="15.75" thickBot="1" x14ac:dyDescent="0.3"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/>
      <c r="AD46" s="97"/>
      <c r="AE46" s="35"/>
      <c r="AF46" s="115"/>
      <c r="AG46" s="97"/>
      <c r="AH46" s="35"/>
      <c r="AI46" s="35"/>
      <c r="AJ46" s="14"/>
      <c r="AK46" s="14"/>
      <c r="AM46" s="35"/>
      <c r="AN46" s="35"/>
      <c r="AO46" s="35"/>
      <c r="AP46" s="35"/>
      <c r="AQ46" s="35"/>
      <c r="AR46" s="35"/>
      <c r="AS46" s="92"/>
      <c r="AT46" s="92"/>
      <c r="AU46" s="117"/>
      <c r="AV46" s="117"/>
      <c r="AW46" s="117"/>
      <c r="AY46" s="35"/>
      <c r="BB46" s="142"/>
      <c r="BC46" s="142"/>
      <c r="BD46" s="142"/>
      <c r="BE46" s="142"/>
      <c r="BF46" s="142"/>
      <c r="BG46" s="142"/>
    </row>
    <row r="47" spans="2:59" x14ac:dyDescent="0.25">
      <c r="B47" s="67" t="s">
        <v>38</v>
      </c>
      <c r="C47" s="68">
        <v>90508</v>
      </c>
      <c r="D47" s="68">
        <v>416940</v>
      </c>
      <c r="E47" s="69">
        <f>C47+D47</f>
        <v>507448</v>
      </c>
      <c r="F47" s="14"/>
      <c r="G47" s="68">
        <v>40896</v>
      </c>
      <c r="H47" s="68">
        <v>169020</v>
      </c>
      <c r="I47" s="69">
        <f>G47+H47</f>
        <v>209916</v>
      </c>
      <c r="J47" s="14"/>
      <c r="K47" s="68">
        <f>C47+G47</f>
        <v>131404</v>
      </c>
      <c r="L47" s="68">
        <f>D47+H47</f>
        <v>585960</v>
      </c>
      <c r="M47" s="69">
        <f>K47+L47</f>
        <v>717364</v>
      </c>
      <c r="N47" s="14"/>
      <c r="O47" s="70">
        <v>5.2490000000000002E-2</v>
      </c>
      <c r="P47" s="71">
        <f>E47*O47</f>
        <v>26635.945520000001</v>
      </c>
      <c r="Q47" s="72">
        <v>3.3480000000000003E-2</v>
      </c>
      <c r="R47" s="71">
        <f>I47*Q47</f>
        <v>7027.9876800000002</v>
      </c>
      <c r="S47" s="73">
        <v>3.5500000000000002E-3</v>
      </c>
      <c r="T47" s="71">
        <f>M47*S47</f>
        <v>2546.6422000000002</v>
      </c>
      <c r="U47" s="74">
        <f>P47+R47+T47</f>
        <v>36210.575400000002</v>
      </c>
      <c r="V47" s="14"/>
      <c r="W47" s="74">
        <v>17332.21</v>
      </c>
      <c r="X47" s="75">
        <f>U47/M47</f>
        <v>5.0477268722712597E-2</v>
      </c>
      <c r="Y47" s="76">
        <f>(U47+W47)/M47</f>
        <v>7.4638238606899707E-2</v>
      </c>
      <c r="Z47" s="16"/>
      <c r="AA47" s="77">
        <f>U47+W47</f>
        <v>53542.785400000001</v>
      </c>
      <c r="AB47" s="94"/>
      <c r="AC47" s="154">
        <v>33624</v>
      </c>
      <c r="AD47" s="58">
        <v>60258</v>
      </c>
      <c r="AE47" s="59">
        <f>AC47+AD47</f>
        <v>93882</v>
      </c>
      <c r="AF47" s="155"/>
      <c r="AG47" s="61">
        <v>63263.61</v>
      </c>
      <c r="AH47" s="156">
        <v>23921.279999999999</v>
      </c>
      <c r="AI47" s="62">
        <f>AG47-AH47</f>
        <v>39342.33</v>
      </c>
      <c r="AJ47" s="157"/>
      <c r="AK47" s="158">
        <f>AI47/AE47</f>
        <v>0.41906148143414074</v>
      </c>
      <c r="AL47" s="373"/>
      <c r="AM47" s="137">
        <v>36</v>
      </c>
      <c r="AN47" s="54">
        <v>73</v>
      </c>
      <c r="AO47" s="54">
        <v>293</v>
      </c>
      <c r="AP47" s="69">
        <f>SUM(AM47:AO47)</f>
        <v>402</v>
      </c>
      <c r="AQ47" s="47"/>
      <c r="AR47" s="102">
        <v>55.14</v>
      </c>
      <c r="AS47" s="103">
        <v>66.39</v>
      </c>
      <c r="AT47" s="103">
        <v>263.93</v>
      </c>
      <c r="AU47" s="62">
        <f>SUM(AR47:AT47)</f>
        <v>385.46000000000004</v>
      </c>
      <c r="AV47" s="133"/>
      <c r="AW47" s="101">
        <f>AU47/AP47</f>
        <v>0.95885572139303488</v>
      </c>
      <c r="AY47" s="95">
        <f>AA47+AI47+AU47</f>
        <v>93270.575400000016</v>
      </c>
      <c r="AZ47" s="173">
        <v>7374145.2800000003</v>
      </c>
      <c r="BB47" s="416"/>
      <c r="BC47" s="417"/>
      <c r="BD47" s="417"/>
      <c r="BE47" s="422"/>
      <c r="BF47" s="422"/>
      <c r="BG47" s="423"/>
    </row>
    <row r="48" spans="2:59" x14ac:dyDescent="0.25">
      <c r="B48" s="5" t="s">
        <v>39</v>
      </c>
      <c r="C48" s="3">
        <v>84507</v>
      </c>
      <c r="D48" s="3">
        <v>409890</v>
      </c>
      <c r="E48" s="4">
        <f>C48+D48</f>
        <v>494397</v>
      </c>
      <c r="F48" s="14"/>
      <c r="G48" s="3">
        <v>34979</v>
      </c>
      <c r="H48" s="3">
        <v>149490</v>
      </c>
      <c r="I48" s="4">
        <f>G48+H48</f>
        <v>184469</v>
      </c>
      <c r="J48" s="14"/>
      <c r="K48" s="3">
        <f>C48+G48</f>
        <v>119486</v>
      </c>
      <c r="L48" s="3">
        <f>D48+H48</f>
        <v>559380</v>
      </c>
      <c r="M48" s="4">
        <f>K48+L48</f>
        <v>678866</v>
      </c>
      <c r="N48" s="14"/>
      <c r="O48" s="6">
        <v>5.2490000000000002E-2</v>
      </c>
      <c r="P48" s="7">
        <f>E48*O48</f>
        <v>25950.898530000002</v>
      </c>
      <c r="Q48" s="6">
        <v>3.3480000000000003E-2</v>
      </c>
      <c r="R48" s="7">
        <f>I48*Q48</f>
        <v>6176.0221200000005</v>
      </c>
      <c r="S48" s="6">
        <v>3.5500000000000002E-3</v>
      </c>
      <c r="T48" s="7">
        <f t="shared" ref="T48:T56" si="57">M48*S48</f>
        <v>2409.9743000000003</v>
      </c>
      <c r="U48" s="9">
        <f>P48+R48+T48</f>
        <v>34536.894950000002</v>
      </c>
      <c r="V48" s="14"/>
      <c r="W48" s="9">
        <v>16929.95</v>
      </c>
      <c r="X48" s="31">
        <f>U48/M48</f>
        <v>5.0874391927125534E-2</v>
      </c>
      <c r="Y48" s="39">
        <f>(U48+W48)/M48</f>
        <v>7.5812965960881828E-2</v>
      </c>
      <c r="Z48" s="16"/>
      <c r="AA48" s="36">
        <f t="shared" ref="AA48:AA58" si="58">U48+W48</f>
        <v>51466.844949999999</v>
      </c>
      <c r="AB48" s="94"/>
      <c r="AC48" s="146">
        <v>48544</v>
      </c>
      <c r="AD48" s="3">
        <v>47603</v>
      </c>
      <c r="AE48" s="69">
        <f t="shared" ref="AE48:AE58" si="59">AC48+AD48</f>
        <v>96147</v>
      </c>
      <c r="AF48" s="113"/>
      <c r="AG48" s="7">
        <v>60426.61</v>
      </c>
      <c r="AH48" s="143">
        <v>21257.73</v>
      </c>
      <c r="AI48" s="9">
        <f t="shared" ref="AI48:AI58" si="60">AG48-AH48</f>
        <v>39168.880000000005</v>
      </c>
      <c r="AJ48" s="151"/>
      <c r="AK48" s="127">
        <f t="shared" ref="AK48:AK58" si="61">AI48/AE48</f>
        <v>0.40738535783747809</v>
      </c>
      <c r="AL48" s="373"/>
      <c r="AM48" s="139">
        <v>48</v>
      </c>
      <c r="AN48" s="18">
        <v>179</v>
      </c>
      <c r="AO48" s="18">
        <v>402</v>
      </c>
      <c r="AP48" s="4">
        <f t="shared" ref="AP48:AP58" si="62">SUM(AM48:AO48)</f>
        <v>629</v>
      </c>
      <c r="AQ48" s="47"/>
      <c r="AR48" s="7">
        <v>65.239999999999995</v>
      </c>
      <c r="AS48" s="7">
        <v>155.66</v>
      </c>
      <c r="AT48" s="7">
        <v>355.73</v>
      </c>
      <c r="AU48" s="74">
        <f t="shared" ref="AU48:AU59" si="63">SUM(AR48:AT48)</f>
        <v>576.63</v>
      </c>
      <c r="AV48" s="133"/>
      <c r="AW48" s="127">
        <f t="shared" ref="AW48:AW58" si="64">AU48/AP48</f>
        <v>0.91674085850556442</v>
      </c>
      <c r="AY48" s="95">
        <f t="shared" ref="AY48:AY58" si="65">AA48+AI48+AU48</f>
        <v>91212.354950000008</v>
      </c>
      <c r="AZ48" s="95">
        <v>6642708.2800000003</v>
      </c>
      <c r="BB48" s="416"/>
      <c r="BC48" s="417"/>
      <c r="BD48" s="417"/>
      <c r="BE48" s="417"/>
      <c r="BF48" s="417"/>
      <c r="BG48" s="418"/>
    </row>
    <row r="49" spans="2:59" x14ac:dyDescent="0.25">
      <c r="B49" s="5" t="s">
        <v>40</v>
      </c>
      <c r="C49" s="3">
        <v>87033</v>
      </c>
      <c r="D49" s="3">
        <v>423210</v>
      </c>
      <c r="E49" s="4">
        <f t="shared" ref="E49:E58" si="66">C49+D49</f>
        <v>510243</v>
      </c>
      <c r="F49" s="14"/>
      <c r="G49" s="3">
        <v>35215</v>
      </c>
      <c r="H49" s="3">
        <v>165780</v>
      </c>
      <c r="I49" s="4">
        <f t="shared" ref="I49:I58" si="67">G49+H49</f>
        <v>200995</v>
      </c>
      <c r="J49" s="14"/>
      <c r="K49" s="3">
        <f t="shared" ref="K49:K58" si="68">C49+G49</f>
        <v>122248</v>
      </c>
      <c r="L49" s="3">
        <f t="shared" ref="L49:L58" si="69">D49+H49</f>
        <v>588990</v>
      </c>
      <c r="M49" s="4">
        <f t="shared" ref="M49:M58" si="70">K49+L49</f>
        <v>711238</v>
      </c>
      <c r="N49" s="14"/>
      <c r="O49" s="56">
        <v>5.2490000000000002E-2</v>
      </c>
      <c r="P49" s="30">
        <f t="shared" ref="P49:P58" si="71">E49*O49</f>
        <v>26782.655070000001</v>
      </c>
      <c r="Q49" s="12">
        <v>3.3480000000000003E-2</v>
      </c>
      <c r="R49" s="7">
        <f t="shared" ref="R49:R58" si="72">I49*Q49</f>
        <v>6729.3126000000002</v>
      </c>
      <c r="S49" s="6">
        <v>3.5500000000000002E-3</v>
      </c>
      <c r="T49" s="7">
        <f t="shared" si="57"/>
        <v>2524.8949000000002</v>
      </c>
      <c r="U49" s="9">
        <f t="shared" ref="U49:U58" si="73">P49+R49+T49</f>
        <v>36036.862569999998</v>
      </c>
      <c r="V49" s="14"/>
      <c r="W49" s="9">
        <v>16979</v>
      </c>
      <c r="X49" s="31">
        <f t="shared" ref="X49:X58" si="74">U49/M49</f>
        <v>5.0667796954043512E-2</v>
      </c>
      <c r="Y49" s="39">
        <f t="shared" ref="Y49:Y58" si="75">(U49+W49)/M49</f>
        <v>7.4540255962139257E-2</v>
      </c>
      <c r="Z49" s="16"/>
      <c r="AA49" s="36">
        <f t="shared" si="58"/>
        <v>53015.862569999998</v>
      </c>
      <c r="AB49" s="94"/>
      <c r="AC49" s="146">
        <v>34876</v>
      </c>
      <c r="AD49" s="3">
        <v>36952</v>
      </c>
      <c r="AE49" s="69">
        <f t="shared" si="59"/>
        <v>71828</v>
      </c>
      <c r="AF49" s="113"/>
      <c r="AG49" s="7">
        <v>43594.44</v>
      </c>
      <c r="AH49" s="143">
        <v>11540.58</v>
      </c>
      <c r="AI49" s="9">
        <f t="shared" si="60"/>
        <v>32053.86</v>
      </c>
      <c r="AJ49" s="151"/>
      <c r="AK49" s="127">
        <f t="shared" si="61"/>
        <v>0.44625856212062148</v>
      </c>
      <c r="AL49" s="373"/>
      <c r="AM49" s="139">
        <v>48</v>
      </c>
      <c r="AN49" s="18">
        <v>179</v>
      </c>
      <c r="AO49" s="18">
        <v>402</v>
      </c>
      <c r="AP49" s="4">
        <f t="shared" si="62"/>
        <v>629</v>
      </c>
      <c r="AQ49" s="47"/>
      <c r="AR49" s="7">
        <v>65.239999999999995</v>
      </c>
      <c r="AS49" s="7">
        <v>155.66</v>
      </c>
      <c r="AT49" s="7">
        <v>355.73</v>
      </c>
      <c r="AU49" s="74">
        <f t="shared" si="63"/>
        <v>576.63</v>
      </c>
      <c r="AV49" s="133"/>
      <c r="AW49" s="127">
        <f t="shared" si="64"/>
        <v>0.91674085850556442</v>
      </c>
      <c r="AY49" s="95">
        <f t="shared" si="65"/>
        <v>85646.352570000003</v>
      </c>
      <c r="AZ49" s="95">
        <v>6624464.3600000003</v>
      </c>
      <c r="BB49" s="416"/>
      <c r="BC49" s="417"/>
      <c r="BD49" s="417"/>
      <c r="BE49" s="417"/>
      <c r="BF49" s="417"/>
      <c r="BG49" s="418"/>
    </row>
    <row r="50" spans="2:59" ht="15" customHeight="1" x14ac:dyDescent="0.25">
      <c r="B50" s="5" t="s">
        <v>41</v>
      </c>
      <c r="C50" s="3">
        <v>83697</v>
      </c>
      <c r="D50" s="3">
        <v>411780</v>
      </c>
      <c r="E50" s="4">
        <f t="shared" si="66"/>
        <v>495477</v>
      </c>
      <c r="F50" s="14"/>
      <c r="G50" s="3">
        <v>34870</v>
      </c>
      <c r="H50" s="3">
        <v>168570</v>
      </c>
      <c r="I50" s="4">
        <f t="shared" si="67"/>
        <v>203440</v>
      </c>
      <c r="J50" s="14"/>
      <c r="K50" s="3">
        <f t="shared" si="68"/>
        <v>118567</v>
      </c>
      <c r="L50" s="3">
        <f t="shared" si="69"/>
        <v>580350</v>
      </c>
      <c r="M50" s="4">
        <f t="shared" si="70"/>
        <v>698917</v>
      </c>
      <c r="N50" s="14"/>
      <c r="O50" s="56">
        <v>5.2490000000000002E-2</v>
      </c>
      <c r="P50" s="30">
        <f t="shared" si="71"/>
        <v>26007.587729999999</v>
      </c>
      <c r="Q50" s="6">
        <v>3.3480000000000003E-2</v>
      </c>
      <c r="R50" s="7">
        <f t="shared" si="72"/>
        <v>6811.1712000000007</v>
      </c>
      <c r="S50" s="6">
        <v>3.5500000000000002E-3</v>
      </c>
      <c r="T50" s="7">
        <f t="shared" si="57"/>
        <v>2481.15535</v>
      </c>
      <c r="U50" s="9">
        <f t="shared" si="73"/>
        <v>35299.914279999997</v>
      </c>
      <c r="V50" s="14"/>
      <c r="W50" s="9">
        <v>13514.81</v>
      </c>
      <c r="X50" s="31">
        <f t="shared" si="74"/>
        <v>5.0506589881201915E-2</v>
      </c>
      <c r="Y50" s="39">
        <f t="shared" si="75"/>
        <v>6.9843378083520646E-2</v>
      </c>
      <c r="Z50" s="16"/>
      <c r="AA50" s="36">
        <f t="shared" si="58"/>
        <v>48814.724279999995</v>
      </c>
      <c r="AB50" s="94"/>
      <c r="AC50" s="146">
        <v>20490</v>
      </c>
      <c r="AD50" s="3">
        <v>16942</v>
      </c>
      <c r="AE50" s="69">
        <f t="shared" si="59"/>
        <v>37432</v>
      </c>
      <c r="AF50" s="113"/>
      <c r="AG50" s="7">
        <v>28943.63</v>
      </c>
      <c r="AH50" s="143">
        <v>9741.11</v>
      </c>
      <c r="AI50" s="9">
        <f t="shared" si="60"/>
        <v>19202.52</v>
      </c>
      <c r="AJ50" s="151"/>
      <c r="AK50" s="127">
        <f t="shared" si="61"/>
        <v>0.51299743534943365</v>
      </c>
      <c r="AL50" s="373"/>
      <c r="AM50" s="138">
        <v>14</v>
      </c>
      <c r="AN50" s="3">
        <v>134</v>
      </c>
      <c r="AO50" s="3">
        <v>402</v>
      </c>
      <c r="AP50" s="4">
        <f t="shared" si="62"/>
        <v>550</v>
      </c>
      <c r="AQ50" s="47"/>
      <c r="AR50" s="104">
        <v>205.84</v>
      </c>
      <c r="AS50" s="7">
        <v>89.38</v>
      </c>
      <c r="AT50" s="7">
        <v>464.63</v>
      </c>
      <c r="AU50" s="74">
        <f t="shared" si="63"/>
        <v>759.85</v>
      </c>
      <c r="AV50" s="133"/>
      <c r="AW50" s="127">
        <f t="shared" si="64"/>
        <v>1.3815454545454546</v>
      </c>
      <c r="AY50" s="95">
        <f t="shared" si="65"/>
        <v>68777.094280000005</v>
      </c>
      <c r="AZ50" s="95">
        <v>6688968.6100000003</v>
      </c>
      <c r="BB50" s="416" t="s">
        <v>166</v>
      </c>
      <c r="BC50" s="417"/>
      <c r="BD50" s="417"/>
      <c r="BE50" s="417"/>
      <c r="BF50" s="417"/>
      <c r="BG50" s="418"/>
    </row>
    <row r="51" spans="2:59" x14ac:dyDescent="0.25">
      <c r="B51" s="5" t="s">
        <v>42</v>
      </c>
      <c r="C51" s="3">
        <v>79324</v>
      </c>
      <c r="D51" s="3">
        <v>369150</v>
      </c>
      <c r="E51" s="4">
        <f t="shared" si="66"/>
        <v>448474</v>
      </c>
      <c r="F51" s="14"/>
      <c r="G51" s="3">
        <v>31336</v>
      </c>
      <c r="H51" s="3">
        <v>158580</v>
      </c>
      <c r="I51" s="4">
        <f t="shared" si="67"/>
        <v>189916</v>
      </c>
      <c r="J51" s="14"/>
      <c r="K51" s="3">
        <f t="shared" si="68"/>
        <v>110660</v>
      </c>
      <c r="L51" s="3">
        <f t="shared" si="69"/>
        <v>527730</v>
      </c>
      <c r="M51" s="4">
        <f t="shared" si="70"/>
        <v>638390</v>
      </c>
      <c r="N51" s="14"/>
      <c r="O51" s="56">
        <v>5.2490000000000002E-2</v>
      </c>
      <c r="P51" s="30">
        <f t="shared" si="71"/>
        <v>23540.400260000002</v>
      </c>
      <c r="Q51" s="12">
        <v>3.3480000000000003E-2</v>
      </c>
      <c r="R51" s="7">
        <f t="shared" si="72"/>
        <v>6358.3876800000007</v>
      </c>
      <c r="S51" s="6">
        <v>3.5500000000000002E-3</v>
      </c>
      <c r="T51" s="7">
        <f t="shared" si="57"/>
        <v>2266.2845000000002</v>
      </c>
      <c r="U51" s="9">
        <f t="shared" si="73"/>
        <v>32165.072440000004</v>
      </c>
      <c r="V51" s="14"/>
      <c r="W51" s="9">
        <v>12774.22</v>
      </c>
      <c r="X51" s="31">
        <f t="shared" si="74"/>
        <v>5.0384674634627744E-2</v>
      </c>
      <c r="Y51" s="39">
        <f t="shared" si="75"/>
        <v>7.0394731183132581E-2</v>
      </c>
      <c r="Z51" s="16"/>
      <c r="AA51" s="36">
        <f t="shared" si="58"/>
        <v>44939.292440000005</v>
      </c>
      <c r="AB51" s="94"/>
      <c r="AC51" s="146">
        <v>15177</v>
      </c>
      <c r="AD51" s="3">
        <v>19665</v>
      </c>
      <c r="AE51" s="69">
        <f t="shared" si="59"/>
        <v>34842</v>
      </c>
      <c r="AF51" s="113"/>
      <c r="AG51" s="7">
        <v>24242.79</v>
      </c>
      <c r="AH51" s="143">
        <v>4511.53</v>
      </c>
      <c r="AI51" s="9">
        <f t="shared" si="60"/>
        <v>19731.260000000002</v>
      </c>
      <c r="AJ51" s="151"/>
      <c r="AK51" s="127">
        <f t="shared" si="61"/>
        <v>0.56630675621376503</v>
      </c>
      <c r="AL51" s="373"/>
      <c r="AM51" s="139">
        <v>44</v>
      </c>
      <c r="AN51" s="18">
        <v>178</v>
      </c>
      <c r="AO51" s="18">
        <v>402</v>
      </c>
      <c r="AP51" s="4">
        <f t="shared" si="62"/>
        <v>624</v>
      </c>
      <c r="AQ51" s="47"/>
      <c r="AR51" s="7">
        <v>225.85</v>
      </c>
      <c r="AS51" s="7">
        <v>118.73</v>
      </c>
      <c r="AT51" s="7">
        <v>464.63</v>
      </c>
      <c r="AU51" s="74">
        <f t="shared" si="63"/>
        <v>809.21</v>
      </c>
      <c r="AV51" s="133"/>
      <c r="AW51" s="127">
        <f t="shared" si="64"/>
        <v>1.2968108974358974</v>
      </c>
      <c r="AY51" s="95">
        <f t="shared" si="65"/>
        <v>65479.762440000006</v>
      </c>
      <c r="AZ51" s="95">
        <v>5600773.2000000002</v>
      </c>
      <c r="BB51" s="416"/>
      <c r="BC51" s="417"/>
      <c r="BD51" s="417"/>
      <c r="BE51" s="417"/>
      <c r="BF51" s="417"/>
      <c r="BG51" s="418"/>
    </row>
    <row r="52" spans="2:59" x14ac:dyDescent="0.25">
      <c r="B52" s="5" t="s">
        <v>43</v>
      </c>
      <c r="C52" s="3">
        <v>78784</v>
      </c>
      <c r="D52" s="3">
        <v>384060</v>
      </c>
      <c r="E52" s="4">
        <f t="shared" si="66"/>
        <v>462844</v>
      </c>
      <c r="F52" s="14"/>
      <c r="G52" s="3">
        <v>29797</v>
      </c>
      <c r="H52" s="3">
        <v>158070</v>
      </c>
      <c r="I52" s="4">
        <f t="shared" si="67"/>
        <v>187867</v>
      </c>
      <c r="J52" s="14"/>
      <c r="K52" s="3">
        <f t="shared" si="68"/>
        <v>108581</v>
      </c>
      <c r="L52" s="3">
        <f t="shared" si="69"/>
        <v>542130</v>
      </c>
      <c r="M52" s="4">
        <f t="shared" si="70"/>
        <v>650711</v>
      </c>
      <c r="N52" s="14"/>
      <c r="O52" s="56">
        <v>5.2490000000000002E-2</v>
      </c>
      <c r="P52" s="30">
        <f t="shared" si="71"/>
        <v>24294.681560000001</v>
      </c>
      <c r="Q52" s="6">
        <v>3.3480000000000003E-2</v>
      </c>
      <c r="R52" s="7">
        <f t="shared" si="72"/>
        <v>6289.7871600000008</v>
      </c>
      <c r="S52" s="6">
        <v>3.5500000000000002E-3</v>
      </c>
      <c r="T52" s="7">
        <f t="shared" si="57"/>
        <v>2310.02405</v>
      </c>
      <c r="U52" s="9">
        <f t="shared" si="73"/>
        <v>32894.492769999997</v>
      </c>
      <c r="V52" s="14"/>
      <c r="W52" s="9">
        <v>13132.61</v>
      </c>
      <c r="X52" s="31">
        <f t="shared" si="74"/>
        <v>5.0551616262826352E-2</v>
      </c>
      <c r="Y52" s="39">
        <f t="shared" si="75"/>
        <v>7.0733555710599638E-2</v>
      </c>
      <c r="Z52" s="16"/>
      <c r="AA52" s="36">
        <f t="shared" si="58"/>
        <v>46027.102769999998</v>
      </c>
      <c r="AB52" s="94"/>
      <c r="AC52" s="146">
        <v>17575</v>
      </c>
      <c r="AD52" s="3">
        <v>17053</v>
      </c>
      <c r="AE52" s="69">
        <f t="shared" si="59"/>
        <v>34628</v>
      </c>
      <c r="AF52" s="113"/>
      <c r="AG52" s="7">
        <v>19913.439999999999</v>
      </c>
      <c r="AH52" s="143">
        <v>2366.2600000000002</v>
      </c>
      <c r="AI52" s="9">
        <f>AG52-AH52</f>
        <v>17547.18</v>
      </c>
      <c r="AJ52" s="151"/>
      <c r="AK52" s="127">
        <f t="shared" si="61"/>
        <v>0.50673385699433982</v>
      </c>
      <c r="AL52" s="373"/>
      <c r="AM52" s="139">
        <v>44</v>
      </c>
      <c r="AN52" s="18">
        <v>178</v>
      </c>
      <c r="AO52" s="18">
        <v>402</v>
      </c>
      <c r="AP52" s="4">
        <f t="shared" si="62"/>
        <v>624</v>
      </c>
      <c r="AQ52" s="47"/>
      <c r="AR52" s="7">
        <v>225.85</v>
      </c>
      <c r="AS52" s="7">
        <v>118.73</v>
      </c>
      <c r="AT52" s="7">
        <v>464.63</v>
      </c>
      <c r="AU52" s="74">
        <f t="shared" si="63"/>
        <v>809.21</v>
      </c>
      <c r="AV52" s="133"/>
      <c r="AW52" s="127">
        <f t="shared" si="64"/>
        <v>1.2968108974358974</v>
      </c>
      <c r="AY52" s="95">
        <f t="shared" si="65"/>
        <v>64383.492769999997</v>
      </c>
      <c r="AZ52" s="95">
        <v>5946659.7000000002</v>
      </c>
      <c r="BB52" s="416"/>
      <c r="BC52" s="417"/>
      <c r="BD52" s="417"/>
      <c r="BE52" s="417"/>
      <c r="BF52" s="417"/>
      <c r="BG52" s="418"/>
    </row>
    <row r="53" spans="2:59" x14ac:dyDescent="0.25">
      <c r="B53" s="5" t="s">
        <v>44</v>
      </c>
      <c r="C53" s="3">
        <v>85199</v>
      </c>
      <c r="D53" s="3">
        <v>400050</v>
      </c>
      <c r="E53" s="4">
        <f t="shared" si="66"/>
        <v>485249</v>
      </c>
      <c r="F53" s="14"/>
      <c r="G53" s="3">
        <v>32690</v>
      </c>
      <c r="H53" s="3">
        <v>155610</v>
      </c>
      <c r="I53" s="4">
        <f t="shared" si="67"/>
        <v>188300</v>
      </c>
      <c r="J53" s="14"/>
      <c r="K53" s="3">
        <f t="shared" si="68"/>
        <v>117889</v>
      </c>
      <c r="L53" s="3">
        <f t="shared" si="69"/>
        <v>555660</v>
      </c>
      <c r="M53" s="4">
        <f t="shared" si="70"/>
        <v>673549</v>
      </c>
      <c r="N53" s="14"/>
      <c r="O53" s="56">
        <v>5.2490000000000002E-2</v>
      </c>
      <c r="P53" s="30">
        <f t="shared" si="71"/>
        <v>25470.720010000001</v>
      </c>
      <c r="Q53" s="12">
        <v>3.3480000000000003E-2</v>
      </c>
      <c r="R53" s="7">
        <f t="shared" si="72"/>
        <v>6304.2840000000006</v>
      </c>
      <c r="S53" s="6">
        <v>3.5500000000000002E-3</v>
      </c>
      <c r="T53" s="7">
        <f t="shared" si="57"/>
        <v>2391.0989500000001</v>
      </c>
      <c r="U53" s="9">
        <f t="shared" si="73"/>
        <v>34166.102960000004</v>
      </c>
      <c r="V53" s="14"/>
      <c r="W53" s="9">
        <v>13118.08</v>
      </c>
      <c r="X53" s="31">
        <f t="shared" si="74"/>
        <v>5.0725489845579168E-2</v>
      </c>
      <c r="Y53" s="39">
        <f t="shared" si="75"/>
        <v>7.0201548751464268E-2</v>
      </c>
      <c r="Z53" s="16"/>
      <c r="AA53" s="36">
        <f t="shared" si="58"/>
        <v>47284.182960000006</v>
      </c>
      <c r="AB53" s="94"/>
      <c r="AC53" s="146">
        <v>20869</v>
      </c>
      <c r="AD53" s="3">
        <v>12933</v>
      </c>
      <c r="AE53" s="69">
        <f t="shared" si="59"/>
        <v>33802</v>
      </c>
      <c r="AF53" s="113"/>
      <c r="AG53" s="7">
        <v>19756.41</v>
      </c>
      <c r="AH53" s="143">
        <v>1955.68</v>
      </c>
      <c r="AI53" s="9">
        <f t="shared" si="60"/>
        <v>17800.73</v>
      </c>
      <c r="AJ53" s="151"/>
      <c r="AK53" s="127">
        <f t="shared" si="61"/>
        <v>0.52661765576001418</v>
      </c>
      <c r="AL53" s="373"/>
      <c r="AM53" s="138">
        <v>36</v>
      </c>
      <c r="AN53" s="3">
        <v>151</v>
      </c>
      <c r="AO53" s="3">
        <v>292</v>
      </c>
      <c r="AP53" s="4">
        <f t="shared" si="62"/>
        <v>479</v>
      </c>
      <c r="AQ53" s="47"/>
      <c r="AR53" s="7">
        <v>220.51</v>
      </c>
      <c r="AS53" s="100">
        <v>100.72</v>
      </c>
      <c r="AT53" s="100">
        <v>391.26</v>
      </c>
      <c r="AU53" s="74">
        <f t="shared" si="63"/>
        <v>712.49</v>
      </c>
      <c r="AV53" s="133"/>
      <c r="AW53" s="127">
        <f t="shared" si="64"/>
        <v>1.4874530271398747</v>
      </c>
      <c r="AY53" s="95">
        <f t="shared" si="65"/>
        <v>65797.402960000007</v>
      </c>
      <c r="AZ53" s="435">
        <v>9269822.9100000001</v>
      </c>
      <c r="BB53" s="416"/>
      <c r="BC53" s="417"/>
      <c r="BD53" s="417"/>
      <c r="BE53" s="417"/>
      <c r="BF53" s="417"/>
      <c r="BG53" s="418"/>
    </row>
    <row r="54" spans="2:59" x14ac:dyDescent="0.25">
      <c r="B54" s="5" t="s">
        <v>45</v>
      </c>
      <c r="C54" s="3">
        <v>48021</v>
      </c>
      <c r="D54" s="3">
        <v>241470</v>
      </c>
      <c r="E54" s="4">
        <f t="shared" si="66"/>
        <v>289491</v>
      </c>
      <c r="F54" s="14"/>
      <c r="G54" s="3">
        <v>20829</v>
      </c>
      <c r="H54" s="3">
        <v>127200</v>
      </c>
      <c r="I54" s="4">
        <f t="shared" si="67"/>
        <v>148029</v>
      </c>
      <c r="J54" s="14"/>
      <c r="K54" s="3">
        <f t="shared" si="68"/>
        <v>68850</v>
      </c>
      <c r="L54" s="3">
        <f t="shared" si="69"/>
        <v>368670</v>
      </c>
      <c r="M54" s="4">
        <f t="shared" si="70"/>
        <v>437520</v>
      </c>
      <c r="N54" s="14"/>
      <c r="O54" s="56">
        <v>5.2490000000000002E-2</v>
      </c>
      <c r="P54" s="30">
        <f t="shared" si="71"/>
        <v>15195.382590000001</v>
      </c>
      <c r="Q54" s="6">
        <v>3.3480000000000003E-2</v>
      </c>
      <c r="R54" s="7">
        <f t="shared" si="72"/>
        <v>4956.0109200000006</v>
      </c>
      <c r="S54" s="6">
        <v>3.5500000000000002E-3</v>
      </c>
      <c r="T54" s="7">
        <f t="shared" si="57"/>
        <v>1553.1960000000001</v>
      </c>
      <c r="U54" s="9">
        <f t="shared" si="73"/>
        <v>21704.589510000002</v>
      </c>
      <c r="V54" s="14"/>
      <c r="W54" s="9">
        <v>11390.73</v>
      </c>
      <c r="X54" s="31">
        <f t="shared" si="74"/>
        <v>4.9608222504114098E-2</v>
      </c>
      <c r="Y54" s="39">
        <f t="shared" si="75"/>
        <v>7.5642986629182674E-2</v>
      </c>
      <c r="Z54" s="16"/>
      <c r="AA54" s="36">
        <f t="shared" si="58"/>
        <v>33095.319510000001</v>
      </c>
      <c r="AB54" s="94"/>
      <c r="AC54" s="147">
        <v>523</v>
      </c>
      <c r="AD54" s="54">
        <v>10473</v>
      </c>
      <c r="AE54" s="69">
        <f t="shared" si="59"/>
        <v>10996</v>
      </c>
      <c r="AF54" s="113"/>
      <c r="AG54" s="7">
        <v>14275.76</v>
      </c>
      <c r="AH54" s="143">
        <v>4224.71</v>
      </c>
      <c r="AI54" s="9">
        <f t="shared" si="60"/>
        <v>10051.049999999999</v>
      </c>
      <c r="AJ54" s="151"/>
      <c r="AK54" s="127">
        <f t="shared" si="61"/>
        <v>0.91406420516551468</v>
      </c>
      <c r="AL54" s="373"/>
      <c r="AM54" s="139">
        <v>12</v>
      </c>
      <c r="AN54" s="18">
        <v>137.65600000000001</v>
      </c>
      <c r="AO54" s="18">
        <v>382</v>
      </c>
      <c r="AP54" s="4">
        <f t="shared" si="62"/>
        <v>531.65599999999995</v>
      </c>
      <c r="AQ54" s="47"/>
      <c r="AR54" s="7">
        <v>204.5</v>
      </c>
      <c r="AS54" s="7">
        <v>91.82</v>
      </c>
      <c r="AT54" s="7">
        <v>451.29</v>
      </c>
      <c r="AU54" s="74">
        <f t="shared" si="63"/>
        <v>747.61</v>
      </c>
      <c r="AV54" s="133"/>
      <c r="AW54" s="127">
        <f t="shared" si="64"/>
        <v>1.4061912213912757</v>
      </c>
      <c r="AY54" s="95">
        <f t="shared" si="65"/>
        <v>43893.979510000005</v>
      </c>
      <c r="AZ54" s="436"/>
      <c r="BB54" s="416"/>
      <c r="BC54" s="417"/>
      <c r="BD54" s="417"/>
      <c r="BE54" s="417"/>
      <c r="BF54" s="417"/>
      <c r="BG54" s="418"/>
    </row>
    <row r="55" spans="2:59" x14ac:dyDescent="0.25">
      <c r="B55" s="5" t="s">
        <v>46</v>
      </c>
      <c r="C55" s="3">
        <v>86502</v>
      </c>
      <c r="D55" s="3">
        <v>431370</v>
      </c>
      <c r="E55" s="4">
        <f t="shared" si="66"/>
        <v>517872</v>
      </c>
      <c r="F55" s="14"/>
      <c r="G55" s="3">
        <v>29015</v>
      </c>
      <c r="H55" s="3">
        <v>178410</v>
      </c>
      <c r="I55" s="4">
        <f t="shared" si="67"/>
        <v>207425</v>
      </c>
      <c r="J55" s="14"/>
      <c r="K55" s="3">
        <f t="shared" si="68"/>
        <v>115517</v>
      </c>
      <c r="L55" s="3">
        <f t="shared" si="69"/>
        <v>609780</v>
      </c>
      <c r="M55" s="4">
        <f t="shared" si="70"/>
        <v>725297</v>
      </c>
      <c r="N55" s="14"/>
      <c r="O55" s="56">
        <v>5.2490000000000002E-2</v>
      </c>
      <c r="P55" s="30">
        <f t="shared" si="71"/>
        <v>27183.101280000003</v>
      </c>
      <c r="Q55" s="12">
        <v>3.3480000000000003E-2</v>
      </c>
      <c r="R55" s="7">
        <f t="shared" si="72"/>
        <v>6944.5890000000009</v>
      </c>
      <c r="S55" s="6">
        <v>3.5500000000000002E-3</v>
      </c>
      <c r="T55" s="7">
        <f t="shared" si="57"/>
        <v>2574.8043500000003</v>
      </c>
      <c r="U55" s="9">
        <f t="shared" si="73"/>
        <v>36702.494630000001</v>
      </c>
      <c r="V55" s="14"/>
      <c r="W55" s="9">
        <v>13365.79</v>
      </c>
      <c r="X55" s="31">
        <f t="shared" si="74"/>
        <v>5.0603400579348874E-2</v>
      </c>
      <c r="Y55" s="39">
        <f t="shared" si="75"/>
        <v>6.9031423858088484E-2</v>
      </c>
      <c r="Z55" s="16"/>
      <c r="AA55" s="36">
        <f t="shared" si="58"/>
        <v>50068.284630000002</v>
      </c>
      <c r="AB55" s="94"/>
      <c r="AC55" s="146">
        <v>12201.35</v>
      </c>
      <c r="AD55" s="3">
        <v>11604.13</v>
      </c>
      <c r="AE55" s="69">
        <f t="shared" si="59"/>
        <v>23805.48</v>
      </c>
      <c r="AF55" s="113"/>
      <c r="AG55" s="7">
        <v>20723.060000000001</v>
      </c>
      <c r="AH55" s="143">
        <v>5416.58</v>
      </c>
      <c r="AI55" s="9">
        <f t="shared" si="60"/>
        <v>15306.480000000001</v>
      </c>
      <c r="AJ55" s="151"/>
      <c r="AK55" s="127">
        <f t="shared" si="61"/>
        <v>0.64298136395485417</v>
      </c>
      <c r="AL55" s="373"/>
      <c r="AM55" s="139">
        <v>32</v>
      </c>
      <c r="AN55" s="18">
        <v>152</v>
      </c>
      <c r="AO55" s="18">
        <v>382</v>
      </c>
      <c r="AP55" s="4">
        <f t="shared" si="62"/>
        <v>566</v>
      </c>
      <c r="AQ55" s="47"/>
      <c r="AR55" s="7">
        <v>217.84</v>
      </c>
      <c r="AS55" s="7">
        <v>101.38</v>
      </c>
      <c r="AT55" s="108">
        <v>451.29</v>
      </c>
      <c r="AU55" s="74">
        <f t="shared" si="63"/>
        <v>770.51</v>
      </c>
      <c r="AV55" s="133"/>
      <c r="AW55" s="127">
        <f t="shared" si="64"/>
        <v>1.3613250883392225</v>
      </c>
      <c r="AY55" s="95">
        <f t="shared" si="65"/>
        <v>66145.27463</v>
      </c>
      <c r="AZ55" s="95">
        <v>6343992.29</v>
      </c>
      <c r="BB55" s="416"/>
      <c r="BC55" s="417"/>
      <c r="BD55" s="417"/>
      <c r="BE55" s="417"/>
      <c r="BF55" s="417"/>
      <c r="BG55" s="418"/>
    </row>
    <row r="56" spans="2:59" x14ac:dyDescent="0.25">
      <c r="B56" s="5" t="s">
        <v>47</v>
      </c>
      <c r="C56" s="3">
        <v>89114</v>
      </c>
      <c r="D56" s="3">
        <v>421860</v>
      </c>
      <c r="E56" s="4">
        <f t="shared" si="66"/>
        <v>510974</v>
      </c>
      <c r="F56" s="14"/>
      <c r="G56" s="3">
        <v>33773</v>
      </c>
      <c r="H56" s="3">
        <v>183660</v>
      </c>
      <c r="I56" s="4">
        <f t="shared" si="67"/>
        <v>217433</v>
      </c>
      <c r="J56" s="14"/>
      <c r="K56" s="3">
        <f t="shared" si="68"/>
        <v>122887</v>
      </c>
      <c r="L56" s="3">
        <f t="shared" si="69"/>
        <v>605520</v>
      </c>
      <c r="M56" s="4">
        <f t="shared" si="70"/>
        <v>728407</v>
      </c>
      <c r="N56" s="14"/>
      <c r="O56" s="56">
        <v>5.2490000000000002E-2</v>
      </c>
      <c r="P56" s="30">
        <f t="shared" si="71"/>
        <v>26821.025260000002</v>
      </c>
      <c r="Q56" s="6">
        <v>3.3480000000000003E-2</v>
      </c>
      <c r="R56" s="7">
        <f t="shared" si="72"/>
        <v>7279.6568400000006</v>
      </c>
      <c r="S56" s="6">
        <v>3.5500000000000002E-3</v>
      </c>
      <c r="T56" s="7">
        <f t="shared" si="57"/>
        <v>2585.84485</v>
      </c>
      <c r="U56" s="9">
        <f t="shared" si="73"/>
        <v>36686.526950000007</v>
      </c>
      <c r="V56" s="14"/>
      <c r="W56" s="9">
        <v>16869.849999999999</v>
      </c>
      <c r="X56" s="31">
        <f t="shared" si="74"/>
        <v>5.0365423382806598E-2</v>
      </c>
      <c r="Y56" s="39">
        <f t="shared" si="75"/>
        <v>7.3525346337967659E-2</v>
      </c>
      <c r="Z56" s="16"/>
      <c r="AA56" s="36">
        <f t="shared" si="58"/>
        <v>53556.376950000005</v>
      </c>
      <c r="AB56" s="94"/>
      <c r="AC56" s="146">
        <v>11741.06</v>
      </c>
      <c r="AD56" s="3">
        <v>18774.189999999999</v>
      </c>
      <c r="AE56" s="69">
        <f t="shared" si="59"/>
        <v>30515.25</v>
      </c>
      <c r="AF56" s="113"/>
      <c r="AG56" s="7">
        <v>27789.34</v>
      </c>
      <c r="AH56" s="143">
        <v>10827.68</v>
      </c>
      <c r="AI56" s="9">
        <f t="shared" si="60"/>
        <v>16961.66</v>
      </c>
      <c r="AJ56" s="151"/>
      <c r="AK56" s="127">
        <f t="shared" si="61"/>
        <v>0.55584207896051974</v>
      </c>
      <c r="AL56" s="373"/>
      <c r="AM56" s="138">
        <v>36</v>
      </c>
      <c r="AN56" s="3">
        <v>155</v>
      </c>
      <c r="AO56" s="3">
        <v>381</v>
      </c>
      <c r="AP56" s="4">
        <f t="shared" si="62"/>
        <v>572</v>
      </c>
      <c r="AQ56" s="47"/>
      <c r="AR56" s="7">
        <v>220.51</v>
      </c>
      <c r="AS56" s="100">
        <v>103.39</v>
      </c>
      <c r="AT56" s="100">
        <v>450.63</v>
      </c>
      <c r="AU56" s="74">
        <f t="shared" si="63"/>
        <v>774.53</v>
      </c>
      <c r="AV56" s="133"/>
      <c r="AW56" s="127">
        <f t="shared" si="64"/>
        <v>1.3540734265734264</v>
      </c>
      <c r="AY56" s="95">
        <f t="shared" si="65"/>
        <v>71292.566950000008</v>
      </c>
      <c r="AZ56" s="95">
        <v>6016237.7999999998</v>
      </c>
      <c r="BB56" s="416"/>
      <c r="BC56" s="417"/>
      <c r="BD56" s="417"/>
      <c r="BE56" s="417"/>
      <c r="BF56" s="417"/>
      <c r="BG56" s="418"/>
    </row>
    <row r="57" spans="2:59" x14ac:dyDescent="0.25">
      <c r="B57" s="5" t="s">
        <v>48</v>
      </c>
      <c r="C57" s="3">
        <v>80527</v>
      </c>
      <c r="D57" s="3">
        <v>401370</v>
      </c>
      <c r="E57" s="4">
        <f t="shared" si="66"/>
        <v>481897</v>
      </c>
      <c r="F57" s="14"/>
      <c r="G57" s="3">
        <v>30825</v>
      </c>
      <c r="H57" s="3">
        <v>188160</v>
      </c>
      <c r="I57" s="4">
        <f t="shared" si="67"/>
        <v>218985</v>
      </c>
      <c r="J57" s="14"/>
      <c r="K57" s="3">
        <f t="shared" si="68"/>
        <v>111352</v>
      </c>
      <c r="L57" s="3">
        <f t="shared" si="69"/>
        <v>589530</v>
      </c>
      <c r="M57" s="4">
        <f t="shared" si="70"/>
        <v>700882</v>
      </c>
      <c r="N57" s="14"/>
      <c r="O57" s="56">
        <v>5.2490000000000002E-2</v>
      </c>
      <c r="P57" s="30">
        <f t="shared" si="71"/>
        <v>25294.773530000002</v>
      </c>
      <c r="Q57" s="12">
        <v>3.3480000000000003E-2</v>
      </c>
      <c r="R57" s="7">
        <f t="shared" si="72"/>
        <v>7331.6178000000009</v>
      </c>
      <c r="S57" s="6">
        <v>3.5500000000000002E-3</v>
      </c>
      <c r="T57" s="7">
        <f>M57*S57</f>
        <v>2488.1311000000001</v>
      </c>
      <c r="U57" s="9">
        <f t="shared" si="73"/>
        <v>35114.522430000005</v>
      </c>
      <c r="V57" s="14"/>
      <c r="W57" s="9">
        <v>16851.28</v>
      </c>
      <c r="X57" s="31">
        <f t="shared" si="74"/>
        <v>5.0100476870571654E-2</v>
      </c>
      <c r="Y57" s="39">
        <f t="shared" si="75"/>
        <v>7.4143439880036868E-2</v>
      </c>
      <c r="Z57" s="16"/>
      <c r="AA57" s="36">
        <f t="shared" si="58"/>
        <v>51965.802430000003</v>
      </c>
      <c r="AB57" s="94"/>
      <c r="AC57" s="146">
        <v>18751.419999999998</v>
      </c>
      <c r="AD57" s="3">
        <v>39745.78</v>
      </c>
      <c r="AE57" s="69">
        <f t="shared" si="59"/>
        <v>58497.2</v>
      </c>
      <c r="AF57" s="113"/>
      <c r="AG57" s="7">
        <v>39439.67</v>
      </c>
      <c r="AH57" s="143">
        <v>13959.27</v>
      </c>
      <c r="AI57" s="9">
        <f t="shared" si="60"/>
        <v>25480.399999999998</v>
      </c>
      <c r="AJ57" s="151"/>
      <c r="AK57" s="127">
        <f t="shared" si="61"/>
        <v>0.4355832415910505</v>
      </c>
      <c r="AL57" s="373"/>
      <c r="AM57" s="139">
        <v>27</v>
      </c>
      <c r="AN57" s="18">
        <v>150</v>
      </c>
      <c r="AO57" s="18">
        <v>382</v>
      </c>
      <c r="AP57" s="4">
        <f t="shared" si="62"/>
        <v>559</v>
      </c>
      <c r="AQ57" s="47"/>
      <c r="AR57" s="7">
        <v>214.51</v>
      </c>
      <c r="AS57" s="7">
        <v>100.05</v>
      </c>
      <c r="AT57" s="7">
        <v>451.29</v>
      </c>
      <c r="AU57" s="74">
        <f t="shared" si="63"/>
        <v>765.85</v>
      </c>
      <c r="AV57" s="133"/>
      <c r="AW57" s="127">
        <f t="shared" si="64"/>
        <v>1.3700357781753132</v>
      </c>
      <c r="AY57" s="95">
        <f t="shared" si="65"/>
        <v>78212.052430000011</v>
      </c>
      <c r="AZ57" s="95">
        <v>5760575.0300000003</v>
      </c>
      <c r="BB57" s="416"/>
      <c r="BC57" s="417"/>
      <c r="BD57" s="417"/>
      <c r="BE57" s="417"/>
      <c r="BF57" s="417"/>
      <c r="BG57" s="418"/>
    </row>
    <row r="58" spans="2:59" ht="15.75" thickBot="1" x14ac:dyDescent="0.3">
      <c r="B58" s="5" t="s">
        <v>49</v>
      </c>
      <c r="C58" s="18">
        <v>62762</v>
      </c>
      <c r="D58" s="18">
        <v>314550</v>
      </c>
      <c r="E58" s="19">
        <f t="shared" si="66"/>
        <v>377312</v>
      </c>
      <c r="F58" s="14"/>
      <c r="G58" s="18">
        <v>26683</v>
      </c>
      <c r="H58" s="18">
        <v>160200</v>
      </c>
      <c r="I58" s="19">
        <f t="shared" si="67"/>
        <v>186883</v>
      </c>
      <c r="J58" s="14"/>
      <c r="K58" s="18">
        <f t="shared" si="68"/>
        <v>89445</v>
      </c>
      <c r="L58" s="18">
        <f t="shared" si="69"/>
        <v>474750</v>
      </c>
      <c r="M58" s="19">
        <f t="shared" si="70"/>
        <v>564195</v>
      </c>
      <c r="N58" s="14"/>
      <c r="O58" s="56">
        <v>5.2490000000000002E-2</v>
      </c>
      <c r="P58" s="43">
        <f t="shared" si="71"/>
        <v>19805.106879999999</v>
      </c>
      <c r="Q58" s="6">
        <v>3.3480000000000003E-2</v>
      </c>
      <c r="R58" s="21">
        <f t="shared" si="72"/>
        <v>6256.8428400000003</v>
      </c>
      <c r="S58" s="6">
        <v>3.5500000000000002E-3</v>
      </c>
      <c r="T58" s="21">
        <f>M58*S58</f>
        <v>2002.8922500000001</v>
      </c>
      <c r="U58" s="22">
        <f t="shared" si="73"/>
        <v>28064.841970000001</v>
      </c>
      <c r="V58" s="14"/>
      <c r="W58" s="22">
        <v>15344.6</v>
      </c>
      <c r="X58" s="32">
        <f t="shared" si="74"/>
        <v>4.974315966997226E-2</v>
      </c>
      <c r="Y58" s="44">
        <f t="shared" si="75"/>
        <v>7.694049392497275E-2</v>
      </c>
      <c r="Z58" s="16"/>
      <c r="AA58" s="45">
        <f t="shared" si="58"/>
        <v>43409.44197</v>
      </c>
      <c r="AB58" s="94"/>
      <c r="AC58" s="148">
        <v>40596.019999999997</v>
      </c>
      <c r="AD58" s="18">
        <v>26976.57</v>
      </c>
      <c r="AE58" s="69">
        <f t="shared" si="59"/>
        <v>67572.59</v>
      </c>
      <c r="AF58" s="114"/>
      <c r="AG58" s="50">
        <v>49906.92</v>
      </c>
      <c r="AH58" s="144">
        <v>21762.22</v>
      </c>
      <c r="AI58" s="9">
        <f t="shared" si="60"/>
        <v>28144.699999999997</v>
      </c>
      <c r="AJ58" s="152"/>
      <c r="AK58" s="127">
        <f t="shared" si="61"/>
        <v>0.41651059993408568</v>
      </c>
      <c r="AL58" s="373"/>
      <c r="AM58" s="141">
        <v>27</v>
      </c>
      <c r="AN58" s="118">
        <v>150</v>
      </c>
      <c r="AO58" s="118">
        <v>382</v>
      </c>
      <c r="AP58" s="119">
        <f t="shared" si="62"/>
        <v>559</v>
      </c>
      <c r="AQ58" s="120"/>
      <c r="AR58" s="121">
        <v>214.51</v>
      </c>
      <c r="AS58" s="121">
        <v>100.05</v>
      </c>
      <c r="AT58" s="121">
        <v>451.29</v>
      </c>
      <c r="AU58" s="91">
        <f t="shared" si="63"/>
        <v>765.85</v>
      </c>
      <c r="AV58" s="134"/>
      <c r="AW58" s="128">
        <f t="shared" si="64"/>
        <v>1.3700357781753132</v>
      </c>
      <c r="AY58" s="95">
        <f t="shared" si="65"/>
        <v>72319.991970000003</v>
      </c>
      <c r="AZ58" s="95">
        <v>4166342.46</v>
      </c>
      <c r="BB58" s="416"/>
      <c r="BC58" s="417"/>
      <c r="BD58" s="417"/>
      <c r="BE58" s="417"/>
      <c r="BF58" s="417"/>
      <c r="BG58" s="418"/>
    </row>
    <row r="59" spans="2:59" ht="15.75" thickBot="1" x14ac:dyDescent="0.3">
      <c r="B59" s="24">
        <v>2014</v>
      </c>
      <c r="C59" s="23">
        <f>SUM(C47:C58)</f>
        <v>955978</v>
      </c>
      <c r="D59" s="23">
        <f>SUM(D47:D58)</f>
        <v>4625700</v>
      </c>
      <c r="E59" s="27">
        <f>SUM(E47:E58)</f>
        <v>5581678</v>
      </c>
      <c r="F59" s="23"/>
      <c r="G59" s="23">
        <f>SUM(G47:G58)</f>
        <v>380908</v>
      </c>
      <c r="H59" s="23">
        <f>SUM(H47:H58)</f>
        <v>1962750</v>
      </c>
      <c r="I59" s="27">
        <f>SUM(I47:I58)</f>
        <v>2343658</v>
      </c>
      <c r="J59" s="23"/>
      <c r="K59" s="23">
        <f>SUM(K47:K58)</f>
        <v>1336886</v>
      </c>
      <c r="L59" s="23">
        <f>SUM(L47:L58)</f>
        <v>6588450</v>
      </c>
      <c r="M59" s="27">
        <f>SUM(M47:M58)</f>
        <v>7925336</v>
      </c>
      <c r="N59" s="23"/>
      <c r="O59" s="25">
        <f>SUM(O47:O58)/COUNTA(O47:O58)</f>
        <v>5.2490000000000002E-2</v>
      </c>
      <c r="P59" s="26">
        <f>SUM(P47:P58)</f>
        <v>292982.27821999992</v>
      </c>
      <c r="Q59" s="25">
        <f>SUM(Q47:Q58)/COUNTA(Q47:Q58)</f>
        <v>3.3480000000000003E-2</v>
      </c>
      <c r="R59" s="26">
        <f>SUM(R47:R58)</f>
        <v>78465.669840000002</v>
      </c>
      <c r="S59" s="25">
        <f>SUM(S47:S58)/COUNTA(S47:S58)</f>
        <v>3.5499999999999998E-3</v>
      </c>
      <c r="T59" s="26">
        <f>SUM(T47:T58)</f>
        <v>28134.942800000001</v>
      </c>
      <c r="U59" s="28">
        <f>SUM(U47:U58)</f>
        <v>399582.89086000004</v>
      </c>
      <c r="V59" s="23"/>
      <c r="W59" s="28">
        <f>SUM(W47:W58)</f>
        <v>177603.13</v>
      </c>
      <c r="X59" s="25">
        <f>(U59)/M59</f>
        <v>5.0418416438116953E-2</v>
      </c>
      <c r="Y59" s="40">
        <f>(U59+W59)/M59</f>
        <v>7.2827955920102327E-2</v>
      </c>
      <c r="Z59" s="35"/>
      <c r="AA59" s="37">
        <f>SUM(AA47:AA58)</f>
        <v>577186.02086000005</v>
      </c>
      <c r="AB59" s="94"/>
      <c r="AC59" s="149">
        <f>SUM(AC47:AC58)</f>
        <v>274967.85000000003</v>
      </c>
      <c r="AD59" s="140">
        <f>SUM(AD47:AD58)</f>
        <v>318979.67</v>
      </c>
      <c r="AE59" s="140">
        <f>SUM(AE47:AE58)</f>
        <v>593947.5199999999</v>
      </c>
      <c r="AF59" s="153"/>
      <c r="AG59" s="136">
        <f>SUM(AG47:AG58)</f>
        <v>412275.68</v>
      </c>
      <c r="AH59" s="136">
        <f>SUM(AH47:AH58)</f>
        <v>131484.63</v>
      </c>
      <c r="AI59" s="28">
        <f>SUM(AI47:AI58)</f>
        <v>280791.05</v>
      </c>
      <c r="AJ59" s="134"/>
      <c r="AK59" s="159">
        <f>AI59/AE59</f>
        <v>0.47275397328033297</v>
      </c>
      <c r="AL59" s="373"/>
      <c r="AM59" s="140">
        <f>SUM(AM47:AM58)</f>
        <v>404</v>
      </c>
      <c r="AN59" s="23">
        <f>SUM(AN47:AN58)</f>
        <v>1816.6559999999999</v>
      </c>
      <c r="AO59" s="23">
        <f>SUM(AO47:AO58)</f>
        <v>4504</v>
      </c>
      <c r="AP59" s="27">
        <f>SUM(AP47:AP58)</f>
        <v>6724.6559999999999</v>
      </c>
      <c r="AQ59" s="49"/>
      <c r="AR59" s="51">
        <f>SUM(AR47:AR58)</f>
        <v>2135.54</v>
      </c>
      <c r="AS59" s="51">
        <f>SUM(AS47:AS58)</f>
        <v>1301.96</v>
      </c>
      <c r="AT59" s="51">
        <f>SUM(AT47:AT58)</f>
        <v>5016.33</v>
      </c>
      <c r="AU59" s="28">
        <f t="shared" si="63"/>
        <v>8453.83</v>
      </c>
      <c r="AV59" s="132"/>
      <c r="AW59" s="131">
        <f>AU59/AP59</f>
        <v>1.2571393986547417</v>
      </c>
      <c r="AY59" s="96">
        <f>AA59+AI59+AU59</f>
        <v>866430.90086000005</v>
      </c>
      <c r="AZ59" s="96">
        <f>SUM(AZ47:AZ58)</f>
        <v>70434689.920000002</v>
      </c>
      <c r="BB59" s="419"/>
      <c r="BC59" s="420"/>
      <c r="BD59" s="420"/>
      <c r="BE59" s="420"/>
      <c r="BF59" s="420"/>
      <c r="BG59" s="421"/>
    </row>
    <row r="60" spans="2:59" ht="15.75" thickBot="1" x14ac:dyDescent="0.3"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C60" s="35"/>
      <c r="AD60" s="97"/>
      <c r="AE60" s="35"/>
      <c r="AF60" s="115"/>
      <c r="AG60" s="97"/>
      <c r="AH60" s="35"/>
      <c r="AI60" s="35"/>
      <c r="AJ60" s="14"/>
      <c r="AK60" s="14"/>
      <c r="AM60" s="35"/>
      <c r="AN60" s="35"/>
      <c r="AO60" s="35"/>
      <c r="AP60" s="35"/>
      <c r="AQ60" s="35"/>
      <c r="AR60" s="35"/>
      <c r="AS60" s="92"/>
      <c r="AT60" s="92"/>
      <c r="AU60" s="35"/>
      <c r="AV60" s="117"/>
      <c r="AW60" s="117"/>
      <c r="AY60" s="35"/>
      <c r="BB60" s="13"/>
      <c r="BC60" s="13"/>
      <c r="BD60" s="13"/>
    </row>
    <row r="61" spans="2:59" x14ac:dyDescent="0.25">
      <c r="B61" s="67" t="s">
        <v>50</v>
      </c>
      <c r="C61" s="68">
        <v>83774</v>
      </c>
      <c r="D61" s="68">
        <v>406950</v>
      </c>
      <c r="E61" s="69">
        <f>C61+D61</f>
        <v>490724</v>
      </c>
      <c r="F61" s="14"/>
      <c r="G61" s="68">
        <v>37709</v>
      </c>
      <c r="H61" s="68">
        <v>186270</v>
      </c>
      <c r="I61" s="69">
        <f>G61+H61</f>
        <v>223979</v>
      </c>
      <c r="J61" s="14"/>
      <c r="K61" s="68">
        <f>C61+G61</f>
        <v>121483</v>
      </c>
      <c r="L61" s="68">
        <f>D61+H61</f>
        <v>593220</v>
      </c>
      <c r="M61" s="69">
        <f>K61+L61</f>
        <v>714703</v>
      </c>
      <c r="N61" s="14"/>
      <c r="O61" s="89">
        <v>5.1999999999999998E-2</v>
      </c>
      <c r="P61" s="71">
        <f>E61*O61</f>
        <v>25517.647999999997</v>
      </c>
      <c r="Q61" s="90">
        <v>3.3000000000000002E-2</v>
      </c>
      <c r="R61" s="71">
        <f>I61*Q61</f>
        <v>7391.3070000000007</v>
      </c>
      <c r="S61" s="168" t="s">
        <v>97</v>
      </c>
      <c r="T61" s="106">
        <v>6756.91</v>
      </c>
      <c r="U61" s="74">
        <f>P61+R61+T61</f>
        <v>39665.865000000005</v>
      </c>
      <c r="V61" s="14"/>
      <c r="W61" s="74">
        <v>13009.14</v>
      </c>
      <c r="X61" s="75">
        <f>U61/M61</f>
        <v>5.5499788023836483E-2</v>
      </c>
      <c r="Y61" s="76">
        <f>(U61+W61)/M61</f>
        <v>7.3701950320622697E-2</v>
      </c>
      <c r="Z61" s="16"/>
      <c r="AA61" s="77">
        <f>U61+W61</f>
        <v>52675.005000000005</v>
      </c>
      <c r="AB61" s="94"/>
      <c r="AC61" s="154">
        <v>50558</v>
      </c>
      <c r="AD61" s="58">
        <v>43340</v>
      </c>
      <c r="AE61" s="59">
        <f>AC61+AD61</f>
        <v>93898</v>
      </c>
      <c r="AF61" s="155"/>
      <c r="AG61" s="61">
        <v>57518.11</v>
      </c>
      <c r="AH61" s="156">
        <v>21831.25</v>
      </c>
      <c r="AI61" s="62">
        <f>AG61-AH61</f>
        <v>35686.86</v>
      </c>
      <c r="AJ61" s="157"/>
      <c r="AK61" s="158">
        <f>AI61/AE61</f>
        <v>0.38005985218002514</v>
      </c>
      <c r="AL61" s="373"/>
      <c r="AM61" s="137">
        <v>0</v>
      </c>
      <c r="AN61" s="54">
        <v>131</v>
      </c>
      <c r="AO61" s="54">
        <v>427</v>
      </c>
      <c r="AP61" s="69">
        <f>SUM(AM61:AO61)</f>
        <v>558</v>
      </c>
      <c r="AQ61" s="47"/>
      <c r="AR61" s="102">
        <v>215.17</v>
      </c>
      <c r="AS61" s="103">
        <v>87.38</v>
      </c>
      <c r="AT61" s="103">
        <v>481.31</v>
      </c>
      <c r="AU61" s="62">
        <f>SUM(AR61:AT61)</f>
        <v>783.8599999999999</v>
      </c>
      <c r="AV61" s="133"/>
      <c r="AW61" s="101">
        <f>AU61/AP61</f>
        <v>1.4047670250896056</v>
      </c>
      <c r="AY61" s="95">
        <f>AA61+AI61+AU61</f>
        <v>89145.725000000006</v>
      </c>
      <c r="AZ61" s="173">
        <v>6916829.4000000004</v>
      </c>
      <c r="BB61" s="413"/>
      <c r="BC61" s="414"/>
      <c r="BD61" s="414"/>
      <c r="BE61" s="414"/>
      <c r="BF61" s="414"/>
      <c r="BG61" s="415"/>
    </row>
    <row r="62" spans="2:59" x14ac:dyDescent="0.25">
      <c r="B62" s="67" t="s">
        <v>51</v>
      </c>
      <c r="C62" s="3">
        <v>88162</v>
      </c>
      <c r="D62" s="3">
        <v>417030</v>
      </c>
      <c r="E62" s="4">
        <f>C62+D62</f>
        <v>505192</v>
      </c>
      <c r="F62" s="14"/>
      <c r="G62" s="3">
        <v>47801</v>
      </c>
      <c r="H62" s="3">
        <v>217680</v>
      </c>
      <c r="I62" s="4">
        <f>G62+H62</f>
        <v>265481</v>
      </c>
      <c r="J62" s="14"/>
      <c r="K62" s="3">
        <f>C62+G62</f>
        <v>135963</v>
      </c>
      <c r="L62" s="3">
        <f>D62+H62</f>
        <v>634710</v>
      </c>
      <c r="M62" s="4">
        <f>K62+L62</f>
        <v>770673</v>
      </c>
      <c r="N62" s="14"/>
      <c r="O62" s="8">
        <v>5.1999999999999998E-2</v>
      </c>
      <c r="P62" s="7">
        <f>E62*O62</f>
        <v>26269.984</v>
      </c>
      <c r="Q62" s="8">
        <v>3.3000000000000002E-2</v>
      </c>
      <c r="R62" s="7">
        <f>I62*Q62</f>
        <v>8760.8729999999996</v>
      </c>
      <c r="S62" s="169" t="s">
        <v>97</v>
      </c>
      <c r="T62" s="106">
        <v>6925.59</v>
      </c>
      <c r="U62" s="9">
        <f>P62+R62+T62</f>
        <v>41956.447</v>
      </c>
      <c r="V62" s="14"/>
      <c r="W62" s="9">
        <v>13369.4</v>
      </c>
      <c r="X62" s="31">
        <f>U62/M62</f>
        <v>5.4441309089587935E-2</v>
      </c>
      <c r="Y62" s="39">
        <f>(U62+W62)/M62</f>
        <v>7.1789003896594275E-2</v>
      </c>
      <c r="Z62" s="16"/>
      <c r="AA62" s="160">
        <f t="shared" ref="AA62:AA71" si="76">U62+W62</f>
        <v>55325.847000000002</v>
      </c>
      <c r="AB62" s="94"/>
      <c r="AC62" s="146">
        <v>56924</v>
      </c>
      <c r="AD62" s="3">
        <v>37871</v>
      </c>
      <c r="AE62" s="69">
        <f t="shared" ref="AE62:AE72" si="77">AC62+AD62</f>
        <v>94795</v>
      </c>
      <c r="AF62" s="113"/>
      <c r="AG62" s="7">
        <v>43587.71</v>
      </c>
      <c r="AH62" s="143">
        <v>18925.09</v>
      </c>
      <c r="AI62" s="9">
        <f t="shared" ref="AI62:AI72" si="78">AG62-AH62</f>
        <v>24662.62</v>
      </c>
      <c r="AJ62" s="151"/>
      <c r="AK62" s="127">
        <f t="shared" ref="AK62:AK72" si="79">AI62/AE62</f>
        <v>0.26016794134711746</v>
      </c>
      <c r="AL62" s="373"/>
      <c r="AM62" s="139">
        <v>24</v>
      </c>
      <c r="AN62" s="18">
        <v>150</v>
      </c>
      <c r="AO62" s="18">
        <v>382</v>
      </c>
      <c r="AP62" s="4">
        <f t="shared" ref="AP62:AP72" si="80">SUM(AM62:AO62)</f>
        <v>556</v>
      </c>
      <c r="AQ62" s="47"/>
      <c r="AR62" s="7">
        <v>212.51</v>
      </c>
      <c r="AS62" s="7">
        <v>100.05</v>
      </c>
      <c r="AT62" s="7">
        <v>451.29</v>
      </c>
      <c r="AU62" s="74">
        <f t="shared" ref="AU62:AU73" si="81">SUM(AR62:AT62)</f>
        <v>763.85</v>
      </c>
      <c r="AV62" s="133"/>
      <c r="AW62" s="127">
        <f t="shared" ref="AW62:AW72" si="82">AU62/AP62</f>
        <v>1.3738309352517986</v>
      </c>
      <c r="AY62" s="95">
        <f t="shared" ref="AY62:AY71" si="83">AA62+AI62+AU62</f>
        <v>80752.31700000001</v>
      </c>
      <c r="AZ62" s="95">
        <v>9011231.8200000003</v>
      </c>
      <c r="BB62" s="416"/>
      <c r="BC62" s="417"/>
      <c r="BD62" s="417"/>
      <c r="BE62" s="417"/>
      <c r="BF62" s="417"/>
      <c r="BG62" s="418"/>
    </row>
    <row r="63" spans="2:59" x14ac:dyDescent="0.25">
      <c r="B63" s="67" t="s">
        <v>52</v>
      </c>
      <c r="C63" s="3">
        <v>93750</v>
      </c>
      <c r="D63" s="3">
        <v>458610</v>
      </c>
      <c r="E63" s="4">
        <f t="shared" ref="E63:E72" si="84">C63+D63</f>
        <v>552360</v>
      </c>
      <c r="F63" s="14"/>
      <c r="G63" s="3">
        <v>49809</v>
      </c>
      <c r="H63" s="3">
        <v>241170</v>
      </c>
      <c r="I63" s="4">
        <f t="shared" ref="I63:I72" si="85">G63+H63</f>
        <v>290979</v>
      </c>
      <c r="J63" s="14"/>
      <c r="K63" s="3">
        <f t="shared" ref="K63:K72" si="86">C63+G63</f>
        <v>143559</v>
      </c>
      <c r="L63" s="3">
        <f t="shared" ref="L63:L72" si="87">D63+H63</f>
        <v>699780</v>
      </c>
      <c r="M63" s="4">
        <f t="shared" ref="M63:M72" si="88">K63+L63</f>
        <v>843339</v>
      </c>
      <c r="N63" s="14"/>
      <c r="O63" s="8">
        <v>5.1999999999999998E-2</v>
      </c>
      <c r="P63" s="30">
        <f t="shared" ref="P63:P71" si="89">E63*O63</f>
        <v>28722.719999999998</v>
      </c>
      <c r="Q63" s="8">
        <v>3.3000000000000002E-2</v>
      </c>
      <c r="R63" s="7">
        <f t="shared" ref="R63:R71" si="90">I63*Q63</f>
        <v>9602.3070000000007</v>
      </c>
      <c r="S63" s="168" t="s">
        <v>97</v>
      </c>
      <c r="T63" s="106">
        <v>7169.24</v>
      </c>
      <c r="U63" s="9">
        <f t="shared" ref="U63:U71" si="91">P63+R63+T63</f>
        <v>45494.267</v>
      </c>
      <c r="V63" s="14"/>
      <c r="W63" s="9">
        <v>13936.63</v>
      </c>
      <c r="X63" s="31">
        <f t="shared" ref="X63:X72" si="92">U63/M63</f>
        <v>5.3945408667214492E-2</v>
      </c>
      <c r="Y63" s="39">
        <f t="shared" ref="Y63:Y72" si="93">(U63+W63)/M63</f>
        <v>7.0470945847399435E-2</v>
      </c>
      <c r="Z63" s="16"/>
      <c r="AA63" s="36">
        <f t="shared" si="76"/>
        <v>59430.896999999997</v>
      </c>
      <c r="AB63" s="94"/>
      <c r="AC63" s="146">
        <v>38382</v>
      </c>
      <c r="AD63" s="3">
        <v>37459</v>
      </c>
      <c r="AE63" s="69">
        <f t="shared" si="77"/>
        <v>75841</v>
      </c>
      <c r="AF63" s="113"/>
      <c r="AG63" s="7">
        <v>40600.61</v>
      </c>
      <c r="AH63" s="143">
        <v>13814.49</v>
      </c>
      <c r="AI63" s="9">
        <f t="shared" si="78"/>
        <v>26786.120000000003</v>
      </c>
      <c r="AJ63" s="151"/>
      <c r="AK63" s="127">
        <f t="shared" si="79"/>
        <v>0.35318785353568655</v>
      </c>
      <c r="AL63" s="373"/>
      <c r="AM63" s="139">
        <v>27</v>
      </c>
      <c r="AN63" s="18">
        <v>150</v>
      </c>
      <c r="AO63" s="18">
        <v>382</v>
      </c>
      <c r="AP63" s="4">
        <f t="shared" si="80"/>
        <v>559</v>
      </c>
      <c r="AQ63" s="47"/>
      <c r="AR63" s="7">
        <v>214.51</v>
      </c>
      <c r="AS63" s="7">
        <v>100.05</v>
      </c>
      <c r="AT63" s="7">
        <v>451.29</v>
      </c>
      <c r="AU63" s="74">
        <f t="shared" si="81"/>
        <v>765.85</v>
      </c>
      <c r="AV63" s="133"/>
      <c r="AW63" s="127">
        <f t="shared" si="82"/>
        <v>1.3700357781753132</v>
      </c>
      <c r="AY63" s="95">
        <f t="shared" si="83"/>
        <v>86982.866999999998</v>
      </c>
      <c r="AZ63" s="95">
        <v>8282305.3700000001</v>
      </c>
      <c r="BB63" s="416"/>
      <c r="BC63" s="417"/>
      <c r="BD63" s="417"/>
      <c r="BE63" s="417"/>
      <c r="BF63" s="417"/>
      <c r="BG63" s="418"/>
    </row>
    <row r="64" spans="2:59" x14ac:dyDescent="0.25">
      <c r="B64" s="67" t="s">
        <v>53</v>
      </c>
      <c r="C64" s="3">
        <v>78554</v>
      </c>
      <c r="D64" s="3">
        <v>393270</v>
      </c>
      <c r="E64" s="4">
        <f t="shared" si="84"/>
        <v>471824</v>
      </c>
      <c r="F64" s="14"/>
      <c r="G64" s="3">
        <v>42187</v>
      </c>
      <c r="H64" s="3">
        <v>236640</v>
      </c>
      <c r="I64" s="4">
        <f t="shared" si="85"/>
        <v>278827</v>
      </c>
      <c r="J64" s="14"/>
      <c r="K64" s="3">
        <f t="shared" si="86"/>
        <v>120741</v>
      </c>
      <c r="L64" s="3">
        <f t="shared" si="87"/>
        <v>629910</v>
      </c>
      <c r="M64" s="4">
        <f t="shared" si="88"/>
        <v>750651</v>
      </c>
      <c r="N64" s="14"/>
      <c r="O64" s="8">
        <v>5.1999999999999998E-2</v>
      </c>
      <c r="P64" s="30">
        <f t="shared" si="89"/>
        <v>24534.847999999998</v>
      </c>
      <c r="Q64" s="8">
        <v>3.3000000000000002E-2</v>
      </c>
      <c r="R64" s="7">
        <f t="shared" si="90"/>
        <v>9201.2910000000011</v>
      </c>
      <c r="S64" s="169" t="s">
        <v>97</v>
      </c>
      <c r="T64" s="106">
        <v>6722.3</v>
      </c>
      <c r="U64" s="9">
        <f t="shared" si="91"/>
        <v>40458.438999999998</v>
      </c>
      <c r="V64" s="14"/>
      <c r="W64" s="9">
        <v>9478.7999999999993</v>
      </c>
      <c r="X64" s="31">
        <f t="shared" si="92"/>
        <v>5.3897802041161604E-2</v>
      </c>
      <c r="Y64" s="39">
        <f t="shared" si="93"/>
        <v>6.6525241423777498E-2</v>
      </c>
      <c r="Z64" s="16"/>
      <c r="AA64" s="36">
        <f t="shared" si="76"/>
        <v>49937.239000000001</v>
      </c>
      <c r="AB64" s="94"/>
      <c r="AC64" s="146">
        <v>29350</v>
      </c>
      <c r="AD64" s="3">
        <v>18388</v>
      </c>
      <c r="AE64" s="69">
        <f t="shared" si="77"/>
        <v>47738</v>
      </c>
      <c r="AF64" s="113"/>
      <c r="AG64" s="7">
        <v>27536.080000000002</v>
      </c>
      <c r="AH64" s="143">
        <v>6988.58</v>
      </c>
      <c r="AI64" s="9">
        <f t="shared" si="78"/>
        <v>20547.5</v>
      </c>
      <c r="AJ64" s="151"/>
      <c r="AK64" s="127">
        <f t="shared" si="79"/>
        <v>0.43042230508190538</v>
      </c>
      <c r="AL64" s="373"/>
      <c r="AM64" s="138">
        <v>23</v>
      </c>
      <c r="AN64" s="3">
        <v>248</v>
      </c>
      <c r="AO64" s="3">
        <v>572</v>
      </c>
      <c r="AP64" s="4">
        <f t="shared" si="80"/>
        <v>843</v>
      </c>
      <c r="AQ64" s="47"/>
      <c r="AR64" s="7">
        <v>211.84</v>
      </c>
      <c r="AS64" s="7">
        <v>165.42</v>
      </c>
      <c r="AT64" s="7">
        <v>578.02</v>
      </c>
      <c r="AU64" s="74">
        <f t="shared" si="81"/>
        <v>955.28</v>
      </c>
      <c r="AV64" s="133"/>
      <c r="AW64" s="127">
        <f t="shared" si="82"/>
        <v>1.133190984578885</v>
      </c>
      <c r="AY64" s="95">
        <f t="shared" si="83"/>
        <v>71440.019</v>
      </c>
      <c r="AZ64" s="95">
        <v>7732615.0800000001</v>
      </c>
      <c r="BB64" s="416"/>
      <c r="BC64" s="417"/>
      <c r="BD64" s="417"/>
      <c r="BE64" s="417"/>
      <c r="BF64" s="417"/>
      <c r="BG64" s="418"/>
    </row>
    <row r="65" spans="2:59" x14ac:dyDescent="0.25">
      <c r="B65" s="67" t="s">
        <v>54</v>
      </c>
      <c r="C65" s="3">
        <v>78585</v>
      </c>
      <c r="D65" s="3">
        <v>404550</v>
      </c>
      <c r="E65" s="4">
        <f t="shared" si="84"/>
        <v>483135</v>
      </c>
      <c r="F65" s="14"/>
      <c r="G65" s="3">
        <v>38810</v>
      </c>
      <c r="H65" s="3">
        <v>245280</v>
      </c>
      <c r="I65" s="4">
        <f t="shared" si="85"/>
        <v>284090</v>
      </c>
      <c r="J65" s="14"/>
      <c r="K65" s="3">
        <f t="shared" si="86"/>
        <v>117395</v>
      </c>
      <c r="L65" s="3">
        <f t="shared" si="87"/>
        <v>649830</v>
      </c>
      <c r="M65" s="4">
        <f t="shared" si="88"/>
        <v>767225</v>
      </c>
      <c r="N65" s="14"/>
      <c r="O65" s="8">
        <v>5.1999999999999998E-2</v>
      </c>
      <c r="P65" s="30">
        <f t="shared" si="89"/>
        <v>25123.02</v>
      </c>
      <c r="Q65" s="8">
        <v>3.3000000000000002E-2</v>
      </c>
      <c r="R65" s="7">
        <f t="shared" si="90"/>
        <v>9374.9700000000012</v>
      </c>
      <c r="S65" s="168" t="s">
        <v>97</v>
      </c>
      <c r="T65" s="106">
        <v>6792.56</v>
      </c>
      <c r="U65" s="9">
        <f t="shared" si="91"/>
        <v>41290.550000000003</v>
      </c>
      <c r="V65" s="14"/>
      <c r="W65" s="9">
        <v>9591.6200000000008</v>
      </c>
      <c r="X65" s="31">
        <f t="shared" si="92"/>
        <v>5.3818045553781488E-2</v>
      </c>
      <c r="Y65" s="39">
        <f t="shared" si="93"/>
        <v>6.631974974746653E-2</v>
      </c>
      <c r="Z65" s="16"/>
      <c r="AA65" s="36">
        <f t="shared" si="76"/>
        <v>50882.170000000006</v>
      </c>
      <c r="AB65" s="94"/>
      <c r="AC65" s="146">
        <v>14947</v>
      </c>
      <c r="AD65" s="3">
        <v>16790</v>
      </c>
      <c r="AE65" s="69">
        <f t="shared" si="77"/>
        <v>31737</v>
      </c>
      <c r="AF65" s="113"/>
      <c r="AG65" s="7">
        <v>16470</v>
      </c>
      <c r="AH65" s="143">
        <v>2956.95</v>
      </c>
      <c r="AI65" s="9">
        <f t="shared" si="78"/>
        <v>13513.05</v>
      </c>
      <c r="AJ65" s="151"/>
      <c r="AK65" s="127">
        <f t="shared" si="79"/>
        <v>0.42578221003875599</v>
      </c>
      <c r="AL65" s="373"/>
      <c r="AM65" s="139">
        <v>24</v>
      </c>
      <c r="AN65" s="18">
        <v>163</v>
      </c>
      <c r="AO65" s="18">
        <v>412</v>
      </c>
      <c r="AP65" s="4">
        <f t="shared" si="80"/>
        <v>599</v>
      </c>
      <c r="AQ65" s="47"/>
      <c r="AR65" s="7">
        <v>212.51</v>
      </c>
      <c r="AS65" s="7">
        <v>108.72</v>
      </c>
      <c r="AT65" s="7">
        <v>471.3</v>
      </c>
      <c r="AU65" s="74">
        <f t="shared" si="81"/>
        <v>792.53</v>
      </c>
      <c r="AV65" s="133"/>
      <c r="AW65" s="127">
        <f t="shared" si="82"/>
        <v>1.3230884808013355</v>
      </c>
      <c r="AY65" s="95">
        <f t="shared" si="83"/>
        <v>65187.75</v>
      </c>
      <c r="AZ65" s="95">
        <v>5582420.7999999998</v>
      </c>
      <c r="BB65" s="416"/>
      <c r="BC65" s="417"/>
      <c r="BD65" s="417"/>
      <c r="BE65" s="417"/>
      <c r="BF65" s="417"/>
      <c r="BG65" s="418"/>
    </row>
    <row r="66" spans="2:59" x14ac:dyDescent="0.25">
      <c r="B66" s="67" t="s">
        <v>55</v>
      </c>
      <c r="C66" s="3">
        <v>78092</v>
      </c>
      <c r="D66" s="3">
        <v>416850</v>
      </c>
      <c r="E66" s="4">
        <f t="shared" si="84"/>
        <v>494942</v>
      </c>
      <c r="F66" s="14"/>
      <c r="G66" s="3">
        <v>36661</v>
      </c>
      <c r="H66" s="3">
        <v>243390</v>
      </c>
      <c r="I66" s="4">
        <f t="shared" si="85"/>
        <v>280051</v>
      </c>
      <c r="J66" s="14"/>
      <c r="K66" s="3">
        <f t="shared" si="86"/>
        <v>114753</v>
      </c>
      <c r="L66" s="3">
        <f t="shared" si="87"/>
        <v>660240</v>
      </c>
      <c r="M66" s="4">
        <f t="shared" si="88"/>
        <v>774993</v>
      </c>
      <c r="N66" s="14"/>
      <c r="O66" s="8">
        <v>5.1999999999999998E-2</v>
      </c>
      <c r="P66" s="30">
        <f t="shared" si="89"/>
        <v>25736.984</v>
      </c>
      <c r="Q66" s="8">
        <v>3.3000000000000002E-2</v>
      </c>
      <c r="R66" s="7">
        <f t="shared" si="90"/>
        <v>9241.6830000000009</v>
      </c>
      <c r="S66" s="169" t="s">
        <v>97</v>
      </c>
      <c r="T66" s="106">
        <v>6846.83</v>
      </c>
      <c r="U66" s="9">
        <f t="shared" si="91"/>
        <v>41825.497000000003</v>
      </c>
      <c r="V66" s="14"/>
      <c r="W66" s="9">
        <v>9680.64</v>
      </c>
      <c r="X66" s="31">
        <f t="shared" si="92"/>
        <v>5.3968870686573946E-2</v>
      </c>
      <c r="Y66" s="39">
        <f t="shared" si="93"/>
        <v>6.6460131897965527E-2</v>
      </c>
      <c r="Z66" s="16"/>
      <c r="AA66" s="36">
        <f t="shared" si="76"/>
        <v>51506.137000000002</v>
      </c>
      <c r="AB66" s="94"/>
      <c r="AC66" s="146">
        <v>15014</v>
      </c>
      <c r="AD66" s="3">
        <v>15096</v>
      </c>
      <c r="AE66" s="69">
        <f t="shared" si="77"/>
        <v>30110</v>
      </c>
      <c r="AF66" s="113"/>
      <c r="AG66" s="7">
        <v>15116.23</v>
      </c>
      <c r="AH66" s="143">
        <v>1921.74</v>
      </c>
      <c r="AI66" s="9">
        <f t="shared" si="78"/>
        <v>13194.49</v>
      </c>
      <c r="AJ66" s="151"/>
      <c r="AK66" s="127">
        <f t="shared" si="79"/>
        <v>0.43820956492859514</v>
      </c>
      <c r="AL66" s="373"/>
      <c r="AM66" s="139">
        <v>24</v>
      </c>
      <c r="AN66" s="18">
        <v>163</v>
      </c>
      <c r="AO66" s="18">
        <v>412</v>
      </c>
      <c r="AP66" s="4">
        <f t="shared" si="80"/>
        <v>599</v>
      </c>
      <c r="AQ66" s="47"/>
      <c r="AR66" s="7">
        <v>212.51</v>
      </c>
      <c r="AS66" s="7">
        <v>108.72</v>
      </c>
      <c r="AT66" s="7">
        <v>471.3</v>
      </c>
      <c r="AU66" s="74">
        <f t="shared" si="81"/>
        <v>792.53</v>
      </c>
      <c r="AV66" s="133"/>
      <c r="AW66" s="127">
        <f t="shared" si="82"/>
        <v>1.3230884808013355</v>
      </c>
      <c r="AY66" s="95">
        <f t="shared" si="83"/>
        <v>65493.156999999999</v>
      </c>
      <c r="AZ66" s="95">
        <v>6426630.9900000002</v>
      </c>
      <c r="BB66" s="416"/>
      <c r="BC66" s="417"/>
      <c r="BD66" s="417"/>
      <c r="BE66" s="417"/>
      <c r="BF66" s="417"/>
      <c r="BG66" s="418"/>
    </row>
    <row r="67" spans="2:59" x14ac:dyDescent="0.25">
      <c r="B67" s="67" t="s">
        <v>56</v>
      </c>
      <c r="C67" s="3">
        <v>71181</v>
      </c>
      <c r="D67" s="3">
        <v>398760</v>
      </c>
      <c r="E67" s="4">
        <f t="shared" si="84"/>
        <v>469941</v>
      </c>
      <c r="F67" s="14"/>
      <c r="G67" s="3">
        <v>35536</v>
      </c>
      <c r="H67" s="3">
        <v>232440</v>
      </c>
      <c r="I67" s="4">
        <f t="shared" si="85"/>
        <v>267976</v>
      </c>
      <c r="J67" s="14"/>
      <c r="K67" s="3">
        <f t="shared" si="86"/>
        <v>106717</v>
      </c>
      <c r="L67" s="3">
        <f t="shared" si="87"/>
        <v>631200</v>
      </c>
      <c r="M67" s="4">
        <f t="shared" si="88"/>
        <v>737917</v>
      </c>
      <c r="N67" s="14"/>
      <c r="O67" s="8">
        <v>5.1999999999999998E-2</v>
      </c>
      <c r="P67" s="30">
        <f t="shared" si="89"/>
        <v>24436.931999999997</v>
      </c>
      <c r="Q67" s="8">
        <v>3.3000000000000002E-2</v>
      </c>
      <c r="R67" s="7">
        <f t="shared" si="90"/>
        <v>8843.2080000000005</v>
      </c>
      <c r="S67" s="168" t="s">
        <v>97</v>
      </c>
      <c r="T67" s="106">
        <v>6765.49</v>
      </c>
      <c r="U67" s="9">
        <f t="shared" si="91"/>
        <v>40045.629999999997</v>
      </c>
      <c r="V67" s="14"/>
      <c r="W67" s="9">
        <v>9523.7099999999991</v>
      </c>
      <c r="X67" s="31">
        <f t="shared" si="92"/>
        <v>5.4268474638746629E-2</v>
      </c>
      <c r="Y67" s="39">
        <f t="shared" si="93"/>
        <v>6.7174682247461426E-2</v>
      </c>
      <c r="Z67" s="16"/>
      <c r="AA67" s="36">
        <f t="shared" si="76"/>
        <v>49569.34</v>
      </c>
      <c r="AB67" s="94"/>
      <c r="AC67" s="146">
        <v>15527</v>
      </c>
      <c r="AD67" s="3">
        <v>7985</v>
      </c>
      <c r="AE67" s="69">
        <f t="shared" si="77"/>
        <v>23512</v>
      </c>
      <c r="AF67" s="113"/>
      <c r="AG67" s="7">
        <v>13330.33</v>
      </c>
      <c r="AH67" s="143">
        <v>1553.54</v>
      </c>
      <c r="AI67" s="9">
        <f t="shared" si="78"/>
        <v>11776.79</v>
      </c>
      <c r="AJ67" s="151"/>
      <c r="AK67" s="127">
        <f t="shared" si="79"/>
        <v>0.500884229329704</v>
      </c>
      <c r="AL67" s="373"/>
      <c r="AM67" s="138">
        <v>84</v>
      </c>
      <c r="AN67" s="3">
        <v>206</v>
      </c>
      <c r="AO67" s="3">
        <v>395</v>
      </c>
      <c r="AP67" s="4">
        <f t="shared" si="80"/>
        <v>685</v>
      </c>
      <c r="AQ67" s="47"/>
      <c r="AR67" s="7">
        <v>252.53</v>
      </c>
      <c r="AS67" s="100">
        <v>137.4</v>
      </c>
      <c r="AT67" s="7">
        <v>459.97</v>
      </c>
      <c r="AU67" s="74">
        <f t="shared" si="81"/>
        <v>849.90000000000009</v>
      </c>
      <c r="AV67" s="133"/>
      <c r="AW67" s="127">
        <f t="shared" si="82"/>
        <v>1.2407299270072993</v>
      </c>
      <c r="AY67" s="95">
        <f t="shared" si="83"/>
        <v>62196.03</v>
      </c>
      <c r="AZ67" s="435">
        <v>9644680.0199999996</v>
      </c>
      <c r="BB67" s="416"/>
      <c r="BC67" s="417"/>
      <c r="BD67" s="417"/>
      <c r="BE67" s="417"/>
      <c r="BF67" s="417"/>
      <c r="BG67" s="418"/>
    </row>
    <row r="68" spans="2:59" x14ac:dyDescent="0.25">
      <c r="B68" s="67" t="s">
        <v>57</v>
      </c>
      <c r="C68" s="3">
        <v>47875</v>
      </c>
      <c r="D68" s="3">
        <v>276420</v>
      </c>
      <c r="E68" s="4">
        <f t="shared" si="84"/>
        <v>324295</v>
      </c>
      <c r="F68" s="14"/>
      <c r="G68" s="3">
        <v>24108</v>
      </c>
      <c r="H68" s="3">
        <v>174360</v>
      </c>
      <c r="I68" s="4">
        <f t="shared" si="85"/>
        <v>198468</v>
      </c>
      <c r="J68" s="14"/>
      <c r="K68" s="3">
        <f t="shared" si="86"/>
        <v>71983</v>
      </c>
      <c r="L68" s="3">
        <f t="shared" si="87"/>
        <v>450780</v>
      </c>
      <c r="M68" s="4">
        <f t="shared" si="88"/>
        <v>522763</v>
      </c>
      <c r="N68" s="14"/>
      <c r="O68" s="8">
        <v>5.1999999999999998E-2</v>
      </c>
      <c r="P68" s="30">
        <f t="shared" si="89"/>
        <v>16863.34</v>
      </c>
      <c r="Q68" s="8">
        <v>3.3000000000000002E-2</v>
      </c>
      <c r="R68" s="7">
        <f t="shared" si="90"/>
        <v>6549.4440000000004</v>
      </c>
      <c r="S68" s="169" t="s">
        <v>97</v>
      </c>
      <c r="T68" s="106">
        <v>9539.68</v>
      </c>
      <c r="U68" s="9">
        <f t="shared" si="91"/>
        <v>32952.464</v>
      </c>
      <c r="V68" s="14"/>
      <c r="W68" s="9">
        <v>8053.57</v>
      </c>
      <c r="X68" s="31">
        <f t="shared" si="92"/>
        <v>6.3035188029757272E-2</v>
      </c>
      <c r="Y68" s="39">
        <f t="shared" si="93"/>
        <v>7.8440964643633926E-2</v>
      </c>
      <c r="Z68" s="16"/>
      <c r="AA68" s="36">
        <f t="shared" si="76"/>
        <v>41006.034</v>
      </c>
      <c r="AB68" s="94"/>
      <c r="AC68" s="147">
        <v>0</v>
      </c>
      <c r="AD68" s="54">
        <v>14869</v>
      </c>
      <c r="AE68" s="69">
        <f t="shared" si="77"/>
        <v>14869</v>
      </c>
      <c r="AF68" s="113"/>
      <c r="AG68" s="7">
        <v>11045.38</v>
      </c>
      <c r="AH68" s="143">
        <v>1948.22</v>
      </c>
      <c r="AI68" s="9">
        <f t="shared" si="78"/>
        <v>9097.16</v>
      </c>
      <c r="AJ68" s="151"/>
      <c r="AK68" s="127">
        <f t="shared" si="79"/>
        <v>0.61182056627883519</v>
      </c>
      <c r="AL68" s="373"/>
      <c r="AM68" s="139">
        <v>29</v>
      </c>
      <c r="AN68" s="18">
        <v>168</v>
      </c>
      <c r="AO68" s="18">
        <v>417</v>
      </c>
      <c r="AP68" s="4">
        <f t="shared" si="80"/>
        <v>614</v>
      </c>
      <c r="AQ68" s="47"/>
      <c r="AR68" s="7">
        <v>215.84</v>
      </c>
      <c r="AS68" s="7">
        <v>112.06</v>
      </c>
      <c r="AT68" s="7">
        <v>474.64</v>
      </c>
      <c r="AU68" s="74">
        <f t="shared" si="81"/>
        <v>802.54</v>
      </c>
      <c r="AV68" s="133"/>
      <c r="AW68" s="127">
        <f t="shared" si="82"/>
        <v>1.3070684039087948</v>
      </c>
      <c r="AY68" s="95">
        <f t="shared" si="83"/>
        <v>50905.734000000004</v>
      </c>
      <c r="AZ68" s="436"/>
      <c r="BB68" s="416"/>
      <c r="BC68" s="417"/>
      <c r="BD68" s="417"/>
      <c r="BE68" s="417"/>
      <c r="BF68" s="417"/>
      <c r="BG68" s="418"/>
    </row>
    <row r="69" spans="2:59" x14ac:dyDescent="0.25">
      <c r="B69" s="67" t="s">
        <v>58</v>
      </c>
      <c r="C69" s="3">
        <v>82497</v>
      </c>
      <c r="D69" s="3">
        <v>458370</v>
      </c>
      <c r="E69" s="4">
        <f t="shared" si="84"/>
        <v>540867</v>
      </c>
      <c r="F69" s="14"/>
      <c r="G69" s="3">
        <v>34304</v>
      </c>
      <c r="H69" s="3">
        <v>243930</v>
      </c>
      <c r="I69" s="4">
        <f t="shared" si="85"/>
        <v>278234</v>
      </c>
      <c r="J69" s="14"/>
      <c r="K69" s="3">
        <f t="shared" si="86"/>
        <v>116801</v>
      </c>
      <c r="L69" s="3">
        <f t="shared" si="87"/>
        <v>702300</v>
      </c>
      <c r="M69" s="4">
        <f t="shared" si="88"/>
        <v>819101</v>
      </c>
      <c r="N69" s="14"/>
      <c r="O69" s="8">
        <v>5.1999999999999998E-2</v>
      </c>
      <c r="P69" s="30">
        <f t="shared" si="89"/>
        <v>28125.083999999999</v>
      </c>
      <c r="Q69" s="8">
        <v>3.3000000000000002E-2</v>
      </c>
      <c r="R69" s="7">
        <f t="shared" si="90"/>
        <v>9181.7219999999998</v>
      </c>
      <c r="S69" s="168" t="s">
        <v>97</v>
      </c>
      <c r="T69" s="106">
        <v>10854.47</v>
      </c>
      <c r="U69" s="9">
        <f t="shared" si="91"/>
        <v>48161.275999999998</v>
      </c>
      <c r="V69" s="14"/>
      <c r="W69" s="9">
        <v>10036.43</v>
      </c>
      <c r="X69" s="31">
        <f t="shared" si="92"/>
        <v>5.8797725799382493E-2</v>
      </c>
      <c r="Y69" s="39">
        <f t="shared" si="93"/>
        <v>7.1050708032342771E-2</v>
      </c>
      <c r="Z69" s="16"/>
      <c r="AA69" s="36">
        <f t="shared" si="76"/>
        <v>58197.705999999998</v>
      </c>
      <c r="AB69" s="94"/>
      <c r="AC69" s="146">
        <v>15725</v>
      </c>
      <c r="AD69" s="3">
        <v>15542</v>
      </c>
      <c r="AE69" s="69">
        <f t="shared" si="77"/>
        <v>31267</v>
      </c>
      <c r="AF69" s="113"/>
      <c r="AG69" s="7">
        <v>17774.52</v>
      </c>
      <c r="AH69" s="143">
        <v>2809.01</v>
      </c>
      <c r="AI69" s="9">
        <f t="shared" si="78"/>
        <v>14965.51</v>
      </c>
      <c r="AJ69" s="151"/>
      <c r="AK69" s="127">
        <f t="shared" si="79"/>
        <v>0.47863594204752613</v>
      </c>
      <c r="AL69" s="373"/>
      <c r="AM69" s="139">
        <v>29</v>
      </c>
      <c r="AN69" s="18">
        <v>168</v>
      </c>
      <c r="AO69" s="18">
        <v>417</v>
      </c>
      <c r="AP69" s="4">
        <f t="shared" si="80"/>
        <v>614</v>
      </c>
      <c r="AQ69" s="47"/>
      <c r="AR69" s="7">
        <v>215.84</v>
      </c>
      <c r="AS69" s="7">
        <v>112.06</v>
      </c>
      <c r="AT69" s="7">
        <v>474.64</v>
      </c>
      <c r="AU69" s="74">
        <f t="shared" si="81"/>
        <v>802.54</v>
      </c>
      <c r="AV69" s="133"/>
      <c r="AW69" s="127">
        <f t="shared" si="82"/>
        <v>1.3070684039087948</v>
      </c>
      <c r="AY69" s="95">
        <f t="shared" si="83"/>
        <v>73965.755999999994</v>
      </c>
      <c r="AZ69" s="95">
        <v>7932112.3600000003</v>
      </c>
      <c r="BB69" s="416"/>
      <c r="BC69" s="417"/>
      <c r="BD69" s="417"/>
      <c r="BE69" s="417"/>
      <c r="BF69" s="417"/>
      <c r="BG69" s="418"/>
    </row>
    <row r="70" spans="2:59" x14ac:dyDescent="0.25">
      <c r="B70" s="67" t="s">
        <v>59</v>
      </c>
      <c r="C70" s="3">
        <v>78404</v>
      </c>
      <c r="D70" s="3">
        <v>438420</v>
      </c>
      <c r="E70" s="4">
        <f t="shared" si="84"/>
        <v>516824</v>
      </c>
      <c r="F70" s="14"/>
      <c r="G70" s="3">
        <v>32017</v>
      </c>
      <c r="H70" s="3">
        <v>235440</v>
      </c>
      <c r="I70" s="4">
        <f t="shared" si="85"/>
        <v>267457</v>
      </c>
      <c r="J70" s="14"/>
      <c r="K70" s="3">
        <f t="shared" si="86"/>
        <v>110421</v>
      </c>
      <c r="L70" s="3">
        <f t="shared" si="87"/>
        <v>673860</v>
      </c>
      <c r="M70" s="4">
        <f t="shared" si="88"/>
        <v>784281</v>
      </c>
      <c r="N70" s="14"/>
      <c r="O70" s="8">
        <v>5.1999999999999998E-2</v>
      </c>
      <c r="P70" s="30">
        <f t="shared" si="89"/>
        <v>26874.847999999998</v>
      </c>
      <c r="Q70" s="8">
        <v>3.3000000000000002E-2</v>
      </c>
      <c r="R70" s="7">
        <f t="shared" si="90"/>
        <v>8826.0810000000001</v>
      </c>
      <c r="S70" s="169" t="s">
        <v>97</v>
      </c>
      <c r="T70" s="106">
        <v>10589.06</v>
      </c>
      <c r="U70" s="9">
        <f t="shared" si="91"/>
        <v>46289.988999999994</v>
      </c>
      <c r="V70" s="14"/>
      <c r="W70" s="9">
        <v>13293.85</v>
      </c>
      <c r="X70" s="31">
        <f t="shared" si="92"/>
        <v>5.9022198676239757E-2</v>
      </c>
      <c r="Y70" s="39">
        <f t="shared" si="93"/>
        <v>7.597256468026127E-2</v>
      </c>
      <c r="Z70" s="16"/>
      <c r="AA70" s="36">
        <f t="shared" si="76"/>
        <v>59583.838999999993</v>
      </c>
      <c r="AB70" s="94"/>
      <c r="AC70" s="146">
        <v>20112</v>
      </c>
      <c r="AD70" s="3">
        <v>19704</v>
      </c>
      <c r="AE70" s="69">
        <f t="shared" si="77"/>
        <v>39816</v>
      </c>
      <c r="AF70" s="113"/>
      <c r="AG70" s="7">
        <v>25600.959999999999</v>
      </c>
      <c r="AH70" s="143">
        <v>9427.8539999999994</v>
      </c>
      <c r="AI70" s="9">
        <f t="shared" si="78"/>
        <v>16173.106</v>
      </c>
      <c r="AJ70" s="151"/>
      <c r="AK70" s="127">
        <f t="shared" si="79"/>
        <v>0.40619615230058265</v>
      </c>
      <c r="AL70" s="373"/>
      <c r="AM70" s="138">
        <v>28</v>
      </c>
      <c r="AN70" s="3">
        <v>99</v>
      </c>
      <c r="AO70" s="3">
        <v>473</v>
      </c>
      <c r="AP70" s="4">
        <f t="shared" si="80"/>
        <v>600</v>
      </c>
      <c r="AQ70" s="47"/>
      <c r="AR70" s="7">
        <v>215.18</v>
      </c>
      <c r="AS70" s="100">
        <v>66.03</v>
      </c>
      <c r="AT70" s="100">
        <v>511.99</v>
      </c>
      <c r="AU70" s="74">
        <f t="shared" si="81"/>
        <v>793.2</v>
      </c>
      <c r="AV70" s="133"/>
      <c r="AW70" s="127">
        <f t="shared" si="82"/>
        <v>1.3220000000000001</v>
      </c>
      <c r="AY70" s="95">
        <f t="shared" si="83"/>
        <v>76550.14499999999</v>
      </c>
      <c r="AZ70" s="95">
        <v>7674263</v>
      </c>
      <c r="BB70" s="416"/>
      <c r="BC70" s="417"/>
      <c r="BD70" s="417"/>
      <c r="BE70" s="417"/>
      <c r="BF70" s="417"/>
      <c r="BG70" s="418"/>
    </row>
    <row r="71" spans="2:59" x14ac:dyDescent="0.25">
      <c r="B71" s="67" t="s">
        <v>60</v>
      </c>
      <c r="C71" s="3">
        <v>78040</v>
      </c>
      <c r="D71" s="3">
        <v>437670</v>
      </c>
      <c r="E71" s="4">
        <f t="shared" si="84"/>
        <v>515710</v>
      </c>
      <c r="F71" s="14"/>
      <c r="G71" s="3">
        <v>34826</v>
      </c>
      <c r="H71" s="3">
        <v>241410</v>
      </c>
      <c r="I71" s="4">
        <f t="shared" si="85"/>
        <v>276236</v>
      </c>
      <c r="J71" s="14"/>
      <c r="K71" s="3">
        <f t="shared" si="86"/>
        <v>112866</v>
      </c>
      <c r="L71" s="3">
        <f t="shared" si="87"/>
        <v>679080</v>
      </c>
      <c r="M71" s="4">
        <f t="shared" si="88"/>
        <v>791946</v>
      </c>
      <c r="N71" s="14"/>
      <c r="O71" s="8">
        <v>5.1999999999999998E-2</v>
      </c>
      <c r="P71" s="30">
        <f t="shared" si="89"/>
        <v>26816.92</v>
      </c>
      <c r="Q71" s="8">
        <v>3.3000000000000002E-2</v>
      </c>
      <c r="R71" s="7">
        <f t="shared" si="90"/>
        <v>9115.7880000000005</v>
      </c>
      <c r="S71" s="168" t="s">
        <v>97</v>
      </c>
      <c r="T71" s="106">
        <v>10798.36</v>
      </c>
      <c r="U71" s="9">
        <f t="shared" si="91"/>
        <v>46731.067999999999</v>
      </c>
      <c r="V71" s="14"/>
      <c r="W71" s="9">
        <v>13503.07</v>
      </c>
      <c r="X71" s="31">
        <f t="shared" si="92"/>
        <v>5.9007897003078492E-2</v>
      </c>
      <c r="Y71" s="39">
        <f t="shared" si="93"/>
        <v>7.6058390344796237E-2</v>
      </c>
      <c r="Z71" s="16"/>
      <c r="AA71" s="36">
        <f t="shared" si="76"/>
        <v>60234.137999999999</v>
      </c>
      <c r="AB71" s="94"/>
      <c r="AC71" s="146">
        <v>30247</v>
      </c>
      <c r="AD71" s="3">
        <v>43064</v>
      </c>
      <c r="AE71" s="69">
        <f t="shared" si="77"/>
        <v>73311</v>
      </c>
      <c r="AF71" s="113"/>
      <c r="AG71" s="7">
        <v>37529.589999999997</v>
      </c>
      <c r="AH71" s="143">
        <v>11958.55</v>
      </c>
      <c r="AI71" s="9">
        <f t="shared" si="78"/>
        <v>25571.039999999997</v>
      </c>
      <c r="AJ71" s="151"/>
      <c r="AK71" s="127">
        <f t="shared" si="79"/>
        <v>0.34880222613250395</v>
      </c>
      <c r="AL71" s="373"/>
      <c r="AM71" s="139">
        <v>29</v>
      </c>
      <c r="AN71" s="18">
        <v>168</v>
      </c>
      <c r="AO71" s="18">
        <v>417</v>
      </c>
      <c r="AP71" s="4">
        <f t="shared" si="80"/>
        <v>614</v>
      </c>
      <c r="AQ71" s="47"/>
      <c r="AR71" s="7">
        <v>215.84</v>
      </c>
      <c r="AS71" s="7">
        <v>112.06</v>
      </c>
      <c r="AT71" s="7">
        <v>474.64</v>
      </c>
      <c r="AU71" s="74">
        <f t="shared" si="81"/>
        <v>802.54</v>
      </c>
      <c r="AV71" s="133"/>
      <c r="AW71" s="127">
        <f t="shared" si="82"/>
        <v>1.3070684039087948</v>
      </c>
      <c r="AY71" s="95">
        <f t="shared" si="83"/>
        <v>86607.717999999993</v>
      </c>
      <c r="AZ71" s="95">
        <v>7727213</v>
      </c>
      <c r="BB71" s="416"/>
      <c r="BC71" s="417"/>
      <c r="BD71" s="417"/>
      <c r="BE71" s="417"/>
      <c r="BF71" s="417"/>
      <c r="BG71" s="418"/>
    </row>
    <row r="72" spans="2:59" ht="15.75" thickBot="1" x14ac:dyDescent="0.3">
      <c r="B72" s="67" t="s">
        <v>61</v>
      </c>
      <c r="C72" s="18">
        <v>63376</v>
      </c>
      <c r="D72" s="18">
        <v>349470</v>
      </c>
      <c r="E72" s="19">
        <f t="shared" si="84"/>
        <v>412846</v>
      </c>
      <c r="F72" s="14"/>
      <c r="G72" s="18">
        <v>29343</v>
      </c>
      <c r="H72" s="18">
        <v>193500</v>
      </c>
      <c r="I72" s="19">
        <f t="shared" si="85"/>
        <v>222843</v>
      </c>
      <c r="J72" s="14"/>
      <c r="K72" s="18">
        <f t="shared" si="86"/>
        <v>92719</v>
      </c>
      <c r="L72" s="18">
        <f t="shared" si="87"/>
        <v>542970</v>
      </c>
      <c r="M72" s="19">
        <f t="shared" si="88"/>
        <v>635689</v>
      </c>
      <c r="N72" s="14"/>
      <c r="O72" s="8">
        <v>5.1999999999999998E-2</v>
      </c>
      <c r="P72" s="43">
        <f>E72*O72</f>
        <v>21467.991999999998</v>
      </c>
      <c r="Q72" s="8">
        <v>3.3000000000000002E-2</v>
      </c>
      <c r="R72" s="21">
        <f>I72*Q72</f>
        <v>7353.8190000000004</v>
      </c>
      <c r="S72" s="169" t="s">
        <v>97</v>
      </c>
      <c r="T72" s="106">
        <v>10100.530000000001</v>
      </c>
      <c r="U72" s="22">
        <f>P72+R72+T72</f>
        <v>38922.341</v>
      </c>
      <c r="V72" s="14"/>
      <c r="W72" s="22">
        <v>12080.81</v>
      </c>
      <c r="X72" s="32">
        <f t="shared" si="92"/>
        <v>6.1228589766379474E-2</v>
      </c>
      <c r="Y72" s="44">
        <f t="shared" si="93"/>
        <v>8.0232867015159928E-2</v>
      </c>
      <c r="Z72" s="16"/>
      <c r="AA72" s="45">
        <f>U72+W72</f>
        <v>51003.150999999998</v>
      </c>
      <c r="AB72" s="94"/>
      <c r="AC72" s="148">
        <v>54726.828999999998</v>
      </c>
      <c r="AD72" s="18">
        <v>35790.959999999999</v>
      </c>
      <c r="AE72" s="69">
        <f t="shared" si="77"/>
        <v>90517.78899999999</v>
      </c>
      <c r="AF72" s="114"/>
      <c r="AG72" s="50">
        <v>47576.21</v>
      </c>
      <c r="AH72" s="144">
        <v>17618.25</v>
      </c>
      <c r="AI72" s="9">
        <f t="shared" si="78"/>
        <v>29957.96</v>
      </c>
      <c r="AJ72" s="152"/>
      <c r="AK72" s="127">
        <f t="shared" si="79"/>
        <v>0.33096212723446</v>
      </c>
      <c r="AL72" s="373"/>
      <c r="AM72" s="139">
        <v>29</v>
      </c>
      <c r="AN72" s="18">
        <v>168</v>
      </c>
      <c r="AO72" s="18">
        <v>417</v>
      </c>
      <c r="AP72" s="4">
        <f t="shared" si="80"/>
        <v>614</v>
      </c>
      <c r="AQ72" s="52"/>
      <c r="AR72" s="50">
        <v>215.84</v>
      </c>
      <c r="AS72" s="50">
        <v>112.06</v>
      </c>
      <c r="AT72" s="50">
        <v>474.64</v>
      </c>
      <c r="AU72" s="91">
        <f t="shared" si="81"/>
        <v>802.54</v>
      </c>
      <c r="AV72" s="134"/>
      <c r="AW72" s="128">
        <f t="shared" si="82"/>
        <v>1.3070684039087948</v>
      </c>
      <c r="AY72" s="95">
        <f>AA72+AI72+AU72</f>
        <v>81763.650999999998</v>
      </c>
      <c r="AZ72" s="95">
        <v>5334702</v>
      </c>
      <c r="BB72" s="416"/>
      <c r="BC72" s="417"/>
      <c r="BD72" s="417"/>
      <c r="BE72" s="417"/>
      <c r="BF72" s="417"/>
      <c r="BG72" s="418"/>
    </row>
    <row r="73" spans="2:59" ht="15.75" thickBot="1" x14ac:dyDescent="0.3">
      <c r="B73" s="48">
        <v>2015</v>
      </c>
      <c r="C73" s="23">
        <f>SUM(C61:C72)</f>
        <v>922290</v>
      </c>
      <c r="D73" s="23">
        <f>SUM(D61:D72)</f>
        <v>4856370</v>
      </c>
      <c r="E73" s="27">
        <f>SUM(E61:E72)</f>
        <v>5778660</v>
      </c>
      <c r="F73" s="23"/>
      <c r="G73" s="23">
        <f>SUM(G61:G72)</f>
        <v>443111</v>
      </c>
      <c r="H73" s="23">
        <f>SUM(H61:H72)</f>
        <v>2691510</v>
      </c>
      <c r="I73" s="27">
        <f>SUM(I61:I72)</f>
        <v>3134621</v>
      </c>
      <c r="J73" s="23"/>
      <c r="K73" s="23">
        <f>SUM(K61:K72)</f>
        <v>1365401</v>
      </c>
      <c r="L73" s="23">
        <f>SUM(L61:L72)</f>
        <v>7547880</v>
      </c>
      <c r="M73" s="27">
        <f>SUM(M61:M72)</f>
        <v>8913281</v>
      </c>
      <c r="N73" s="23"/>
      <c r="O73" s="107">
        <f>SUM(O61:O72)/COUNTA(O61:O72)</f>
        <v>5.2000000000000011E-2</v>
      </c>
      <c r="P73" s="26">
        <f>SUM(P61:P72)</f>
        <v>300490.31999999995</v>
      </c>
      <c r="Q73" s="107">
        <f>SUM(Q61:Q72)/COUNTA(Q61:Q72)</f>
        <v>3.3000000000000008E-2</v>
      </c>
      <c r="R73" s="26">
        <f>SUM(R61:R72)</f>
        <v>103442.49300000002</v>
      </c>
      <c r="S73" s="170" t="s">
        <v>97</v>
      </c>
      <c r="T73" s="26">
        <f>SUM(T61:T72)</f>
        <v>99861.01999999999</v>
      </c>
      <c r="U73" s="28">
        <f>SUM(U61:U72)</f>
        <v>503793.83299999998</v>
      </c>
      <c r="V73" s="23"/>
      <c r="W73" s="28">
        <f>SUM(W61:W72)</f>
        <v>135557.67000000001</v>
      </c>
      <c r="X73" s="25">
        <f>(U73)/M73</f>
        <v>5.6521704297216702E-2</v>
      </c>
      <c r="Y73" s="40">
        <f>(U73+W73)/M73</f>
        <v>7.1730208326204456E-2</v>
      </c>
      <c r="Z73" s="35"/>
      <c r="AA73" s="37">
        <f>SUM(AA61:AA72)</f>
        <v>639351.50300000003</v>
      </c>
      <c r="AB73" s="94"/>
      <c r="AC73" s="149">
        <f>SUM(AC61:AC72)</f>
        <v>341512.82900000003</v>
      </c>
      <c r="AD73" s="140">
        <f>SUM(AD61:AD72)</f>
        <v>305898.96000000002</v>
      </c>
      <c r="AE73" s="140">
        <f>SUM(AE61:AE72)</f>
        <v>647411.78899999999</v>
      </c>
      <c r="AF73" s="153"/>
      <c r="AG73" s="136">
        <f>SUM(AG61:AG72)</f>
        <v>353685.73000000004</v>
      </c>
      <c r="AH73" s="136">
        <f>SUM(AH61:AH72)</f>
        <v>111753.52399999999</v>
      </c>
      <c r="AI73" s="28">
        <f>SUM(AI61:AI72)</f>
        <v>241932.20600000003</v>
      </c>
      <c r="AJ73" s="134"/>
      <c r="AK73" s="159">
        <f>AI73/AE73</f>
        <v>0.3736913817613538</v>
      </c>
      <c r="AL73" s="373"/>
      <c r="AM73" s="140">
        <f>SUM(AM61:AM72)</f>
        <v>350</v>
      </c>
      <c r="AN73" s="23">
        <f>SUM(AN61:AN72)</f>
        <v>1982</v>
      </c>
      <c r="AO73" s="23">
        <f>SUM(AO61:AO72)</f>
        <v>5123</v>
      </c>
      <c r="AP73" s="27">
        <f>SUM(AP61:AP72)</f>
        <v>7455</v>
      </c>
      <c r="AQ73" s="49"/>
      <c r="AR73" s="51">
        <f>SUM(AR61:AR72)</f>
        <v>2610.12</v>
      </c>
      <c r="AS73" s="51">
        <f>SUM(AS61:AS72)</f>
        <v>1322.0099999999998</v>
      </c>
      <c r="AT73" s="51">
        <f>SUM(AT61:AT72)</f>
        <v>5775.0300000000007</v>
      </c>
      <c r="AU73" s="28">
        <f t="shared" si="81"/>
        <v>9707.16</v>
      </c>
      <c r="AV73" s="132"/>
      <c r="AW73" s="131">
        <f>AU73/AP73</f>
        <v>1.3021006036217304</v>
      </c>
      <c r="AY73" s="96">
        <f>AA73+AI73+AU73</f>
        <v>890990.86900000006</v>
      </c>
      <c r="AZ73" s="96">
        <f>SUM(AZ61:AZ72)</f>
        <v>82265003.840000004</v>
      </c>
      <c r="BB73" s="419"/>
      <c r="BC73" s="420"/>
      <c r="BD73" s="420"/>
      <c r="BE73" s="420"/>
      <c r="BF73" s="420"/>
      <c r="BG73" s="421"/>
    </row>
    <row r="74" spans="2:59" ht="15.75" thickBot="1" x14ac:dyDescent="0.3">
      <c r="B74" s="188"/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15"/>
      <c r="X74" s="15"/>
      <c r="Y74" s="15"/>
      <c r="Z74" s="15"/>
      <c r="AA74" s="15"/>
      <c r="AB74" s="14"/>
      <c r="AC74" s="15"/>
      <c r="AK74" s="14"/>
      <c r="AM74" s="188"/>
      <c r="AN74" s="188"/>
      <c r="AO74" s="188"/>
      <c r="AP74" s="188"/>
      <c r="AR74" s="188"/>
      <c r="AS74" s="188"/>
      <c r="AT74" s="188"/>
      <c r="AW74" s="188"/>
    </row>
    <row r="75" spans="2:59" x14ac:dyDescent="0.25">
      <c r="B75" s="187" t="s">
        <v>99</v>
      </c>
      <c r="C75" s="68">
        <v>79555</v>
      </c>
      <c r="D75" s="68">
        <v>417420</v>
      </c>
      <c r="E75" s="69">
        <f>C75+D75</f>
        <v>496975</v>
      </c>
      <c r="F75" s="14"/>
      <c r="G75" s="68">
        <v>36967</v>
      </c>
      <c r="H75" s="68">
        <v>236520</v>
      </c>
      <c r="I75" s="69">
        <f>G75+H75</f>
        <v>273487</v>
      </c>
      <c r="J75" s="14"/>
      <c r="K75" s="68">
        <f>C75+G75</f>
        <v>116522</v>
      </c>
      <c r="L75" s="68">
        <f>D75+H75</f>
        <v>653940</v>
      </c>
      <c r="M75" s="208">
        <f>K75+L75</f>
        <v>770462</v>
      </c>
      <c r="N75" s="14"/>
      <c r="O75" s="89">
        <v>4.9399999999999999E-2</v>
      </c>
      <c r="P75" s="71">
        <f>E75*O75</f>
        <v>24550.564999999999</v>
      </c>
      <c r="Q75" s="90">
        <v>3.2000000000000001E-2</v>
      </c>
      <c r="R75" s="71">
        <f>I75*Q75</f>
        <v>8751.5840000000007</v>
      </c>
      <c r="S75" s="168" t="s">
        <v>97</v>
      </c>
      <c r="T75" s="106">
        <v>10695.69</v>
      </c>
      <c r="U75" s="264">
        <f>P75+R75+T75</f>
        <v>43997.839</v>
      </c>
      <c r="V75" s="14"/>
      <c r="W75" s="74">
        <v>13191.43</v>
      </c>
      <c r="X75" s="75">
        <f>U75/M75</f>
        <v>5.7105787177044426E-2</v>
      </c>
      <c r="Y75" s="213">
        <f>(U75+W75)/M75</f>
        <v>7.4227241577131647E-2</v>
      </c>
      <c r="Z75" s="16"/>
      <c r="AA75" s="201">
        <f>U75+W75</f>
        <v>57189.269</v>
      </c>
      <c r="AB75" s="94"/>
      <c r="AC75" s="145">
        <v>51516.568429999999</v>
      </c>
      <c r="AD75" s="58">
        <v>60086.660709999996</v>
      </c>
      <c r="AE75" s="211">
        <f>AC75+AD75</f>
        <v>111603.22914</v>
      </c>
      <c r="AF75" s="155"/>
      <c r="AG75" s="61">
        <f>46018.63+8075.54</f>
        <v>54094.17</v>
      </c>
      <c r="AH75" s="156">
        <v>19787.418730000001</v>
      </c>
      <c r="AI75" s="204">
        <f>AG75-AH75</f>
        <v>34306.751269999993</v>
      </c>
      <c r="AJ75" s="157"/>
      <c r="AK75" s="216">
        <f>AI75/AE75</f>
        <v>0.3073992709204148</v>
      </c>
      <c r="AL75" s="122"/>
      <c r="AM75" s="189">
        <v>26</v>
      </c>
      <c r="AN75" s="190">
        <v>197</v>
      </c>
      <c r="AO75" s="190">
        <v>552</v>
      </c>
      <c r="AP75" s="208">
        <f>SUM(AM75:AO75)</f>
        <v>775</v>
      </c>
      <c r="AQ75" s="47"/>
      <c r="AR75" s="191">
        <v>213.84</v>
      </c>
      <c r="AS75" s="192">
        <v>131.4</v>
      </c>
      <c r="AT75" s="192">
        <v>564.67999999999995</v>
      </c>
      <c r="AU75" s="204">
        <f>SUM(AR75:AT75)</f>
        <v>909.92</v>
      </c>
      <c r="AV75" s="133"/>
      <c r="AW75" s="218">
        <f>AU75/AP75</f>
        <v>1.1740903225806452</v>
      </c>
      <c r="AY75" s="95">
        <f>AA75+AI75+AU75</f>
        <v>92405.940269999992</v>
      </c>
      <c r="AZ75" s="173">
        <v>7009326</v>
      </c>
      <c r="BB75" s="413" t="s">
        <v>264</v>
      </c>
      <c r="BC75" s="414"/>
      <c r="BD75" s="414"/>
      <c r="BE75" s="414"/>
      <c r="BF75" s="414"/>
      <c r="BG75" s="415"/>
    </row>
    <row r="76" spans="2:59" x14ac:dyDescent="0.25">
      <c r="B76" s="176" t="s">
        <v>100</v>
      </c>
      <c r="C76" s="3">
        <v>79784</v>
      </c>
      <c r="D76" s="3">
        <v>418020</v>
      </c>
      <c r="E76" s="4">
        <f>C76+D76</f>
        <v>497804</v>
      </c>
      <c r="F76" s="14"/>
      <c r="G76" s="3">
        <v>40082</v>
      </c>
      <c r="H76" s="3">
        <v>214560</v>
      </c>
      <c r="I76" s="4">
        <f>G76+H76</f>
        <v>254642</v>
      </c>
      <c r="J76" s="14"/>
      <c r="K76" s="3">
        <f>C76+G76</f>
        <v>119866</v>
      </c>
      <c r="L76" s="3">
        <f>D76+H76</f>
        <v>632580</v>
      </c>
      <c r="M76" s="209">
        <f>K76+L76</f>
        <v>752446</v>
      </c>
      <c r="N76" s="14"/>
      <c r="O76" s="177">
        <v>4.9399999999999999E-2</v>
      </c>
      <c r="P76" s="7">
        <f>E76*O76</f>
        <v>24591.517599999999</v>
      </c>
      <c r="Q76" s="178">
        <v>3.2000000000000001E-2</v>
      </c>
      <c r="R76" s="7">
        <f>I76*Q76</f>
        <v>8148.5439999999999</v>
      </c>
      <c r="S76" s="169" t="s">
        <v>97</v>
      </c>
      <c r="T76" s="106">
        <f>1816.8+9043.63</f>
        <v>10860.429999999998</v>
      </c>
      <c r="U76" s="105">
        <f>P76+R76+T76</f>
        <v>43600.491600000001</v>
      </c>
      <c r="V76" s="14"/>
      <c r="W76" s="9">
        <f>2189.37+11075.43</f>
        <v>13264.8</v>
      </c>
      <c r="X76" s="31">
        <f>U76/M76</f>
        <v>5.7945010804762068E-2</v>
      </c>
      <c r="Y76" s="214">
        <f>(U76+W76)/M76</f>
        <v>7.5573917065144866E-2</v>
      </c>
      <c r="Z76" s="16"/>
      <c r="AA76" s="202">
        <f t="shared" ref="AA76:AA83" si="94">U76+W76</f>
        <v>56865.291599999997</v>
      </c>
      <c r="AB76" s="94"/>
      <c r="AC76" s="146">
        <v>37126.728999999999</v>
      </c>
      <c r="AD76" s="3">
        <v>35960.182000000001</v>
      </c>
      <c r="AE76" s="208">
        <f t="shared" ref="AE76:AE86" si="95">AC76+AD76</f>
        <v>73086.910999999993</v>
      </c>
      <c r="AF76" s="113"/>
      <c r="AG76" s="7">
        <v>36429.699999999997</v>
      </c>
      <c r="AH76" s="143">
        <v>14421.03462</v>
      </c>
      <c r="AI76" s="205">
        <f t="shared" ref="AI76:AI86" si="96">AG76-AH76</f>
        <v>22008.665379999999</v>
      </c>
      <c r="AJ76" s="151"/>
      <c r="AK76" s="217">
        <f t="shared" ref="AK76:AK85" si="97">AI76/AE76</f>
        <v>0.30113005295845657</v>
      </c>
      <c r="AL76" s="122"/>
      <c r="AM76" s="139">
        <v>29</v>
      </c>
      <c r="AN76" s="18">
        <v>168</v>
      </c>
      <c r="AO76" s="18">
        <v>417</v>
      </c>
      <c r="AP76" s="209">
        <f t="shared" ref="AP76:AP86" si="98">SUM(AM76:AO76)</f>
        <v>614</v>
      </c>
      <c r="AQ76" s="47"/>
      <c r="AR76" s="7">
        <v>215.84</v>
      </c>
      <c r="AS76" s="7">
        <v>112.06</v>
      </c>
      <c r="AT76" s="7">
        <v>474.64</v>
      </c>
      <c r="AU76" s="206">
        <f t="shared" ref="AU76:AU87" si="99">SUM(AR76:AT76)</f>
        <v>802.54</v>
      </c>
      <c r="AV76" s="133"/>
      <c r="AW76" s="217">
        <f t="shared" ref="AW76:AW86" si="100">AU76/AP76</f>
        <v>1.3070684039087948</v>
      </c>
      <c r="AY76" s="95">
        <f t="shared" ref="AY76:AY84" si="101">AA76+AI76+AU76</f>
        <v>79676.496979999982</v>
      </c>
      <c r="AZ76" s="95">
        <v>7854649</v>
      </c>
      <c r="BB76" s="416"/>
      <c r="BC76" s="417"/>
      <c r="BD76" s="417"/>
      <c r="BE76" s="417"/>
      <c r="BF76" s="417"/>
      <c r="BG76" s="418"/>
    </row>
    <row r="77" spans="2:59" x14ac:dyDescent="0.25">
      <c r="B77" s="176" t="s">
        <v>101</v>
      </c>
      <c r="C77" s="3">
        <v>86438</v>
      </c>
      <c r="D77" s="3">
        <v>443760</v>
      </c>
      <c r="E77" s="4">
        <f t="shared" ref="E77:E85" si="102">C77+D77</f>
        <v>530198</v>
      </c>
      <c r="F77" s="14"/>
      <c r="G77" s="3">
        <v>39229</v>
      </c>
      <c r="H77" s="3">
        <v>210840</v>
      </c>
      <c r="I77" s="4">
        <f t="shared" ref="I77:I85" si="103">G77+H77</f>
        <v>250069</v>
      </c>
      <c r="J77" s="14"/>
      <c r="K77" s="3">
        <f t="shared" ref="K77:K85" si="104">C77+G77</f>
        <v>125667</v>
      </c>
      <c r="L77" s="3">
        <f t="shared" ref="L77:L85" si="105">D77+H77</f>
        <v>654600</v>
      </c>
      <c r="M77" s="209">
        <f t="shared" ref="M77:M85" si="106">K77+L77</f>
        <v>780267</v>
      </c>
      <c r="N77" s="14"/>
      <c r="O77" s="177">
        <v>4.9399999999999999E-2</v>
      </c>
      <c r="P77" s="30">
        <f t="shared" ref="P77:P83" si="107">E77*O77</f>
        <v>26191.781200000001</v>
      </c>
      <c r="Q77" s="178">
        <v>3.2000000000000001E-2</v>
      </c>
      <c r="R77" s="7">
        <f t="shared" ref="R77:R84" si="108">I77*Q77</f>
        <v>8002.2080000000005</v>
      </c>
      <c r="S77" s="168" t="s">
        <v>97</v>
      </c>
      <c r="T77" s="106">
        <v>10810.23</v>
      </c>
      <c r="U77" s="105">
        <f t="shared" ref="U77:U85" si="109">P77+R77+T77</f>
        <v>45004.219200000007</v>
      </c>
      <c r="V77" s="14"/>
      <c r="W77" s="9">
        <v>13272.47</v>
      </c>
      <c r="X77" s="31">
        <f t="shared" ref="X77:X86" si="110">U77/M77</f>
        <v>5.7677973309136495E-2</v>
      </c>
      <c r="Y77" s="214">
        <f t="shared" ref="Y77:Y86" si="111">(U77+W77)/M77</f>
        <v>7.4688137778478408E-2</v>
      </c>
      <c r="Z77" s="16"/>
      <c r="AA77" s="202">
        <f t="shared" si="94"/>
        <v>58276.689200000008</v>
      </c>
      <c r="AB77" s="94"/>
      <c r="AC77" s="146">
        <v>40308.40855</v>
      </c>
      <c r="AD77" s="3">
        <v>30898.864000000001</v>
      </c>
      <c r="AE77" s="208">
        <f t="shared" si="95"/>
        <v>71207.272549999994</v>
      </c>
      <c r="AF77" s="113"/>
      <c r="AG77" s="7">
        <v>31640.37</v>
      </c>
      <c r="AH77" s="143">
        <v>10915.4018</v>
      </c>
      <c r="AI77" s="205">
        <f t="shared" si="96"/>
        <v>20724.968199999999</v>
      </c>
      <c r="AJ77" s="151"/>
      <c r="AK77" s="217">
        <f t="shared" si="97"/>
        <v>0.29105128532268154</v>
      </c>
      <c r="AL77" s="122"/>
      <c r="AM77" s="139">
        <v>29</v>
      </c>
      <c r="AN77" s="18">
        <v>168</v>
      </c>
      <c r="AO77" s="18">
        <v>417</v>
      </c>
      <c r="AP77" s="209">
        <f t="shared" si="98"/>
        <v>614</v>
      </c>
      <c r="AQ77" s="47"/>
      <c r="AR77" s="7">
        <v>215.84</v>
      </c>
      <c r="AS77" s="7">
        <v>112.06</v>
      </c>
      <c r="AT77" s="7">
        <v>474.64</v>
      </c>
      <c r="AU77" s="206">
        <f t="shared" si="99"/>
        <v>802.54</v>
      </c>
      <c r="AV77" s="133"/>
      <c r="AW77" s="217">
        <f t="shared" si="100"/>
        <v>1.3070684039087948</v>
      </c>
      <c r="AY77" s="95">
        <f t="shared" si="101"/>
        <v>79804.197400000005</v>
      </c>
      <c r="AZ77" s="95">
        <v>7958823</v>
      </c>
      <c r="BB77" s="416"/>
      <c r="BC77" s="417"/>
      <c r="BD77" s="417"/>
      <c r="BE77" s="417"/>
      <c r="BF77" s="417"/>
      <c r="BG77" s="418"/>
    </row>
    <row r="78" spans="2:59" x14ac:dyDescent="0.25">
      <c r="B78" s="176" t="s">
        <v>102</v>
      </c>
      <c r="C78" s="3">
        <v>74521</v>
      </c>
      <c r="D78" s="3">
        <v>393390</v>
      </c>
      <c r="E78" s="4">
        <f t="shared" si="102"/>
        <v>467911</v>
      </c>
      <c r="F78" s="14"/>
      <c r="G78" s="3">
        <v>36764</v>
      </c>
      <c r="H78" s="3">
        <v>203280</v>
      </c>
      <c r="I78" s="4">
        <f t="shared" si="103"/>
        <v>240044</v>
      </c>
      <c r="J78" s="14"/>
      <c r="K78" s="3">
        <f t="shared" si="104"/>
        <v>111285</v>
      </c>
      <c r="L78" s="3">
        <f t="shared" si="105"/>
        <v>596670</v>
      </c>
      <c r="M78" s="209">
        <f t="shared" si="106"/>
        <v>707955</v>
      </c>
      <c r="N78" s="14"/>
      <c r="O78" s="177">
        <v>4.9399999999999999E-2</v>
      </c>
      <c r="P78" s="30">
        <f t="shared" si="107"/>
        <v>23114.803400000001</v>
      </c>
      <c r="Q78" s="178">
        <v>3.2000000000000001E-2</v>
      </c>
      <c r="R78" s="7">
        <f t="shared" si="108"/>
        <v>7681.4080000000004</v>
      </c>
      <c r="S78" s="169" t="s">
        <v>97</v>
      </c>
      <c r="T78" s="106">
        <v>10542.97</v>
      </c>
      <c r="U78" s="105">
        <f t="shared" si="109"/>
        <v>41339.181400000001</v>
      </c>
      <c r="V78" s="14"/>
      <c r="W78" s="9">
        <v>9176.61</v>
      </c>
      <c r="X78" s="31">
        <f t="shared" si="110"/>
        <v>5.8392385674230711E-2</v>
      </c>
      <c r="Y78" s="214">
        <f t="shared" si="111"/>
        <v>7.1354523098219519E-2</v>
      </c>
      <c r="Z78" s="16"/>
      <c r="AA78" s="202">
        <f t="shared" si="94"/>
        <v>50515.791400000002</v>
      </c>
      <c r="AB78" s="94"/>
      <c r="AC78" s="146">
        <v>19173.057793497301</v>
      </c>
      <c r="AD78" s="3">
        <v>20471.402272303301</v>
      </c>
      <c r="AE78" s="208">
        <f t="shared" si="95"/>
        <v>39644.460065800602</v>
      </c>
      <c r="AF78" s="113"/>
      <c r="AG78" s="7">
        <v>17995.04</v>
      </c>
      <c r="AH78" s="143">
        <v>4184.5581160658003</v>
      </c>
      <c r="AI78" s="205">
        <f t="shared" si="96"/>
        <v>13810.481883934201</v>
      </c>
      <c r="AJ78" s="151"/>
      <c r="AK78" s="217">
        <f t="shared" si="97"/>
        <v>0.34835843043421466</v>
      </c>
      <c r="AL78" s="122"/>
      <c r="AM78" s="138">
        <v>29</v>
      </c>
      <c r="AN78" s="3">
        <v>168</v>
      </c>
      <c r="AO78" s="3">
        <v>417</v>
      </c>
      <c r="AP78" s="209">
        <f t="shared" si="98"/>
        <v>614</v>
      </c>
      <c r="AQ78" s="47"/>
      <c r="AR78" s="7">
        <v>215.84</v>
      </c>
      <c r="AS78" s="7">
        <v>112.06</v>
      </c>
      <c r="AT78" s="7">
        <v>474.64</v>
      </c>
      <c r="AU78" s="206">
        <f t="shared" si="99"/>
        <v>802.54</v>
      </c>
      <c r="AV78" s="133"/>
      <c r="AW78" s="217">
        <f t="shared" si="100"/>
        <v>1.3070684039087948</v>
      </c>
      <c r="AY78" s="95">
        <f t="shared" si="101"/>
        <v>65128.813283934207</v>
      </c>
      <c r="AZ78" s="95">
        <v>7732309</v>
      </c>
      <c r="BB78" s="416"/>
      <c r="BC78" s="417"/>
      <c r="BD78" s="417"/>
      <c r="BE78" s="417"/>
      <c r="BF78" s="417"/>
      <c r="BG78" s="418"/>
    </row>
    <row r="79" spans="2:59" x14ac:dyDescent="0.25">
      <c r="B79" s="176" t="s">
        <v>103</v>
      </c>
      <c r="C79" s="3">
        <v>77913</v>
      </c>
      <c r="D79" s="3">
        <v>398640</v>
      </c>
      <c r="E79" s="4">
        <f t="shared" si="102"/>
        <v>476553</v>
      </c>
      <c r="F79" s="14"/>
      <c r="G79" s="3">
        <v>34217</v>
      </c>
      <c r="H79" s="3">
        <v>205200</v>
      </c>
      <c r="I79" s="4">
        <f t="shared" si="103"/>
        <v>239417</v>
      </c>
      <c r="J79" s="14"/>
      <c r="K79" s="3">
        <f t="shared" si="104"/>
        <v>112130</v>
      </c>
      <c r="L79" s="3">
        <f t="shared" si="105"/>
        <v>603840</v>
      </c>
      <c r="M79" s="209">
        <f>K79+L79</f>
        <v>715970</v>
      </c>
      <c r="N79" s="14"/>
      <c r="O79" s="177">
        <v>4.9399999999999999E-2</v>
      </c>
      <c r="P79" s="30">
        <f t="shared" si="107"/>
        <v>23541.718199999999</v>
      </c>
      <c r="Q79" s="178">
        <v>3.2000000000000001E-2</v>
      </c>
      <c r="R79" s="7">
        <f t="shared" si="108"/>
        <v>7661.3440000000001</v>
      </c>
      <c r="S79" s="168" t="s">
        <v>97</v>
      </c>
      <c r="T79" s="106">
        <f>8908.8+1756.42</f>
        <v>10665.22</v>
      </c>
      <c r="U79" s="105">
        <f t="shared" si="109"/>
        <v>41868.282200000001</v>
      </c>
      <c r="V79" s="14"/>
      <c r="W79" s="9">
        <f>7784.79+1518.44</f>
        <v>9303.23</v>
      </c>
      <c r="X79" s="31">
        <f t="shared" si="110"/>
        <v>5.8477704652429574E-2</v>
      </c>
      <c r="Y79" s="214">
        <f t="shared" si="111"/>
        <v>7.1471587077670845E-2</v>
      </c>
      <c r="Z79" s="16"/>
      <c r="AA79" s="202">
        <f t="shared" si="94"/>
        <v>51171.512199999997</v>
      </c>
      <c r="AB79" s="94"/>
      <c r="AC79" s="146">
        <v>15601.258</v>
      </c>
      <c r="AD79" s="3">
        <v>16260.324000000001</v>
      </c>
      <c r="AE79" s="208">
        <f t="shared" si="95"/>
        <v>31861.582000000002</v>
      </c>
      <c r="AF79" s="113"/>
      <c r="AG79" s="7">
        <v>15671.49</v>
      </c>
      <c r="AH79" s="143">
        <v>3204.66</v>
      </c>
      <c r="AI79" s="205">
        <f t="shared" si="96"/>
        <v>12466.83</v>
      </c>
      <c r="AJ79" s="151"/>
      <c r="AK79" s="217">
        <f t="shared" si="97"/>
        <v>0.39128094769431093</v>
      </c>
      <c r="AL79" s="122"/>
      <c r="AM79" s="139">
        <v>11.4</v>
      </c>
      <c r="AN79" s="18">
        <v>168</v>
      </c>
      <c r="AO79" s="18">
        <v>417</v>
      </c>
      <c r="AP79" s="209">
        <f t="shared" si="98"/>
        <v>596.4</v>
      </c>
      <c r="AQ79" s="47"/>
      <c r="AR79" s="7">
        <v>204.1</v>
      </c>
      <c r="AS79" s="7">
        <v>112.06</v>
      </c>
      <c r="AT79" s="7">
        <v>474.64</v>
      </c>
      <c r="AU79" s="206">
        <f t="shared" si="99"/>
        <v>790.8</v>
      </c>
      <c r="AV79" s="133"/>
      <c r="AW79" s="217">
        <f t="shared" si="100"/>
        <v>1.3259557344064385</v>
      </c>
      <c r="AY79" s="95">
        <f t="shared" si="101"/>
        <v>64429.142200000002</v>
      </c>
      <c r="AZ79" s="95">
        <v>6897760</v>
      </c>
      <c r="BB79" s="416"/>
      <c r="BC79" s="417"/>
      <c r="BD79" s="417"/>
      <c r="BE79" s="417"/>
      <c r="BF79" s="417"/>
      <c r="BG79" s="418"/>
    </row>
    <row r="80" spans="2:59" x14ac:dyDescent="0.25">
      <c r="B80" s="176" t="s">
        <v>104</v>
      </c>
      <c r="C80" s="3">
        <v>80265</v>
      </c>
      <c r="D80" s="3">
        <v>437880</v>
      </c>
      <c r="E80" s="4">
        <f t="shared" si="102"/>
        <v>518145</v>
      </c>
      <c r="F80" s="14"/>
      <c r="G80" s="3">
        <v>32549</v>
      </c>
      <c r="H80" s="3">
        <v>209670</v>
      </c>
      <c r="I80" s="4">
        <f t="shared" si="103"/>
        <v>242219</v>
      </c>
      <c r="J80" s="14"/>
      <c r="K80" s="3">
        <f t="shared" si="104"/>
        <v>112814</v>
      </c>
      <c r="L80" s="3">
        <f t="shared" si="105"/>
        <v>647550</v>
      </c>
      <c r="M80" s="209">
        <f t="shared" si="106"/>
        <v>760364</v>
      </c>
      <c r="N80" s="14"/>
      <c r="O80" s="8">
        <v>4.9399999999999999E-2</v>
      </c>
      <c r="P80" s="30">
        <f t="shared" si="107"/>
        <v>25596.363000000001</v>
      </c>
      <c r="Q80" s="8">
        <v>3.2000000000000001E-2</v>
      </c>
      <c r="R80" s="7">
        <f t="shared" si="108"/>
        <v>7751.0079999999998</v>
      </c>
      <c r="S80" s="169" t="s">
        <v>97</v>
      </c>
      <c r="T80" s="106">
        <v>10673.52</v>
      </c>
      <c r="U80" s="105">
        <f t="shared" si="109"/>
        <v>44020.891000000003</v>
      </c>
      <c r="V80" s="14"/>
      <c r="W80" s="9">
        <v>9458.77</v>
      </c>
      <c r="X80" s="31">
        <f t="shared" si="110"/>
        <v>5.789449658321541E-2</v>
      </c>
      <c r="Y80" s="214">
        <f t="shared" si="111"/>
        <v>7.033428857757601E-2</v>
      </c>
      <c r="Z80" s="16"/>
      <c r="AA80" s="202">
        <f t="shared" si="94"/>
        <v>53479.661000000007</v>
      </c>
      <c r="AB80" s="94"/>
      <c r="AC80" s="146">
        <v>14265.073</v>
      </c>
      <c r="AD80" s="3">
        <v>13921.568300000001</v>
      </c>
      <c r="AE80" s="208">
        <f t="shared" si="95"/>
        <v>28186.641300000003</v>
      </c>
      <c r="AF80" s="113"/>
      <c r="AG80" s="7">
        <v>14042.75</v>
      </c>
      <c r="AH80" s="143">
        <v>1658.183272</v>
      </c>
      <c r="AI80" s="205">
        <f t="shared" si="96"/>
        <v>12384.566728</v>
      </c>
      <c r="AJ80" s="151"/>
      <c r="AK80" s="217">
        <f t="shared" si="97"/>
        <v>0.43937717148300315</v>
      </c>
      <c r="AL80" s="122"/>
      <c r="AM80" s="139">
        <v>29</v>
      </c>
      <c r="AN80" s="18">
        <v>168</v>
      </c>
      <c r="AO80" s="18">
        <v>417</v>
      </c>
      <c r="AP80" s="209">
        <f t="shared" si="98"/>
        <v>614</v>
      </c>
      <c r="AQ80" s="47"/>
      <c r="AR80" s="7">
        <v>215.84</v>
      </c>
      <c r="AS80" s="7">
        <v>112.06</v>
      </c>
      <c r="AT80" s="7">
        <v>474.64</v>
      </c>
      <c r="AU80" s="206">
        <f t="shared" si="99"/>
        <v>802.54</v>
      </c>
      <c r="AV80" s="133"/>
      <c r="AW80" s="217">
        <f t="shared" si="100"/>
        <v>1.3070684039087948</v>
      </c>
      <c r="AY80" s="95">
        <f t="shared" si="101"/>
        <v>66666.767728000006</v>
      </c>
      <c r="AZ80" s="95">
        <v>7529806</v>
      </c>
      <c r="BB80" s="416"/>
      <c r="BC80" s="417"/>
      <c r="BD80" s="417"/>
      <c r="BE80" s="417"/>
      <c r="BF80" s="417"/>
      <c r="BG80" s="418"/>
    </row>
    <row r="81" spans="2:59" x14ac:dyDescent="0.25">
      <c r="B81" s="176" t="s">
        <v>105</v>
      </c>
      <c r="C81" s="3">
        <v>74060</v>
      </c>
      <c r="D81" s="3">
        <v>409620</v>
      </c>
      <c r="E81" s="4">
        <f t="shared" si="102"/>
        <v>483680</v>
      </c>
      <c r="F81" s="14"/>
      <c r="G81" s="3">
        <v>35330</v>
      </c>
      <c r="H81" s="3">
        <v>219420</v>
      </c>
      <c r="I81" s="4">
        <f t="shared" si="103"/>
        <v>254750</v>
      </c>
      <c r="J81" s="14"/>
      <c r="K81" s="3">
        <f>C81+G81</f>
        <v>109390</v>
      </c>
      <c r="L81" s="3">
        <f>D81+H81</f>
        <v>629040</v>
      </c>
      <c r="M81" s="209">
        <f>K81+L81</f>
        <v>738430</v>
      </c>
      <c r="N81" s="14"/>
      <c r="O81" s="8">
        <v>4.9399999999999999E-2</v>
      </c>
      <c r="P81" s="30">
        <f>E81*O81</f>
        <v>23893.792000000001</v>
      </c>
      <c r="Q81" s="8">
        <v>3.2000000000000001E-2</v>
      </c>
      <c r="R81" s="7">
        <f>I81*Q81</f>
        <v>8152</v>
      </c>
      <c r="S81" s="168" t="s">
        <v>97</v>
      </c>
      <c r="T81" s="106">
        <v>10594.43</v>
      </c>
      <c r="U81" s="105">
        <f>P81+R81+T81</f>
        <v>42640.222000000002</v>
      </c>
      <c r="V81" s="14"/>
      <c r="W81" s="9">
        <v>9305.2199999999993</v>
      </c>
      <c r="X81" s="31">
        <f t="shared" si="110"/>
        <v>5.7744433460179032E-2</v>
      </c>
      <c r="Y81" s="214">
        <f t="shared" si="111"/>
        <v>7.034579039313138E-2</v>
      </c>
      <c r="Z81" s="16"/>
      <c r="AA81" s="202">
        <f>U81+W81</f>
        <v>51945.442000000003</v>
      </c>
      <c r="AB81" s="94"/>
      <c r="AC81" s="146">
        <v>14301.560890000001</v>
      </c>
      <c r="AD81" s="3">
        <v>11413.60987</v>
      </c>
      <c r="AE81" s="208">
        <f t="shared" si="95"/>
        <v>25715.170760000001</v>
      </c>
      <c r="AF81" s="113"/>
      <c r="AG81" s="7">
        <v>13829.49</v>
      </c>
      <c r="AH81" s="143">
        <v>1328.0117969999999</v>
      </c>
      <c r="AI81" s="205">
        <f t="shared" si="96"/>
        <v>12501.478203000001</v>
      </c>
      <c r="AJ81" s="151"/>
      <c r="AK81" s="217">
        <f t="shared" si="97"/>
        <v>0.48615186419240408</v>
      </c>
      <c r="AL81" s="122"/>
      <c r="AM81" s="138">
        <v>29</v>
      </c>
      <c r="AN81" s="3">
        <v>168</v>
      </c>
      <c r="AO81" s="3">
        <v>498</v>
      </c>
      <c r="AP81" s="209">
        <f t="shared" si="98"/>
        <v>695</v>
      </c>
      <c r="AQ81" s="47"/>
      <c r="AR81" s="7">
        <v>215.84</v>
      </c>
      <c r="AS81" s="100">
        <v>112.06</v>
      </c>
      <c r="AT81" s="7">
        <v>528.66999999999996</v>
      </c>
      <c r="AU81" s="206">
        <f t="shared" si="99"/>
        <v>856.56999999999994</v>
      </c>
      <c r="AV81" s="133"/>
      <c r="AW81" s="217">
        <f t="shared" si="100"/>
        <v>1.2324748201438849</v>
      </c>
      <c r="AY81" s="95">
        <f t="shared" si="101"/>
        <v>65303.490203000001</v>
      </c>
      <c r="AZ81" s="95">
        <v>7994154</v>
      </c>
      <c r="BB81" s="416"/>
      <c r="BC81" s="417"/>
      <c r="BD81" s="417"/>
      <c r="BE81" s="417"/>
      <c r="BF81" s="417"/>
      <c r="BG81" s="418"/>
    </row>
    <row r="82" spans="2:59" x14ac:dyDescent="0.25">
      <c r="B82" s="176" t="s">
        <v>106</v>
      </c>
      <c r="C82" s="3">
        <v>43081</v>
      </c>
      <c r="D82" s="3">
        <v>239430</v>
      </c>
      <c r="E82" s="4">
        <f t="shared" si="102"/>
        <v>282511</v>
      </c>
      <c r="F82" s="14"/>
      <c r="G82" s="3">
        <v>19601</v>
      </c>
      <c r="H82" s="3">
        <v>128370</v>
      </c>
      <c r="I82" s="4">
        <f t="shared" si="103"/>
        <v>147971</v>
      </c>
      <c r="J82" s="14"/>
      <c r="K82" s="3">
        <f t="shared" si="104"/>
        <v>62682</v>
      </c>
      <c r="L82" s="3">
        <f t="shared" si="105"/>
        <v>367800</v>
      </c>
      <c r="M82" s="209">
        <f t="shared" si="106"/>
        <v>430482</v>
      </c>
      <c r="N82" s="14"/>
      <c r="O82" s="8">
        <v>4.9399999999999999E-2</v>
      </c>
      <c r="P82" s="30">
        <f t="shared" si="107"/>
        <v>13956.0434</v>
      </c>
      <c r="Q82" s="8">
        <v>3.2000000000000001E-2</v>
      </c>
      <c r="R82" s="7">
        <f t="shared" si="108"/>
        <v>4735.0720000000001</v>
      </c>
      <c r="S82" s="169" t="s">
        <v>97</v>
      </c>
      <c r="T82" s="106">
        <f>1465.16+7525.8</f>
        <v>8990.9600000000009</v>
      </c>
      <c r="U82" s="105">
        <f t="shared" si="109"/>
        <v>27682.075400000002</v>
      </c>
      <c r="V82" s="14"/>
      <c r="W82" s="9">
        <f>1160.33+6093.41</f>
        <v>7253.74</v>
      </c>
      <c r="X82" s="31">
        <f t="shared" si="110"/>
        <v>6.4304838297536249E-2</v>
      </c>
      <c r="Y82" s="214">
        <f t="shared" si="111"/>
        <v>8.115511310577446E-2</v>
      </c>
      <c r="Z82" s="16"/>
      <c r="AA82" s="202">
        <f t="shared" si="94"/>
        <v>34935.815399999999</v>
      </c>
      <c r="AB82" s="94"/>
      <c r="AC82" s="147">
        <v>-824.69330000000002</v>
      </c>
      <c r="AD82" s="54">
        <v>13640.20859</v>
      </c>
      <c r="AE82" s="208">
        <f t="shared" si="95"/>
        <v>12815.515289999999</v>
      </c>
      <c r="AF82" s="113"/>
      <c r="AG82" s="7">
        <v>10540.19</v>
      </c>
      <c r="AH82" s="143">
        <v>1922.5490339999999</v>
      </c>
      <c r="AI82" s="205">
        <f t="shared" si="96"/>
        <v>8617.6409660000008</v>
      </c>
      <c r="AJ82" s="151"/>
      <c r="AK82" s="217">
        <f>AI82/AE82</f>
        <v>0.67243811668847853</v>
      </c>
      <c r="AL82" s="122"/>
      <c r="AM82" s="139">
        <v>295</v>
      </c>
      <c r="AN82" s="18">
        <v>1266</v>
      </c>
      <c r="AO82" s="18">
        <v>443</v>
      </c>
      <c r="AP82" s="209">
        <f t="shared" si="98"/>
        <v>2004</v>
      </c>
      <c r="AQ82" s="47"/>
      <c r="AR82" s="7">
        <v>393.67</v>
      </c>
      <c r="AS82" s="7">
        <v>844.42</v>
      </c>
      <c r="AT82" s="7">
        <v>491.98</v>
      </c>
      <c r="AU82" s="206">
        <f t="shared" si="99"/>
        <v>1730.07</v>
      </c>
      <c r="AV82" s="133"/>
      <c r="AW82" s="217">
        <f t="shared" si="100"/>
        <v>0.86330838323353287</v>
      </c>
      <c r="AY82" s="95">
        <f t="shared" si="101"/>
        <v>45283.526365999998</v>
      </c>
      <c r="AZ82" s="95">
        <v>2660074</v>
      </c>
      <c r="BB82" s="416" t="s">
        <v>167</v>
      </c>
      <c r="BC82" s="417"/>
      <c r="BD82" s="417"/>
      <c r="BE82" s="417"/>
      <c r="BF82" s="417"/>
      <c r="BG82" s="418"/>
    </row>
    <row r="83" spans="2:59" x14ac:dyDescent="0.25">
      <c r="B83" s="176" t="s">
        <v>107</v>
      </c>
      <c r="C83" s="3">
        <v>82252</v>
      </c>
      <c r="D83" s="3">
        <v>450810</v>
      </c>
      <c r="E83" s="4">
        <f t="shared" si="102"/>
        <v>533062</v>
      </c>
      <c r="F83" s="14"/>
      <c r="G83" s="3">
        <v>37562</v>
      </c>
      <c r="H83" s="3">
        <v>213780</v>
      </c>
      <c r="I83" s="4">
        <f t="shared" si="103"/>
        <v>251342</v>
      </c>
      <c r="J83" s="14"/>
      <c r="K83" s="3">
        <f t="shared" si="104"/>
        <v>119814</v>
      </c>
      <c r="L83" s="3">
        <f t="shared" si="105"/>
        <v>664590</v>
      </c>
      <c r="M83" s="209">
        <f t="shared" si="106"/>
        <v>784404</v>
      </c>
      <c r="N83" s="14"/>
      <c r="O83" s="8">
        <v>4.9399999999999999E-2</v>
      </c>
      <c r="P83" s="30">
        <f t="shared" si="107"/>
        <v>26333.2628</v>
      </c>
      <c r="Q83" s="8">
        <v>3.2000000000000001E-2</v>
      </c>
      <c r="R83" s="7">
        <f t="shared" si="108"/>
        <v>8042.9440000000004</v>
      </c>
      <c r="S83" s="168" t="s">
        <v>97</v>
      </c>
      <c r="T83" s="106">
        <f>1754.14+9220.41</f>
        <v>10974.55</v>
      </c>
      <c r="U83" s="105">
        <f t="shared" si="109"/>
        <v>45350.756800000003</v>
      </c>
      <c r="V83" s="14"/>
      <c r="W83" s="9">
        <f>1538.07+8181.19</f>
        <v>9719.26</v>
      </c>
      <c r="X83" s="31">
        <f t="shared" si="110"/>
        <v>5.7815560349003835E-2</v>
      </c>
      <c r="Y83" s="214">
        <f t="shared" si="111"/>
        <v>7.0206190687451875E-2</v>
      </c>
      <c r="Z83" s="16"/>
      <c r="AA83" s="202">
        <f t="shared" si="94"/>
        <v>55070.016800000005</v>
      </c>
      <c r="AB83" s="94"/>
      <c r="AC83" s="146">
        <v>15212.799977999999</v>
      </c>
      <c r="AD83" s="3">
        <v>15296.880859999999</v>
      </c>
      <c r="AE83" s="208">
        <f t="shared" si="95"/>
        <v>30509.680838</v>
      </c>
      <c r="AF83" s="113"/>
      <c r="AG83" s="7">
        <v>14628.47</v>
      </c>
      <c r="AH83" s="143">
        <v>1498.45072</v>
      </c>
      <c r="AI83" s="205">
        <f t="shared" si="96"/>
        <v>13130.019279999999</v>
      </c>
      <c r="AJ83" s="151"/>
      <c r="AK83" s="217">
        <f t="shared" si="97"/>
        <v>0.43035583851950615</v>
      </c>
      <c r="AL83" s="122"/>
      <c r="AM83" s="139">
        <v>52</v>
      </c>
      <c r="AN83" s="18">
        <v>244</v>
      </c>
      <c r="AO83" s="18">
        <v>443</v>
      </c>
      <c r="AP83" s="209">
        <f t="shared" si="98"/>
        <v>739</v>
      </c>
      <c r="AQ83" s="47"/>
      <c r="AR83" s="7">
        <v>231.18</v>
      </c>
      <c r="AS83" s="7">
        <v>162.75</v>
      </c>
      <c r="AT83" s="7">
        <v>491.98</v>
      </c>
      <c r="AU83" s="206">
        <f t="shared" si="99"/>
        <v>885.91000000000008</v>
      </c>
      <c r="AV83" s="133"/>
      <c r="AW83" s="217">
        <f t="shared" si="100"/>
        <v>1.1987956698240867</v>
      </c>
      <c r="AY83" s="95">
        <f t="shared" si="101"/>
        <v>69085.946080000009</v>
      </c>
      <c r="AZ83" s="95">
        <v>7259255</v>
      </c>
      <c r="BB83" s="416"/>
      <c r="BC83" s="417"/>
      <c r="BD83" s="417"/>
      <c r="BE83" s="417"/>
      <c r="BF83" s="417"/>
      <c r="BG83" s="418"/>
    </row>
    <row r="84" spans="2:59" x14ac:dyDescent="0.25">
      <c r="B84" s="176" t="s">
        <v>108</v>
      </c>
      <c r="C84" s="3">
        <v>71284</v>
      </c>
      <c r="D84" s="3">
        <v>401490</v>
      </c>
      <c r="E84" s="4">
        <f t="shared" si="102"/>
        <v>472774</v>
      </c>
      <c r="F84" s="14"/>
      <c r="G84" s="3">
        <v>35517</v>
      </c>
      <c r="H84" s="3">
        <v>208800</v>
      </c>
      <c r="I84" s="4">
        <f t="shared" si="103"/>
        <v>244317</v>
      </c>
      <c r="J84" s="14"/>
      <c r="K84" s="3">
        <f t="shared" si="104"/>
        <v>106801</v>
      </c>
      <c r="L84" s="3">
        <f t="shared" si="105"/>
        <v>610290</v>
      </c>
      <c r="M84" s="209">
        <f t="shared" si="106"/>
        <v>717091</v>
      </c>
      <c r="N84" s="14"/>
      <c r="O84" s="8">
        <v>4.9399999999999999E-2</v>
      </c>
      <c r="P84" s="30">
        <f>E84*O84</f>
        <v>23355.035599999999</v>
      </c>
      <c r="Q84" s="8">
        <v>3.2000000000000001E-2</v>
      </c>
      <c r="R84" s="7">
        <f t="shared" si="108"/>
        <v>7818.1440000000002</v>
      </c>
      <c r="S84" s="169" t="s">
        <v>97</v>
      </c>
      <c r="T84" s="106">
        <v>10681.99</v>
      </c>
      <c r="U84" s="105">
        <f t="shared" si="109"/>
        <v>41855.169600000001</v>
      </c>
      <c r="V84" s="14"/>
      <c r="W84" s="9">
        <v>12757.32</v>
      </c>
      <c r="X84" s="31">
        <f t="shared" si="110"/>
        <v>5.8368002945232894E-2</v>
      </c>
      <c r="Y84" s="214">
        <f t="shared" si="111"/>
        <v>7.6158381014404031E-2</v>
      </c>
      <c r="Z84" s="16"/>
      <c r="AA84" s="202">
        <f>U84+W84</f>
        <v>54612.489600000001</v>
      </c>
      <c r="AB84" s="94"/>
      <c r="AC84" s="146">
        <v>21898</v>
      </c>
      <c r="AD84" s="3">
        <v>29812</v>
      </c>
      <c r="AE84" s="208">
        <f t="shared" si="95"/>
        <v>51710</v>
      </c>
      <c r="AF84" s="113"/>
      <c r="AG84" s="7">
        <v>23135.64</v>
      </c>
      <c r="AH84" s="143">
        <v>5859.18</v>
      </c>
      <c r="AI84" s="205">
        <f t="shared" si="96"/>
        <v>17276.46</v>
      </c>
      <c r="AJ84" s="151"/>
      <c r="AK84" s="217">
        <f>AI84/AE84</f>
        <v>0.33410288145426414</v>
      </c>
      <c r="AL84" s="122"/>
      <c r="AM84" s="138">
        <v>54</v>
      </c>
      <c r="AN84" s="3">
        <v>253</v>
      </c>
      <c r="AO84" s="3">
        <v>443</v>
      </c>
      <c r="AP84" s="209">
        <f t="shared" si="98"/>
        <v>750</v>
      </c>
      <c r="AQ84" s="47"/>
      <c r="AR84" s="7">
        <v>232.52</v>
      </c>
      <c r="AS84" s="100">
        <v>168.75</v>
      </c>
      <c r="AT84" s="100">
        <v>491.98</v>
      </c>
      <c r="AU84" s="206">
        <f t="shared" si="99"/>
        <v>893.25</v>
      </c>
      <c r="AV84" s="133"/>
      <c r="AW84" s="217">
        <f t="shared" si="100"/>
        <v>1.1910000000000001</v>
      </c>
      <c r="AY84" s="95">
        <f t="shared" si="101"/>
        <v>72782.199599999993</v>
      </c>
      <c r="AZ84" s="95">
        <v>6359089</v>
      </c>
      <c r="BB84" s="416"/>
      <c r="BC84" s="417"/>
      <c r="BD84" s="417"/>
      <c r="BE84" s="417"/>
      <c r="BF84" s="417"/>
      <c r="BG84" s="418"/>
    </row>
    <row r="85" spans="2:59" x14ac:dyDescent="0.25">
      <c r="B85" s="176" t="s">
        <v>109</v>
      </c>
      <c r="C85" s="3">
        <v>80214</v>
      </c>
      <c r="D85" s="3">
        <v>427980</v>
      </c>
      <c r="E85" s="4">
        <f t="shared" si="102"/>
        <v>508194</v>
      </c>
      <c r="F85" s="14"/>
      <c r="G85" s="3">
        <v>38607</v>
      </c>
      <c r="H85" s="3">
        <v>225540</v>
      </c>
      <c r="I85" s="4">
        <f t="shared" si="103"/>
        <v>264147</v>
      </c>
      <c r="J85" s="14"/>
      <c r="K85" s="3">
        <f t="shared" si="104"/>
        <v>118821</v>
      </c>
      <c r="L85" s="3">
        <f t="shared" si="105"/>
        <v>653520</v>
      </c>
      <c r="M85" s="209">
        <f t="shared" si="106"/>
        <v>772341</v>
      </c>
      <c r="N85" s="14"/>
      <c r="O85" s="8">
        <v>4.9399999999999999E-2</v>
      </c>
      <c r="P85" s="30">
        <f>E85*O85</f>
        <v>25104.783599999999</v>
      </c>
      <c r="Q85" s="8">
        <v>3.2000000000000001E-2</v>
      </c>
      <c r="R85" s="7">
        <f>I85*Q85</f>
        <v>8452.7039999999997</v>
      </c>
      <c r="S85" s="168" t="s">
        <v>97</v>
      </c>
      <c r="T85" s="106">
        <v>10873.16</v>
      </c>
      <c r="U85" s="105">
        <f t="shared" si="109"/>
        <v>44430.647599999997</v>
      </c>
      <c r="V85" s="14"/>
      <c r="W85" s="9">
        <v>13185.33</v>
      </c>
      <c r="X85" s="31">
        <f t="shared" si="110"/>
        <v>5.7527241982492185E-2</v>
      </c>
      <c r="Y85" s="214">
        <f t="shared" si="111"/>
        <v>7.4599144160416186E-2</v>
      </c>
      <c r="Z85" s="16"/>
      <c r="AA85" s="202">
        <f>U85+W85</f>
        <v>57615.977599999998</v>
      </c>
      <c r="AB85" s="94"/>
      <c r="AC85" s="146">
        <v>44533.022607760999</v>
      </c>
      <c r="AD85" s="3">
        <v>37441.613766426097</v>
      </c>
      <c r="AE85" s="208">
        <f t="shared" si="95"/>
        <v>81974.636374187103</v>
      </c>
      <c r="AF85" s="113"/>
      <c r="AG85" s="7">
        <v>37827.86</v>
      </c>
      <c r="AH85" s="143">
        <v>10553.76938</v>
      </c>
      <c r="AI85" s="205">
        <f t="shared" si="96"/>
        <v>27274.090620000003</v>
      </c>
      <c r="AJ85" s="151"/>
      <c r="AK85" s="217">
        <f t="shared" si="97"/>
        <v>0.33271377375195421</v>
      </c>
      <c r="AL85" s="122"/>
      <c r="AM85" s="139">
        <v>357</v>
      </c>
      <c r="AN85" s="18">
        <v>1239</v>
      </c>
      <c r="AO85" s="18">
        <v>443</v>
      </c>
      <c r="AP85" s="209">
        <f t="shared" si="98"/>
        <v>2039</v>
      </c>
      <c r="AQ85" s="47"/>
      <c r="AR85" s="7">
        <v>434.62</v>
      </c>
      <c r="AS85" s="7">
        <v>826.41</v>
      </c>
      <c r="AT85" s="7">
        <v>491.98</v>
      </c>
      <c r="AU85" s="206">
        <f t="shared" si="99"/>
        <v>1753.01</v>
      </c>
      <c r="AV85" s="133"/>
      <c r="AW85" s="217">
        <f t="shared" si="100"/>
        <v>0.85974006866110841</v>
      </c>
      <c r="AY85" s="95">
        <f>AA85+AI85+AU85</f>
        <v>86643.078219999996</v>
      </c>
      <c r="AZ85" s="95">
        <v>7113155</v>
      </c>
      <c r="BB85" s="416"/>
      <c r="BC85" s="417"/>
      <c r="BD85" s="417"/>
      <c r="BE85" s="417"/>
      <c r="BF85" s="417"/>
      <c r="BG85" s="418"/>
    </row>
    <row r="86" spans="2:59" ht="15.75" thickBot="1" x14ac:dyDescent="0.3">
      <c r="B86" s="176" t="s">
        <v>110</v>
      </c>
      <c r="C86" s="18">
        <v>60986</v>
      </c>
      <c r="D86" s="18">
        <v>352470</v>
      </c>
      <c r="E86" s="19">
        <f>C86+D86</f>
        <v>413456</v>
      </c>
      <c r="F86" s="14"/>
      <c r="G86" s="18">
        <v>33192</v>
      </c>
      <c r="H86" s="18">
        <v>187980</v>
      </c>
      <c r="I86" s="19">
        <f>G86+H86</f>
        <v>221172</v>
      </c>
      <c r="J86" s="14"/>
      <c r="K86" s="18">
        <f>C86+G86</f>
        <v>94178</v>
      </c>
      <c r="L86" s="18">
        <f>(D86+H86)</f>
        <v>540450</v>
      </c>
      <c r="M86" s="263">
        <f>K86+L86</f>
        <v>634628</v>
      </c>
      <c r="N86" s="14"/>
      <c r="O86" s="8">
        <v>4.9399999999999999E-2</v>
      </c>
      <c r="P86" s="43">
        <f>(C86*O86)+5912.02</f>
        <v>8924.7284</v>
      </c>
      <c r="Q86" s="8">
        <v>3.2000000000000001E-2</v>
      </c>
      <c r="R86" s="21">
        <f>(G86*Q86)+6015.36</f>
        <v>7077.5039999999999</v>
      </c>
      <c r="S86" s="169" t="s">
        <v>97</v>
      </c>
      <c r="T86" s="106">
        <v>10275.75</v>
      </c>
      <c r="U86" s="265">
        <f>P86+R86+T86</f>
        <v>26277.982400000001</v>
      </c>
      <c r="V86" s="14"/>
      <c r="W86" s="22">
        <v>12005.46</v>
      </c>
      <c r="X86" s="32">
        <f t="shared" si="110"/>
        <v>4.1406906723308774E-2</v>
      </c>
      <c r="Y86" s="215">
        <f t="shared" si="111"/>
        <v>6.0324225215401782E-2</v>
      </c>
      <c r="Z86" s="16"/>
      <c r="AA86" s="203">
        <f>U86+W86</f>
        <v>38283.4424</v>
      </c>
      <c r="AB86" s="94"/>
      <c r="AC86" s="148">
        <v>60583.809379999999</v>
      </c>
      <c r="AD86" s="18">
        <v>45487.333749999998</v>
      </c>
      <c r="AE86" s="208">
        <f t="shared" si="95"/>
        <v>106071.14313</v>
      </c>
      <c r="AF86" s="114"/>
      <c r="AG86" s="50">
        <v>52925.87</v>
      </c>
      <c r="AH86" s="144">
        <v>18491.071499999998</v>
      </c>
      <c r="AI86" s="205">
        <f t="shared" si="96"/>
        <v>34434.798500000004</v>
      </c>
      <c r="AJ86" s="152"/>
      <c r="AK86" s="217">
        <f>AI86/AE86</f>
        <v>0.32463870458902261</v>
      </c>
      <c r="AL86" s="122"/>
      <c r="AM86" s="139">
        <f>4.044*31</f>
        <v>125.36399999999999</v>
      </c>
      <c r="AN86" s="18">
        <f>559.478-AM86</f>
        <v>434.11399999999998</v>
      </c>
      <c r="AO86" s="18">
        <v>756</v>
      </c>
      <c r="AP86" s="209">
        <f t="shared" si="98"/>
        <v>1315.4780000000001</v>
      </c>
      <c r="AQ86" s="52"/>
      <c r="AR86" s="108">
        <f>(AM86*0.667)+(196.5/2)</f>
        <v>181.86778800000002</v>
      </c>
      <c r="AS86" s="108">
        <f>(AN86*0.667)+(196.5/2)</f>
        <v>387.80403799999999</v>
      </c>
      <c r="AT86" s="50">
        <v>700.75</v>
      </c>
      <c r="AU86" s="207">
        <f t="shared" si="99"/>
        <v>1270.421826</v>
      </c>
      <c r="AV86" s="134"/>
      <c r="AW86" s="250">
        <f t="shared" si="100"/>
        <v>0.96574919991060282</v>
      </c>
      <c r="AY86" s="95">
        <f>AA86+AI86+AU86</f>
        <v>73988.66272600001</v>
      </c>
      <c r="AZ86" s="95">
        <v>4603731</v>
      </c>
      <c r="BB86" s="416"/>
      <c r="BC86" s="417"/>
      <c r="BD86" s="417"/>
      <c r="BE86" s="417"/>
      <c r="BF86" s="417"/>
      <c r="BG86" s="418"/>
    </row>
    <row r="87" spans="2:59" ht="15.75" thickBot="1" x14ac:dyDescent="0.3">
      <c r="B87" s="174">
        <v>2016</v>
      </c>
      <c r="C87" s="23">
        <f>SUM(C75:C86)</f>
        <v>890353</v>
      </c>
      <c r="D87" s="23">
        <f>SUM(D75:D86)</f>
        <v>4790910</v>
      </c>
      <c r="E87" s="27">
        <f>SUM(E75:E86)</f>
        <v>5681263</v>
      </c>
      <c r="F87" s="23"/>
      <c r="G87" s="23">
        <f>SUM(G75:G86)</f>
        <v>419617</v>
      </c>
      <c r="H87" s="23">
        <f>SUM(H75:H86)</f>
        <v>2463960</v>
      </c>
      <c r="I87" s="27">
        <f>SUM(I75:I86)</f>
        <v>2883577</v>
      </c>
      <c r="J87" s="23"/>
      <c r="K87" s="23">
        <f>SUM(K75:K86)</f>
        <v>1309970</v>
      </c>
      <c r="L87" s="23">
        <f>SUM(L75:L86)</f>
        <v>7254870</v>
      </c>
      <c r="M87" s="210">
        <f>SUM(M75:M86)</f>
        <v>8564840</v>
      </c>
      <c r="N87" s="23"/>
      <c r="O87" s="107">
        <f>SUM(O75:O86)/COUNTA(O75:O86)</f>
        <v>4.9399999999999999E-2</v>
      </c>
      <c r="P87" s="26">
        <f>SUM(P75:P86)</f>
        <v>269154.39419999998</v>
      </c>
      <c r="Q87" s="107">
        <f>SUM(Q75:Q86)/COUNTA(Q75:Q86)</f>
        <v>3.2000000000000008E-2</v>
      </c>
      <c r="R87" s="26">
        <f>SUM(R75:R86)</f>
        <v>92274.464000000007</v>
      </c>
      <c r="S87" s="170" t="s">
        <v>97</v>
      </c>
      <c r="T87" s="26">
        <f>SUM(T75:T86)</f>
        <v>126638.90000000001</v>
      </c>
      <c r="U87" s="266">
        <f>SUM(U75:U86)</f>
        <v>488067.75820000004</v>
      </c>
      <c r="V87" s="23"/>
      <c r="W87" s="28">
        <f>SUM(W75:W86)</f>
        <v>131893.64000000001</v>
      </c>
      <c r="X87" s="25">
        <f>(U87)/M87</f>
        <v>5.6985040958149838E-2</v>
      </c>
      <c r="Y87" s="220">
        <f>(U87+W87)/M87</f>
        <v>7.2384469318749686E-2</v>
      </c>
      <c r="Z87" s="175"/>
      <c r="AA87" s="252">
        <f>SUM(AA75:AA86)</f>
        <v>619961.39819999994</v>
      </c>
      <c r="AB87" s="94"/>
      <c r="AC87" s="149">
        <f>SUM(AC75:AC86)</f>
        <v>333695.59432925831</v>
      </c>
      <c r="AD87" s="140">
        <f>SUM(AD75:AD86)</f>
        <v>330690.64811872935</v>
      </c>
      <c r="AE87" s="212">
        <f>SUM(AE75:AE86)</f>
        <v>664386.24244798766</v>
      </c>
      <c r="AF87" s="153"/>
      <c r="AG87" s="136">
        <f>SUM(AG75:AG86)</f>
        <v>322761.03999999998</v>
      </c>
      <c r="AH87" s="136">
        <f>SUM(AH75:AH86)</f>
        <v>93824.288969065819</v>
      </c>
      <c r="AI87" s="251">
        <f>SUM(AI75:AI86)</f>
        <v>228936.75103093422</v>
      </c>
      <c r="AJ87" s="134"/>
      <c r="AK87" s="219">
        <f>AI87/AE87</f>
        <v>0.34458382248765007</v>
      </c>
      <c r="AL87" s="122"/>
      <c r="AM87" s="140">
        <f>SUM(AM75:AM86)</f>
        <v>1065.7639999999999</v>
      </c>
      <c r="AN87" s="23">
        <f>SUM(AN75:AN86)</f>
        <v>4641.1139999999996</v>
      </c>
      <c r="AO87" s="23">
        <f>SUM(AO75:AO86)</f>
        <v>5663</v>
      </c>
      <c r="AP87" s="210">
        <f>SUM(AP75:AP86)</f>
        <v>11369.878000000001</v>
      </c>
      <c r="AQ87" s="49"/>
      <c r="AR87" s="51">
        <f>SUM(AR75:AR86)</f>
        <v>2970.9977879999997</v>
      </c>
      <c r="AS87" s="51">
        <f>SUM(AS75:AS86)</f>
        <v>3193.8940379999995</v>
      </c>
      <c r="AT87" s="51">
        <f>SUM(AT75:AT86)</f>
        <v>6135.2199999999993</v>
      </c>
      <c r="AU87" s="251">
        <f t="shared" si="99"/>
        <v>12300.111825999998</v>
      </c>
      <c r="AV87" s="132"/>
      <c r="AW87" s="219">
        <f>AU87/AP87</f>
        <v>1.0818156383032429</v>
      </c>
      <c r="AY87" s="96">
        <f>AA87+AI87+AU87</f>
        <v>861198.26105693425</v>
      </c>
      <c r="AZ87" s="96">
        <f>SUM(AZ75:AZ86)</f>
        <v>80972131</v>
      </c>
      <c r="BB87" s="419"/>
      <c r="BC87" s="420"/>
      <c r="BD87" s="420"/>
      <c r="BE87" s="420"/>
      <c r="BF87" s="420"/>
      <c r="BG87" s="421"/>
    </row>
    <row r="88" spans="2:59" ht="15.75" thickBot="1" x14ac:dyDescent="0.3">
      <c r="AD88" s="374"/>
      <c r="AM88" s="412"/>
      <c r="AZ88" s="378"/>
    </row>
    <row r="89" spans="2:59" x14ac:dyDescent="0.25">
      <c r="B89" s="359" t="s">
        <v>252</v>
      </c>
      <c r="C89" s="58">
        <v>85727</v>
      </c>
      <c r="D89" s="58">
        <v>429810</v>
      </c>
      <c r="E89" s="59">
        <f>C89+D89</f>
        <v>515537</v>
      </c>
      <c r="F89" s="13"/>
      <c r="G89" s="58">
        <v>45442</v>
      </c>
      <c r="H89" s="58">
        <v>241770</v>
      </c>
      <c r="I89" s="59">
        <f>G89+H89</f>
        <v>287212</v>
      </c>
      <c r="J89" s="13"/>
      <c r="K89" s="58">
        <f>C89+G89</f>
        <v>131169</v>
      </c>
      <c r="L89" s="58">
        <f>D89+H89</f>
        <v>671580</v>
      </c>
      <c r="M89" s="211">
        <f>K89+L89</f>
        <v>802749</v>
      </c>
      <c r="N89" s="13"/>
      <c r="O89" s="366">
        <v>4.5620000000000001E-2</v>
      </c>
      <c r="P89" s="61">
        <f>E89*O89</f>
        <v>23518.79794</v>
      </c>
      <c r="Q89" s="367">
        <v>3.041E-2</v>
      </c>
      <c r="R89" s="61">
        <f>I89*Q89</f>
        <v>8734.1169200000004</v>
      </c>
      <c r="S89" s="368" t="s">
        <v>97</v>
      </c>
      <c r="T89" s="369">
        <v>11187.21</v>
      </c>
      <c r="U89" s="370">
        <f>P89+R89+T89</f>
        <v>43440.124859999996</v>
      </c>
      <c r="V89" s="13"/>
      <c r="W89" s="62">
        <v>13680.32</v>
      </c>
      <c r="X89" s="63">
        <f>U89/M89</f>
        <v>5.411420613417145E-2</v>
      </c>
      <c r="Y89" s="371">
        <f>(U89+W89)/M89</f>
        <v>7.1156046111549187E-2</v>
      </c>
      <c r="Z89" s="65"/>
      <c r="AA89" s="372">
        <f>U89+W89</f>
        <v>57120.444859999996</v>
      </c>
      <c r="AB89" s="94"/>
      <c r="AC89" s="154">
        <v>77839.450742037996</v>
      </c>
      <c r="AD89" s="3">
        <v>68738.059937128797</v>
      </c>
      <c r="AE89" s="211">
        <f>AC89+AD89</f>
        <v>146577.51067916679</v>
      </c>
      <c r="AF89" s="155"/>
      <c r="AG89" s="61">
        <v>71332.7</v>
      </c>
      <c r="AH89" s="156">
        <v>23415.395390000001</v>
      </c>
      <c r="AI89" s="204">
        <f>AG89-AH89</f>
        <v>47917.304609999992</v>
      </c>
      <c r="AJ89" s="157"/>
      <c r="AK89" s="216">
        <f t="shared" ref="AK89:AK98" si="112">AI89/AE89</f>
        <v>0.32690761623645531</v>
      </c>
      <c r="AL89" s="122"/>
      <c r="AM89" s="68">
        <v>139</v>
      </c>
      <c r="AN89" s="362">
        <v>528.98900000000003</v>
      </c>
      <c r="AO89" s="362">
        <v>443</v>
      </c>
      <c r="AP89" s="211">
        <f>SUM(AM89:AO89)</f>
        <v>1110.989</v>
      </c>
      <c r="AQ89" s="363"/>
      <c r="AR89" s="108">
        <f t="shared" ref="AR89:AS95" si="113">(AM89*0.667)+(196.5/2)</f>
        <v>190.96300000000002</v>
      </c>
      <c r="AS89" s="108">
        <f t="shared" si="113"/>
        <v>451.08566300000007</v>
      </c>
      <c r="AT89" s="364">
        <v>491.98</v>
      </c>
      <c r="AU89" s="204">
        <f>SUM(AR89:AT89)</f>
        <v>1134.0286630000001</v>
      </c>
      <c r="AV89" s="365"/>
      <c r="AW89" s="216">
        <f>AU89/AP89</f>
        <v>1.0207379758035409</v>
      </c>
      <c r="AY89" s="173">
        <f>AA89+AI89+AU89</f>
        <v>106171.77813299999</v>
      </c>
      <c r="AZ89" s="379">
        <v>7869208.75</v>
      </c>
      <c r="BB89" s="413"/>
      <c r="BC89" s="414"/>
      <c r="BD89" s="414"/>
      <c r="BE89" s="414"/>
      <c r="BF89" s="414"/>
      <c r="BG89" s="415"/>
    </row>
    <row r="90" spans="2:59" x14ac:dyDescent="0.25">
      <c r="B90" s="376" t="s">
        <v>253</v>
      </c>
      <c r="C90" s="3">
        <v>75507</v>
      </c>
      <c r="D90" s="3">
        <v>387060</v>
      </c>
      <c r="E90" s="4">
        <f>C90+D90</f>
        <v>462567</v>
      </c>
      <c r="F90" s="14"/>
      <c r="G90" s="3">
        <v>39248</v>
      </c>
      <c r="H90" s="3">
        <v>223620</v>
      </c>
      <c r="I90" s="4">
        <f>G90+H90</f>
        <v>262868</v>
      </c>
      <c r="J90" s="14"/>
      <c r="K90" s="3">
        <f>C90+G90</f>
        <v>114755</v>
      </c>
      <c r="L90" s="3">
        <f>D90+H90</f>
        <v>610680</v>
      </c>
      <c r="M90" s="209">
        <f>K90+L90</f>
        <v>725435</v>
      </c>
      <c r="N90" s="14"/>
      <c r="O90" s="177">
        <v>4.5620000000000001E-2</v>
      </c>
      <c r="P90" s="7">
        <f>E90*O90</f>
        <v>21102.306540000001</v>
      </c>
      <c r="Q90" s="178">
        <v>3.041E-2</v>
      </c>
      <c r="R90" s="7">
        <f>I90*Q90</f>
        <v>7993.8158800000001</v>
      </c>
      <c r="S90" s="169" t="s">
        <v>97</v>
      </c>
      <c r="T90" s="106">
        <v>10546.81</v>
      </c>
      <c r="U90" s="105">
        <f>P90+R90+T90</f>
        <v>39642.932419999997</v>
      </c>
      <c r="V90" s="14"/>
      <c r="W90" s="9">
        <v>12739.1</v>
      </c>
      <c r="X90" s="31">
        <f>U90/M90</f>
        <v>5.4647118515097834E-2</v>
      </c>
      <c r="Y90" s="214">
        <f>(U90+W90)/M90</f>
        <v>7.220775454727163E-2</v>
      </c>
      <c r="Z90" s="16"/>
      <c r="AA90" s="202">
        <f t="shared" ref="AA90:AA94" si="114">U90+W90</f>
        <v>52382.032419999996</v>
      </c>
      <c r="AB90" s="94"/>
      <c r="AC90" s="146">
        <v>40419.886516813</v>
      </c>
      <c r="AD90" s="3">
        <v>35920.892268764503</v>
      </c>
      <c r="AE90" s="208">
        <f t="shared" ref="AE90:AE100" si="115">AC90+AD90</f>
        <v>76340.77878557751</v>
      </c>
      <c r="AF90" s="113"/>
      <c r="AG90" s="7">
        <v>46272.58</v>
      </c>
      <c r="AH90" s="143">
        <v>17641.173859999999</v>
      </c>
      <c r="AI90" s="205">
        <f t="shared" ref="AI90:AI100" si="116">AG90-AH90</f>
        <v>28631.406140000003</v>
      </c>
      <c r="AJ90" s="151"/>
      <c r="AK90" s="217">
        <f t="shared" si="112"/>
        <v>0.37504734161042014</v>
      </c>
      <c r="AL90" s="122"/>
      <c r="AM90" s="3">
        <v>125</v>
      </c>
      <c r="AN90" s="18">
        <v>526.53300000000002</v>
      </c>
      <c r="AO90" s="18">
        <v>443</v>
      </c>
      <c r="AP90" s="209">
        <f t="shared" ref="AP90:AP100" si="117">SUM(AM90:AO90)</f>
        <v>1094.5329999999999</v>
      </c>
      <c r="AQ90" s="47"/>
      <c r="AR90" s="108">
        <f t="shared" si="113"/>
        <v>181.625</v>
      </c>
      <c r="AS90" s="108">
        <f t="shared" si="113"/>
        <v>449.44751100000002</v>
      </c>
      <c r="AT90" s="7">
        <v>491.98</v>
      </c>
      <c r="AU90" s="206">
        <f t="shared" ref="AU90:AU101" si="118">SUM(AR90:AT90)</f>
        <v>1123.0525110000001</v>
      </c>
      <c r="AV90" s="133"/>
      <c r="AW90" s="217">
        <f>AU90/AP90</f>
        <v>1.0260563281326376</v>
      </c>
      <c r="AY90" s="95">
        <f t="shared" ref="AY90:AY98" si="119">AA90+AI90+AU90</f>
        <v>82136.491070999997</v>
      </c>
      <c r="AZ90" s="95">
        <v>7830639.3899999997</v>
      </c>
      <c r="BB90" s="416"/>
      <c r="BC90" s="417"/>
      <c r="BD90" s="417"/>
      <c r="BE90" s="417"/>
      <c r="BF90" s="417"/>
      <c r="BG90" s="418"/>
    </row>
    <row r="91" spans="2:59" x14ac:dyDescent="0.25">
      <c r="B91" s="376" t="s">
        <v>254</v>
      </c>
      <c r="C91" s="3">
        <v>87257</v>
      </c>
      <c r="D91" s="3">
        <v>472860</v>
      </c>
      <c r="E91" s="4">
        <f t="shared" ref="E91:E99" si="120">C91+D91</f>
        <v>560117</v>
      </c>
      <c r="F91" s="14"/>
      <c r="G91" s="3">
        <v>41448</v>
      </c>
      <c r="H91" s="3">
        <v>231030</v>
      </c>
      <c r="I91" s="4">
        <f t="shared" ref="I91:I99" si="121">G91+H91</f>
        <v>272478</v>
      </c>
      <c r="J91" s="14"/>
      <c r="K91" s="3">
        <f>C91+G91</f>
        <v>128705</v>
      </c>
      <c r="L91" s="3">
        <f t="shared" ref="L91:L94" si="122">D91+H91</f>
        <v>703890</v>
      </c>
      <c r="M91" s="209">
        <f t="shared" ref="M91:M92" si="123">K91+L91</f>
        <v>832595</v>
      </c>
      <c r="N91" s="14"/>
      <c r="O91" s="177">
        <v>4.5620000000000001E-2</v>
      </c>
      <c r="P91" s="30">
        <f t="shared" ref="P91:P94" si="124">E91*O91</f>
        <v>25552.537540000001</v>
      </c>
      <c r="Q91" s="178">
        <v>3.041E-2</v>
      </c>
      <c r="R91" s="7">
        <f t="shared" ref="R91:R94" si="125">I91*Q91</f>
        <v>8286.0559799999992</v>
      </c>
      <c r="S91" s="168" t="s">
        <v>97</v>
      </c>
      <c r="T91" s="106">
        <v>11063.67</v>
      </c>
      <c r="U91" s="105">
        <f t="shared" ref="U91:U94" si="126">P91+R91+T91</f>
        <v>44902.26352</v>
      </c>
      <c r="V91" s="14"/>
      <c r="W91" s="9">
        <v>13787.47</v>
      </c>
      <c r="X91" s="31">
        <f t="shared" ref="X91:X100" si="127">U91/M91</f>
        <v>5.3930498645800178E-2</v>
      </c>
      <c r="Y91" s="214">
        <f t="shared" ref="Y91:Y100" si="128">(U91+W91)/M91</f>
        <v>7.049013448315207E-2</v>
      </c>
      <c r="Z91" s="16"/>
      <c r="AA91" s="202">
        <f t="shared" si="114"/>
        <v>58689.733520000002</v>
      </c>
      <c r="AB91" s="94"/>
      <c r="AC91" s="146">
        <v>30788.135050000001</v>
      </c>
      <c r="AD91" s="3">
        <v>23814.560890000001</v>
      </c>
      <c r="AE91" s="208">
        <f t="shared" si="115"/>
        <v>54602.695940000005</v>
      </c>
      <c r="AF91" s="113"/>
      <c r="AG91" s="7">
        <v>32048.32</v>
      </c>
      <c r="AH91" s="143">
        <v>10008.64</v>
      </c>
      <c r="AI91" s="205">
        <f t="shared" si="116"/>
        <v>22039.68</v>
      </c>
      <c r="AJ91" s="151"/>
      <c r="AK91" s="217">
        <f t="shared" si="112"/>
        <v>0.40363721278924086</v>
      </c>
      <c r="AL91" s="122"/>
      <c r="AM91" s="377">
        <v>139</v>
      </c>
      <c r="AN91" s="118">
        <v>496</v>
      </c>
      <c r="AO91" s="118">
        <v>443</v>
      </c>
      <c r="AP91" s="209">
        <f t="shared" si="117"/>
        <v>1078</v>
      </c>
      <c r="AQ91" s="47"/>
      <c r="AR91" s="108">
        <f>(AM91*0.667)+(196.5/2)</f>
        <v>190.96300000000002</v>
      </c>
      <c r="AS91" s="108">
        <f t="shared" si="113"/>
        <v>429.08199999999999</v>
      </c>
      <c r="AT91" s="7">
        <v>491.98</v>
      </c>
      <c r="AU91" s="206">
        <f t="shared" si="118"/>
        <v>1112.0250000000001</v>
      </c>
      <c r="AV91" s="133"/>
      <c r="AW91" s="217">
        <f t="shared" ref="AW91:AW100" si="129">AU91/AP91</f>
        <v>1.0315630797773656</v>
      </c>
      <c r="AY91" s="95">
        <f t="shared" si="119"/>
        <v>81841.438519999996</v>
      </c>
      <c r="AZ91" s="95">
        <v>9048977.7200000007</v>
      </c>
      <c r="BB91" s="416"/>
      <c r="BC91" s="417"/>
      <c r="BD91" s="417"/>
      <c r="BE91" s="417"/>
      <c r="BF91" s="417"/>
      <c r="BG91" s="418"/>
    </row>
    <row r="92" spans="2:59" x14ac:dyDescent="0.25">
      <c r="B92" s="376" t="s">
        <v>255</v>
      </c>
      <c r="C92" s="3">
        <v>64530</v>
      </c>
      <c r="D92" s="3">
        <v>336600</v>
      </c>
      <c r="E92" s="4">
        <f t="shared" si="120"/>
        <v>401130</v>
      </c>
      <c r="F92" s="14"/>
      <c r="G92" s="3">
        <v>38568</v>
      </c>
      <c r="H92" s="3">
        <v>216810</v>
      </c>
      <c r="I92" s="4">
        <f t="shared" si="121"/>
        <v>255378</v>
      </c>
      <c r="J92" s="14"/>
      <c r="K92" s="3">
        <f t="shared" ref="K92:K94" si="130">C92+G92</f>
        <v>103098</v>
      </c>
      <c r="L92" s="3">
        <f t="shared" si="122"/>
        <v>553410</v>
      </c>
      <c r="M92" s="209">
        <f t="shared" si="123"/>
        <v>656508</v>
      </c>
      <c r="N92" s="14"/>
      <c r="O92" s="177">
        <v>4.5620000000000001E-2</v>
      </c>
      <c r="P92" s="30">
        <f t="shared" si="124"/>
        <v>18299.550599999999</v>
      </c>
      <c r="Q92" s="178">
        <v>3.041E-2</v>
      </c>
      <c r="R92" s="7">
        <f t="shared" si="125"/>
        <v>7766.0449799999997</v>
      </c>
      <c r="S92" s="169" t="s">
        <v>97</v>
      </c>
      <c r="T92" s="106">
        <f>1728.66+8461.67</f>
        <v>10190.33</v>
      </c>
      <c r="U92" s="105">
        <f t="shared" si="126"/>
        <v>36255.925579999996</v>
      </c>
      <c r="V92" s="14"/>
      <c r="W92" s="9">
        <f>1474.2+7453.23</f>
        <v>8927.43</v>
      </c>
      <c r="X92" s="31">
        <f t="shared" si="127"/>
        <v>5.5225413216594459E-2</v>
      </c>
      <c r="Y92" s="214">
        <f t="shared" si="128"/>
        <v>6.8823769976908117E-2</v>
      </c>
      <c r="Z92" s="16"/>
      <c r="AA92" s="202">
        <f t="shared" si="114"/>
        <v>45183.355579999996</v>
      </c>
      <c r="AB92" s="94"/>
      <c r="AC92" s="146">
        <v>18726.23645</v>
      </c>
      <c r="AD92" s="3">
        <v>23507.807220877501</v>
      </c>
      <c r="AE92" s="208">
        <f t="shared" si="115"/>
        <v>42234.043670877501</v>
      </c>
      <c r="AF92" s="113"/>
      <c r="AG92" s="7">
        <v>22157.1</v>
      </c>
      <c r="AH92" s="143">
        <v>5166.5150619568749</v>
      </c>
      <c r="AI92" s="205">
        <f t="shared" si="116"/>
        <v>16990.584938043125</v>
      </c>
      <c r="AJ92" s="151"/>
      <c r="AK92" s="217">
        <f t="shared" si="112"/>
        <v>0.40229595514101785</v>
      </c>
      <c r="AL92" s="122"/>
      <c r="AM92" s="54">
        <v>77.274000000000001</v>
      </c>
      <c r="AN92" s="54">
        <v>0</v>
      </c>
      <c r="AO92" s="118">
        <v>443</v>
      </c>
      <c r="AP92" s="209">
        <f t="shared" si="117"/>
        <v>520.274</v>
      </c>
      <c r="AQ92" s="375"/>
      <c r="AR92" s="108">
        <f t="shared" si="113"/>
        <v>149.79175800000002</v>
      </c>
      <c r="AS92" s="108">
        <f t="shared" si="113"/>
        <v>98.25</v>
      </c>
      <c r="AT92" s="108">
        <v>491.98</v>
      </c>
      <c r="AU92" s="206">
        <f t="shared" si="118"/>
        <v>740.02175800000009</v>
      </c>
      <c r="AV92" s="133"/>
      <c r="AW92" s="217">
        <f>AU92/AP92</f>
        <v>1.4223692861838186</v>
      </c>
      <c r="AY92" s="95">
        <f t="shared" si="119"/>
        <v>62913.962276043123</v>
      </c>
      <c r="AZ92" s="95">
        <v>7113483.5700000003</v>
      </c>
      <c r="BB92" s="416"/>
      <c r="BC92" s="417"/>
      <c r="BD92" s="417"/>
      <c r="BE92" s="417"/>
      <c r="BF92" s="417"/>
      <c r="BG92" s="418"/>
    </row>
    <row r="93" spans="2:59" x14ac:dyDescent="0.25">
      <c r="B93" s="358" t="s">
        <v>256</v>
      </c>
      <c r="C93" s="3">
        <v>77572</v>
      </c>
      <c r="D93" s="3">
        <v>424800</v>
      </c>
      <c r="E93" s="4">
        <f t="shared" si="120"/>
        <v>502372</v>
      </c>
      <c r="F93" s="14"/>
      <c r="G93" s="3">
        <v>36920</v>
      </c>
      <c r="H93" s="3">
        <v>225150</v>
      </c>
      <c r="I93" s="4">
        <f t="shared" si="121"/>
        <v>262070</v>
      </c>
      <c r="J93" s="14"/>
      <c r="K93" s="3">
        <f t="shared" si="130"/>
        <v>114492</v>
      </c>
      <c r="L93" s="3">
        <f t="shared" si="122"/>
        <v>649950</v>
      </c>
      <c r="M93" s="209">
        <f>K93+L93</f>
        <v>764442</v>
      </c>
      <c r="N93" s="14"/>
      <c r="O93" s="177">
        <v>4.5620000000000001E-2</v>
      </c>
      <c r="P93" s="30">
        <f t="shared" si="124"/>
        <v>22918.210640000001</v>
      </c>
      <c r="Q93" s="178">
        <v>3.041E-2</v>
      </c>
      <c r="R93" s="7">
        <f t="shared" si="125"/>
        <v>7969.5487000000003</v>
      </c>
      <c r="S93" s="168" t="s">
        <v>97</v>
      </c>
      <c r="T93" s="106">
        <f>1750.74+8841.79</f>
        <v>10592.53</v>
      </c>
      <c r="U93" s="105">
        <f t="shared" si="126"/>
        <v>41480.289340000003</v>
      </c>
      <c r="V93" s="14"/>
      <c r="W93" s="9">
        <f>1535.6+8117.43</f>
        <v>9653.0300000000007</v>
      </c>
      <c r="X93" s="31">
        <f t="shared" si="127"/>
        <v>5.4262179916854392E-2</v>
      </c>
      <c r="Y93" s="214">
        <f t="shared" si="128"/>
        <v>6.6889730470068368E-2</v>
      </c>
      <c r="Z93" s="16"/>
      <c r="AA93" s="202">
        <f t="shared" si="114"/>
        <v>51133.319340000002</v>
      </c>
      <c r="AB93" s="94"/>
      <c r="AC93" s="146">
        <v>20451.120050000001</v>
      </c>
      <c r="AD93" s="3">
        <v>16633.492030000001</v>
      </c>
      <c r="AE93" s="208">
        <f t="shared" si="115"/>
        <v>37084.612080000006</v>
      </c>
      <c r="AF93" s="113"/>
      <c r="AG93" s="7">
        <v>18779.05</v>
      </c>
      <c r="AH93" s="143">
        <v>2249.7074160000002</v>
      </c>
      <c r="AI93" s="205">
        <f t="shared" si="116"/>
        <v>16529.342583999998</v>
      </c>
      <c r="AJ93" s="151"/>
      <c r="AK93" s="217">
        <f t="shared" si="112"/>
        <v>0.44571971113901415</v>
      </c>
      <c r="AL93" s="122"/>
      <c r="AM93" s="3">
        <v>139</v>
      </c>
      <c r="AN93" s="3">
        <v>77.715000000000003</v>
      </c>
      <c r="AO93" s="18">
        <v>590</v>
      </c>
      <c r="AP93" s="209">
        <f t="shared" si="117"/>
        <v>806.71500000000003</v>
      </c>
      <c r="AQ93" s="47"/>
      <c r="AR93" s="7">
        <f t="shared" si="113"/>
        <v>190.96300000000002</v>
      </c>
      <c r="AS93" s="7">
        <f>(AN93*0.667)+(196.5/2)</f>
        <v>150.085905</v>
      </c>
      <c r="AT93" s="7">
        <v>590.03</v>
      </c>
      <c r="AU93" s="206">
        <f t="shared" si="118"/>
        <v>931.07890499999996</v>
      </c>
      <c r="AV93" s="133"/>
      <c r="AW93" s="217">
        <f t="shared" si="129"/>
        <v>1.1541608932522638</v>
      </c>
      <c r="AY93" s="95">
        <f t="shared" si="119"/>
        <v>68593.740829000002</v>
      </c>
      <c r="AZ93" s="95">
        <v>8267531.3700000001</v>
      </c>
      <c r="BB93" s="416"/>
      <c r="BC93" s="417"/>
      <c r="BD93" s="417"/>
      <c r="BE93" s="417"/>
      <c r="BF93" s="417"/>
      <c r="BG93" s="418"/>
    </row>
    <row r="94" spans="2:59" x14ac:dyDescent="0.25">
      <c r="B94" s="358" t="s">
        <v>257</v>
      </c>
      <c r="C94" s="3">
        <v>83488</v>
      </c>
      <c r="D94" s="3">
        <v>442530</v>
      </c>
      <c r="E94" s="4">
        <f t="shared" si="120"/>
        <v>526018</v>
      </c>
      <c r="F94" s="14"/>
      <c r="G94" s="3">
        <v>39083</v>
      </c>
      <c r="H94" s="3">
        <v>224160</v>
      </c>
      <c r="I94" s="4">
        <f t="shared" si="121"/>
        <v>263243</v>
      </c>
      <c r="J94" s="14"/>
      <c r="K94" s="3">
        <f t="shared" si="130"/>
        <v>122571</v>
      </c>
      <c r="L94" s="3">
        <f t="shared" si="122"/>
        <v>666690</v>
      </c>
      <c r="M94" s="209">
        <f t="shared" ref="M94" si="131">K94+L94</f>
        <v>789261</v>
      </c>
      <c r="N94" s="14"/>
      <c r="O94" s="8">
        <v>4.5620000000000001E-2</v>
      </c>
      <c r="P94" s="30">
        <f t="shared" si="124"/>
        <v>23996.941160000002</v>
      </c>
      <c r="Q94" s="8">
        <v>3.041E-2</v>
      </c>
      <c r="R94" s="7">
        <f t="shared" si="125"/>
        <v>8005.2196299999996</v>
      </c>
      <c r="S94" s="169" t="s">
        <v>97</v>
      </c>
      <c r="T94" s="106">
        <v>10714.59</v>
      </c>
      <c r="U94" s="105">
        <f t="shared" si="126"/>
        <v>42716.750790000006</v>
      </c>
      <c r="V94" s="14"/>
      <c r="W94" s="9">
        <v>9648.2099999999991</v>
      </c>
      <c r="X94" s="31">
        <f t="shared" si="127"/>
        <v>5.4122464926051085E-2</v>
      </c>
      <c r="Y94" s="214">
        <f t="shared" si="128"/>
        <v>6.6346824168430976E-2</v>
      </c>
      <c r="Z94" s="16"/>
      <c r="AA94" s="202">
        <f t="shared" si="114"/>
        <v>52364.960790000005</v>
      </c>
      <c r="AB94" s="94"/>
      <c r="AC94" s="146">
        <v>14265.439091022001</v>
      </c>
      <c r="AD94" s="3">
        <v>13354.079357914799</v>
      </c>
      <c r="AE94" s="208">
        <f t="shared" si="115"/>
        <v>27619.5184489368</v>
      </c>
      <c r="AF94" s="113"/>
      <c r="AG94" s="7">
        <v>15219.82</v>
      </c>
      <c r="AH94" s="143">
        <v>1606.9575121361645</v>
      </c>
      <c r="AI94" s="205">
        <f t="shared" si="116"/>
        <v>13612.862487863835</v>
      </c>
      <c r="AJ94" s="151"/>
      <c r="AK94" s="217">
        <f t="shared" si="112"/>
        <v>0.49287110175477572</v>
      </c>
      <c r="AL94" s="122"/>
      <c r="AM94" s="148">
        <v>134</v>
      </c>
      <c r="AN94" s="18">
        <v>298</v>
      </c>
      <c r="AO94" s="18">
        <v>458</v>
      </c>
      <c r="AP94" s="209">
        <f t="shared" si="117"/>
        <v>890</v>
      </c>
      <c r="AQ94" s="47"/>
      <c r="AR94" s="7">
        <f t="shared" si="113"/>
        <v>187.62799999999999</v>
      </c>
      <c r="AS94" s="7">
        <f t="shared" si="113"/>
        <v>297.01600000000002</v>
      </c>
      <c r="AT94" s="7">
        <v>501.99</v>
      </c>
      <c r="AU94" s="206">
        <f t="shared" si="118"/>
        <v>986.63400000000001</v>
      </c>
      <c r="AV94" s="133"/>
      <c r="AW94" s="217">
        <f t="shared" si="129"/>
        <v>1.1085775280898877</v>
      </c>
      <c r="AY94" s="95">
        <f t="shared" si="119"/>
        <v>66964.457277863839</v>
      </c>
      <c r="AZ94" s="95">
        <v>8305615.2599999998</v>
      </c>
      <c r="BB94" s="416"/>
      <c r="BC94" s="417"/>
      <c r="BD94" s="417"/>
      <c r="BE94" s="417"/>
      <c r="BF94" s="417"/>
      <c r="BG94" s="418"/>
    </row>
    <row r="95" spans="2:59" x14ac:dyDescent="0.25">
      <c r="B95" s="358" t="s">
        <v>258</v>
      </c>
      <c r="C95" s="3">
        <v>80346</v>
      </c>
      <c r="D95" s="3">
        <v>432720</v>
      </c>
      <c r="E95" s="4">
        <f t="shared" si="120"/>
        <v>513066</v>
      </c>
      <c r="F95" s="14"/>
      <c r="G95" s="3">
        <v>45910</v>
      </c>
      <c r="H95" s="3">
        <v>273360</v>
      </c>
      <c r="I95" s="4">
        <f t="shared" si="121"/>
        <v>319270</v>
      </c>
      <c r="J95" s="14"/>
      <c r="K95" s="3">
        <f>C95+G95</f>
        <v>126256</v>
      </c>
      <c r="L95" s="3">
        <f>D95+H95</f>
        <v>706080</v>
      </c>
      <c r="M95" s="209">
        <f>K95+L95</f>
        <v>832336</v>
      </c>
      <c r="N95" s="14"/>
      <c r="O95" s="8">
        <v>4.5620000000000001E-2</v>
      </c>
      <c r="P95" s="30">
        <f t="shared" ref="P95:P100" si="132">E95*O95</f>
        <v>23406.070920000002</v>
      </c>
      <c r="Q95" s="8">
        <v>3.041E-2</v>
      </c>
      <c r="R95" s="7">
        <f>I95*Q95</f>
        <v>9709.0007000000005</v>
      </c>
      <c r="S95" s="168" t="s">
        <v>97</v>
      </c>
      <c r="T95" s="106">
        <v>11304.94</v>
      </c>
      <c r="U95" s="105">
        <f>P95+R95+T95</f>
        <v>44420.011620000005</v>
      </c>
      <c r="V95" s="14"/>
      <c r="W95" s="9">
        <v>10078.120000000001</v>
      </c>
      <c r="X95" s="31">
        <f t="shared" si="127"/>
        <v>5.3367884628323183E-2</v>
      </c>
      <c r="Y95" s="214">
        <f t="shared" si="128"/>
        <v>6.5476119764133728E-2</v>
      </c>
      <c r="Z95" s="16"/>
      <c r="AA95" s="202">
        <f>U95+W95</f>
        <v>54498.131620000007</v>
      </c>
      <c r="AB95" s="94"/>
      <c r="AC95" s="146">
        <v>14240</v>
      </c>
      <c r="AD95" s="3">
        <v>14283.22437</v>
      </c>
      <c r="AE95" s="208">
        <f t="shared" si="115"/>
        <v>28523.22437</v>
      </c>
      <c r="AF95" s="113"/>
      <c r="AG95" s="7">
        <v>15427.6</v>
      </c>
      <c r="AH95" s="143">
        <v>1292.9718439999999</v>
      </c>
      <c r="AI95" s="205">
        <f t="shared" si="116"/>
        <v>14134.628156000001</v>
      </c>
      <c r="AJ95" s="151"/>
      <c r="AK95" s="217">
        <f t="shared" si="112"/>
        <v>0.49554804788712603</v>
      </c>
      <c r="AL95" s="122"/>
      <c r="AM95" s="148">
        <v>139</v>
      </c>
      <c r="AN95" s="3">
        <v>308</v>
      </c>
      <c r="AO95" s="3">
        <v>474</v>
      </c>
      <c r="AP95" s="209">
        <f t="shared" si="117"/>
        <v>921</v>
      </c>
      <c r="AQ95" s="47"/>
      <c r="AR95" s="7">
        <f t="shared" si="113"/>
        <v>190.96300000000002</v>
      </c>
      <c r="AS95" s="7">
        <f t="shared" si="113"/>
        <v>303.68600000000004</v>
      </c>
      <c r="AT95" s="7">
        <f>(AO95*0.667)+196.5</f>
        <v>512.65800000000002</v>
      </c>
      <c r="AU95" s="206">
        <f t="shared" si="118"/>
        <v>1007.307</v>
      </c>
      <c r="AV95" s="133"/>
      <c r="AW95" s="217">
        <f t="shared" si="129"/>
        <v>1.0937100977198697</v>
      </c>
      <c r="AY95" s="95">
        <f t="shared" si="119"/>
        <v>69640.066776000007</v>
      </c>
      <c r="AZ95" s="95">
        <v>8251393.0599999996</v>
      </c>
      <c r="BB95" s="416"/>
      <c r="BC95" s="417"/>
      <c r="BD95" s="417"/>
      <c r="BE95" s="417"/>
      <c r="BF95" s="417"/>
      <c r="BG95" s="418"/>
    </row>
    <row r="96" spans="2:59" x14ac:dyDescent="0.25">
      <c r="B96" s="358" t="s">
        <v>259</v>
      </c>
      <c r="C96" s="3">
        <v>51440</v>
      </c>
      <c r="D96" s="3">
        <v>281820</v>
      </c>
      <c r="E96" s="4">
        <f t="shared" si="120"/>
        <v>333260</v>
      </c>
      <c r="F96" s="14"/>
      <c r="G96" s="3">
        <v>25572</v>
      </c>
      <c r="H96" s="3">
        <v>157860</v>
      </c>
      <c r="I96" s="4">
        <f t="shared" si="121"/>
        <v>183432</v>
      </c>
      <c r="J96" s="14"/>
      <c r="K96" s="3">
        <f t="shared" ref="K96:K99" si="133">C96+G96</f>
        <v>77012</v>
      </c>
      <c r="L96" s="3">
        <f t="shared" ref="L96:L99" si="134">D96+H96</f>
        <v>439680</v>
      </c>
      <c r="M96" s="209">
        <f t="shared" ref="M96:M99" si="135">K96+L96</f>
        <v>516692</v>
      </c>
      <c r="N96" s="14"/>
      <c r="O96" s="8">
        <v>4.5620000000000001E-2</v>
      </c>
      <c r="P96" s="30">
        <f t="shared" si="132"/>
        <v>15203.3212</v>
      </c>
      <c r="Q96" s="8">
        <v>3.041E-2</v>
      </c>
      <c r="R96" s="7">
        <f t="shared" ref="R96:R98" si="136">I96*Q96</f>
        <v>5578.1671200000001</v>
      </c>
      <c r="S96" s="169" t="s">
        <v>97</v>
      </c>
      <c r="T96" s="106">
        <v>10221.18</v>
      </c>
      <c r="U96" s="105">
        <f t="shared" ref="U96:U99" si="137">P96+R96+T96</f>
        <v>31002.668320000001</v>
      </c>
      <c r="V96" s="14"/>
      <c r="W96" s="9">
        <v>8364.64</v>
      </c>
      <c r="X96" s="31">
        <f t="shared" si="127"/>
        <v>6.000222244586717E-2</v>
      </c>
      <c r="Y96" s="214">
        <f t="shared" si="128"/>
        <v>7.6191054477328851E-2</v>
      </c>
      <c r="Z96" s="16"/>
      <c r="AA96" s="202">
        <f t="shared" ref="AA96" si="138">U96+W96</f>
        <v>39367.308319999996</v>
      </c>
      <c r="AB96" s="94"/>
      <c r="AC96" s="147">
        <v>1997</v>
      </c>
      <c r="AD96" s="54">
        <v>12551.82288</v>
      </c>
      <c r="AE96" s="208">
        <f t="shared" si="115"/>
        <v>14548.82288</v>
      </c>
      <c r="AF96" s="113"/>
      <c r="AG96" s="7">
        <v>11204.2</v>
      </c>
      <c r="AH96" s="143">
        <v>1359.4804220000001</v>
      </c>
      <c r="AI96" s="205">
        <f t="shared" si="116"/>
        <v>9844.7195780000002</v>
      </c>
      <c r="AJ96" s="151"/>
      <c r="AK96" s="217">
        <f t="shared" si="112"/>
        <v>0.67666777300130276</v>
      </c>
      <c r="AL96" s="122"/>
      <c r="AM96" s="148">
        <v>0</v>
      </c>
      <c r="AN96" s="18">
        <v>0</v>
      </c>
      <c r="AO96" s="18">
        <v>474</v>
      </c>
      <c r="AP96" s="209">
        <f t="shared" si="117"/>
        <v>474</v>
      </c>
      <c r="AQ96" s="47"/>
      <c r="AR96" s="7">
        <f>196.5/2</f>
        <v>98.25</v>
      </c>
      <c r="AS96" s="7">
        <f>196.5/2</f>
        <v>98.25</v>
      </c>
      <c r="AT96" s="7">
        <f>(AO96*0.667)+196.5</f>
        <v>512.65800000000002</v>
      </c>
      <c r="AU96" s="206">
        <f t="shared" si="118"/>
        <v>709.15800000000002</v>
      </c>
      <c r="AV96" s="133"/>
      <c r="AW96" s="217">
        <f t="shared" si="129"/>
        <v>1.4961139240506329</v>
      </c>
      <c r="AY96" s="95">
        <f t="shared" si="119"/>
        <v>49921.185898000003</v>
      </c>
      <c r="AZ96" s="95">
        <v>4349835.22</v>
      </c>
      <c r="BB96" s="416"/>
      <c r="BC96" s="417"/>
      <c r="BD96" s="417"/>
      <c r="BE96" s="417"/>
      <c r="BF96" s="417"/>
      <c r="BG96" s="418"/>
    </row>
    <row r="97" spans="2:59" x14ac:dyDescent="0.25">
      <c r="B97" s="358" t="s">
        <v>260</v>
      </c>
      <c r="C97" s="3">
        <v>82357</v>
      </c>
      <c r="D97" s="3">
        <v>436080</v>
      </c>
      <c r="E97" s="4">
        <f t="shared" si="120"/>
        <v>518437</v>
      </c>
      <c r="F97" s="14"/>
      <c r="G97" s="3">
        <v>43713</v>
      </c>
      <c r="H97" s="3">
        <v>259650</v>
      </c>
      <c r="I97" s="4">
        <f t="shared" si="121"/>
        <v>303363</v>
      </c>
      <c r="J97" s="14"/>
      <c r="K97" s="3">
        <f t="shared" si="133"/>
        <v>126070</v>
      </c>
      <c r="L97" s="3">
        <f t="shared" si="134"/>
        <v>695730</v>
      </c>
      <c r="M97" s="209">
        <f t="shared" si="135"/>
        <v>821800</v>
      </c>
      <c r="N97" s="14"/>
      <c r="O97" s="8">
        <v>4.5620000000000001E-2</v>
      </c>
      <c r="P97" s="30">
        <f t="shared" si="132"/>
        <v>23651.095939999999</v>
      </c>
      <c r="Q97" s="8">
        <v>3.041E-2</v>
      </c>
      <c r="R97" s="7">
        <f t="shared" si="136"/>
        <v>9225.2688299999991</v>
      </c>
      <c r="S97" s="168" t="s">
        <v>97</v>
      </c>
      <c r="T97" s="106">
        <v>10860.53</v>
      </c>
      <c r="U97" s="105">
        <f>P97+R97+T97</f>
        <v>43736.894769999999</v>
      </c>
      <c r="V97" s="14"/>
      <c r="W97" s="9">
        <v>9772.5499999999993</v>
      </c>
      <c r="X97" s="31">
        <f t="shared" si="127"/>
        <v>5.3220850292041856E-2</v>
      </c>
      <c r="Y97" s="214">
        <f t="shared" si="128"/>
        <v>6.5112490593818448E-2</v>
      </c>
      <c r="Z97" s="16"/>
      <c r="AA97" s="202">
        <f>U97+W97</f>
        <v>53509.444770000002</v>
      </c>
      <c r="AB97" s="94"/>
      <c r="AC97" s="146">
        <v>18083</v>
      </c>
      <c r="AD97" s="3">
        <v>14998.8339189044</v>
      </c>
      <c r="AE97" s="208">
        <f t="shared" si="115"/>
        <v>33081.833918904398</v>
      </c>
      <c r="AF97" s="113"/>
      <c r="AG97" s="7">
        <v>17317.419999999998</v>
      </c>
      <c r="AH97" s="143">
        <v>2300.1887280000001</v>
      </c>
      <c r="AI97" s="205">
        <f t="shared" si="116"/>
        <v>15017.231271999997</v>
      </c>
      <c r="AJ97" s="151"/>
      <c r="AK97" s="217">
        <f t="shared" si="112"/>
        <v>0.45394192198693367</v>
      </c>
      <c r="AL97" s="122"/>
      <c r="AM97" s="148">
        <v>0</v>
      </c>
      <c r="AN97" s="18">
        <v>0</v>
      </c>
      <c r="AO97" s="18">
        <v>568</v>
      </c>
      <c r="AP97" s="209">
        <f t="shared" si="117"/>
        <v>568</v>
      </c>
      <c r="AQ97" s="47"/>
      <c r="AR97" s="7">
        <f>196.5/2</f>
        <v>98.25</v>
      </c>
      <c r="AS97" s="7">
        <f>196.5/2</f>
        <v>98.25</v>
      </c>
      <c r="AT97" s="7">
        <v>575.36</v>
      </c>
      <c r="AU97" s="206">
        <f t="shared" si="118"/>
        <v>771.86</v>
      </c>
      <c r="AV97" s="133"/>
      <c r="AW97" s="217">
        <f t="shared" si="129"/>
        <v>1.3589084507042253</v>
      </c>
      <c r="AY97" s="95">
        <f t="shared" si="119"/>
        <v>69298.536042000007</v>
      </c>
      <c r="AZ97" s="95">
        <v>9347053.9700000007</v>
      </c>
      <c r="BB97" s="416"/>
      <c r="BC97" s="417"/>
      <c r="BD97" s="417"/>
      <c r="BE97" s="417"/>
      <c r="BF97" s="417"/>
      <c r="BG97" s="418"/>
    </row>
    <row r="98" spans="2:59" x14ac:dyDescent="0.25">
      <c r="B98" s="358" t="s">
        <v>261</v>
      </c>
      <c r="C98" s="3">
        <v>79234</v>
      </c>
      <c r="D98" s="3">
        <v>446160</v>
      </c>
      <c r="E98" s="4">
        <f t="shared" si="120"/>
        <v>525394</v>
      </c>
      <c r="F98" s="14"/>
      <c r="G98" s="3">
        <v>41212</v>
      </c>
      <c r="H98" s="3">
        <v>257430</v>
      </c>
      <c r="I98" s="4">
        <f t="shared" si="121"/>
        <v>298642</v>
      </c>
      <c r="J98" s="14"/>
      <c r="K98" s="3">
        <f t="shared" si="133"/>
        <v>120446</v>
      </c>
      <c r="L98" s="3">
        <f t="shared" si="134"/>
        <v>703590</v>
      </c>
      <c r="M98" s="209">
        <f t="shared" si="135"/>
        <v>824036</v>
      </c>
      <c r="N98" s="14"/>
      <c r="O98" s="8">
        <v>4.5620000000000001E-2</v>
      </c>
      <c r="P98" s="30">
        <f t="shared" si="132"/>
        <v>23968.474280000002</v>
      </c>
      <c r="Q98" s="8">
        <v>3.041E-2</v>
      </c>
      <c r="R98" s="7">
        <f t="shared" si="136"/>
        <v>9081.7032199999994</v>
      </c>
      <c r="S98" s="169" t="s">
        <v>97</v>
      </c>
      <c r="T98" s="106">
        <v>11551.21</v>
      </c>
      <c r="U98" s="105">
        <f t="shared" si="137"/>
        <v>44601.387500000004</v>
      </c>
      <c r="V98" s="14"/>
      <c r="W98" s="9">
        <v>14090.98</v>
      </c>
      <c r="X98" s="31">
        <f t="shared" si="127"/>
        <v>5.4125532743715087E-2</v>
      </c>
      <c r="Y98" s="214">
        <f t="shared" si="128"/>
        <v>7.1225489541719061E-2</v>
      </c>
      <c r="Z98" s="16"/>
      <c r="AA98" s="202">
        <f>U98+W98</f>
        <v>58692.367500000008</v>
      </c>
      <c r="AB98" s="94"/>
      <c r="AC98" s="146">
        <v>23161</v>
      </c>
      <c r="AD98" s="3">
        <v>23651.093343850502</v>
      </c>
      <c r="AE98" s="208">
        <f t="shared" si="115"/>
        <v>46812.093343850502</v>
      </c>
      <c r="AF98" s="113"/>
      <c r="AG98" s="7">
        <v>22638.81</v>
      </c>
      <c r="AH98" s="143">
        <v>3121.0679249999998</v>
      </c>
      <c r="AI98" s="205">
        <f t="shared" si="116"/>
        <v>19517.742075000002</v>
      </c>
      <c r="AJ98" s="151"/>
      <c r="AK98" s="217">
        <f t="shared" si="112"/>
        <v>0.41693803205158225</v>
      </c>
      <c r="AL98" s="122"/>
      <c r="AM98" s="146">
        <v>96</v>
      </c>
      <c r="AN98" s="3">
        <v>183.011</v>
      </c>
      <c r="AO98" s="3">
        <v>494</v>
      </c>
      <c r="AP98" s="209">
        <f t="shared" si="117"/>
        <v>773.01099999999997</v>
      </c>
      <c r="AQ98" s="47"/>
      <c r="AR98" s="7">
        <f>(AM98*0.667)+(196.5/2)</f>
        <v>162.28200000000001</v>
      </c>
      <c r="AS98" s="7">
        <f t="shared" ref="AS98" si="139">(AN98*0.667)+(196.5/2)</f>
        <v>220.31833699999999</v>
      </c>
      <c r="AT98" s="100">
        <v>526</v>
      </c>
      <c r="AU98" s="206">
        <f t="shared" si="118"/>
        <v>908.60033699999997</v>
      </c>
      <c r="AV98" s="133"/>
      <c r="AW98" s="217">
        <f t="shared" si="129"/>
        <v>1.1754041494881704</v>
      </c>
      <c r="AY98" s="95">
        <f t="shared" si="119"/>
        <v>79118.709912000006</v>
      </c>
      <c r="AZ98" s="95">
        <v>9125556.9299999997</v>
      </c>
      <c r="BB98" s="416"/>
      <c r="BC98" s="417"/>
      <c r="BD98" s="417"/>
      <c r="BE98" s="417"/>
      <c r="BF98" s="417"/>
      <c r="BG98" s="418"/>
    </row>
    <row r="99" spans="2:59" x14ac:dyDescent="0.25">
      <c r="B99" s="358" t="s">
        <v>262</v>
      </c>
      <c r="C99" s="3">
        <v>81807</v>
      </c>
      <c r="D99" s="3">
        <v>471270</v>
      </c>
      <c r="E99" s="4">
        <f t="shared" si="120"/>
        <v>553077</v>
      </c>
      <c r="F99" s="14"/>
      <c r="G99" s="3">
        <v>41942</v>
      </c>
      <c r="H99" s="3">
        <v>258270</v>
      </c>
      <c r="I99" s="4">
        <f t="shared" si="121"/>
        <v>300212</v>
      </c>
      <c r="J99" s="14"/>
      <c r="K99" s="3">
        <f t="shared" si="133"/>
        <v>123749</v>
      </c>
      <c r="L99" s="3">
        <f t="shared" si="134"/>
        <v>729540</v>
      </c>
      <c r="M99" s="209">
        <f t="shared" si="135"/>
        <v>853289</v>
      </c>
      <c r="N99" s="14"/>
      <c r="O99" s="8">
        <v>4.5620000000000001E-2</v>
      </c>
      <c r="P99" s="30">
        <f t="shared" si="132"/>
        <v>25231.372739999999</v>
      </c>
      <c r="Q99" s="8">
        <v>3.041E-2</v>
      </c>
      <c r="R99" s="7">
        <f>I99*Q99</f>
        <v>9129.4469200000003</v>
      </c>
      <c r="S99" s="168" t="s">
        <v>97</v>
      </c>
      <c r="T99" s="106">
        <v>11893.51</v>
      </c>
      <c r="U99" s="105">
        <f t="shared" si="137"/>
        <v>46254.329660000003</v>
      </c>
      <c r="V99" s="14"/>
      <c r="W99" s="9">
        <v>14550.75</v>
      </c>
      <c r="X99" s="31">
        <f t="shared" si="127"/>
        <v>5.4207108799011826E-2</v>
      </c>
      <c r="Y99" s="214">
        <f t="shared" si="128"/>
        <v>7.1259654888320367E-2</v>
      </c>
      <c r="Z99" s="16"/>
      <c r="AA99" s="202">
        <f>U99+W99</f>
        <v>60805.079660000003</v>
      </c>
      <c r="AB99" s="94"/>
      <c r="AC99" s="146">
        <v>47218</v>
      </c>
      <c r="AD99" s="3">
        <v>40781.907748955098</v>
      </c>
      <c r="AE99" s="208">
        <f t="shared" si="115"/>
        <v>87999.907748955098</v>
      </c>
      <c r="AF99" s="113"/>
      <c r="AG99" s="7">
        <v>43373.24</v>
      </c>
      <c r="AH99" s="143">
        <v>11761.71</v>
      </c>
      <c r="AI99" s="205">
        <f t="shared" si="116"/>
        <v>31611.53</v>
      </c>
      <c r="AJ99" s="151"/>
      <c r="AK99" s="217">
        <f t="shared" ref="AK99:AK100" si="140">AI99/AE99</f>
        <v>0.35922230839356023</v>
      </c>
      <c r="AL99" s="122"/>
      <c r="AM99" s="148">
        <v>33</v>
      </c>
      <c r="AN99" s="18">
        <v>464.50599999999997</v>
      </c>
      <c r="AO99" s="18">
        <v>478</v>
      </c>
      <c r="AP99" s="209">
        <f t="shared" si="117"/>
        <v>975.50599999999997</v>
      </c>
      <c r="AQ99" s="47"/>
      <c r="AR99" s="7">
        <f>(AM99*0.67565)+(170.39/2)</f>
        <v>107.49144999999999</v>
      </c>
      <c r="AS99" s="7">
        <f>(AN99*0.67565)+(170.39/2)</f>
        <v>399.03847889999997</v>
      </c>
      <c r="AT99" s="7">
        <v>496.96</v>
      </c>
      <c r="AU99" s="206">
        <f t="shared" si="118"/>
        <v>1003.4899289</v>
      </c>
      <c r="AV99" s="133"/>
      <c r="AW99" s="217">
        <f t="shared" si="129"/>
        <v>1.028686577940064</v>
      </c>
      <c r="AY99" s="95">
        <f>AA99+AI99+AU99</f>
        <v>93420.099588900004</v>
      </c>
      <c r="AZ99" s="95">
        <v>9329273.2899999991</v>
      </c>
      <c r="BB99" s="416"/>
      <c r="BC99" s="417"/>
      <c r="BD99" s="417"/>
      <c r="BE99" s="417"/>
      <c r="BF99" s="417"/>
      <c r="BG99" s="418"/>
    </row>
    <row r="100" spans="2:59" ht="15.75" thickBot="1" x14ac:dyDescent="0.3">
      <c r="B100" s="358" t="s">
        <v>263</v>
      </c>
      <c r="C100" s="18">
        <v>57888</v>
      </c>
      <c r="D100" s="18">
        <v>340380</v>
      </c>
      <c r="E100" s="19">
        <f>C100+D100</f>
        <v>398268</v>
      </c>
      <c r="F100" s="14"/>
      <c r="G100" s="18">
        <v>36371</v>
      </c>
      <c r="H100" s="18">
        <v>233490</v>
      </c>
      <c r="I100" s="19">
        <f>G100+H100</f>
        <v>269861</v>
      </c>
      <c r="J100" s="14"/>
      <c r="K100" s="18">
        <f>C100+G100</f>
        <v>94259</v>
      </c>
      <c r="L100" s="18">
        <f>(D100+H100)</f>
        <v>573870</v>
      </c>
      <c r="M100" s="263">
        <f>K100+L100</f>
        <v>668129</v>
      </c>
      <c r="N100" s="14"/>
      <c r="O100" s="8">
        <v>4.5620000000000001E-2</v>
      </c>
      <c r="P100" s="30">
        <f t="shared" si="132"/>
        <v>18168.98616</v>
      </c>
      <c r="Q100" s="8">
        <v>3.041E-2</v>
      </c>
      <c r="R100" s="7">
        <f>I100*Q100</f>
        <v>8206.4730099999997</v>
      </c>
      <c r="S100" s="169" t="s">
        <v>97</v>
      </c>
      <c r="T100" s="106">
        <v>10733.55</v>
      </c>
      <c r="U100" s="265">
        <f>P100+R100+T100</f>
        <v>37109.009170000005</v>
      </c>
      <c r="V100" s="14"/>
      <c r="W100" s="22">
        <v>12573.67</v>
      </c>
      <c r="X100" s="32">
        <f t="shared" si="127"/>
        <v>5.5541683073178992E-2</v>
      </c>
      <c r="Y100" s="215">
        <f t="shared" si="128"/>
        <v>7.4360908103075912E-2</v>
      </c>
      <c r="Z100" s="16"/>
      <c r="AA100" s="203">
        <f>U100+W100</f>
        <v>49682.679170000003</v>
      </c>
      <c r="AB100" s="94"/>
      <c r="AC100" s="148">
        <v>68586</v>
      </c>
      <c r="AD100" s="18">
        <v>18066.831564986798</v>
      </c>
      <c r="AE100" s="208">
        <f t="shared" si="115"/>
        <v>86652.831564986802</v>
      </c>
      <c r="AF100" s="114"/>
      <c r="AG100" s="50">
        <v>48485.2</v>
      </c>
      <c r="AH100" s="144">
        <v>16205.25</v>
      </c>
      <c r="AI100" s="205">
        <f t="shared" si="116"/>
        <v>32279.949999999997</v>
      </c>
      <c r="AJ100" s="152"/>
      <c r="AK100" s="217">
        <f t="shared" si="140"/>
        <v>0.37252042913094058</v>
      </c>
      <c r="AL100" s="122"/>
      <c r="AM100" s="148">
        <v>89</v>
      </c>
      <c r="AN100" s="18">
        <v>231</v>
      </c>
      <c r="AO100" s="18">
        <v>494</v>
      </c>
      <c r="AP100" s="209">
        <f t="shared" si="117"/>
        <v>814</v>
      </c>
      <c r="AQ100" s="52"/>
      <c r="AR100" s="7">
        <f>(AM100*0.6832)+(170.39/2)</f>
        <v>145.99979999999999</v>
      </c>
      <c r="AS100" s="7">
        <f>(AN100*0.6832)+(170.39/2)</f>
        <v>243.01419999999999</v>
      </c>
      <c r="AT100" s="50">
        <v>507.89</v>
      </c>
      <c r="AU100" s="206">
        <f t="shared" si="118"/>
        <v>896.904</v>
      </c>
      <c r="AV100" s="134"/>
      <c r="AW100" s="217">
        <f t="shared" si="129"/>
        <v>1.1018476658476659</v>
      </c>
      <c r="AY100" s="95">
        <f>AA100+AI100+AU100</f>
        <v>82859.533169999995</v>
      </c>
      <c r="AZ100" s="95">
        <v>6305424.6799999997</v>
      </c>
      <c r="BB100" s="416"/>
      <c r="BC100" s="417"/>
      <c r="BD100" s="417"/>
      <c r="BE100" s="417"/>
      <c r="BF100" s="417"/>
      <c r="BG100" s="418"/>
    </row>
    <row r="101" spans="2:59" ht="15.75" thickBot="1" x14ac:dyDescent="0.3">
      <c r="B101" s="360">
        <v>2017</v>
      </c>
      <c r="C101" s="23">
        <f>SUM(C89:C100)</f>
        <v>907153</v>
      </c>
      <c r="D101" s="23">
        <f>SUM(D89:D100)</f>
        <v>4902090</v>
      </c>
      <c r="E101" s="27">
        <f>SUM(E89:E100)</f>
        <v>5809243</v>
      </c>
      <c r="F101" s="23"/>
      <c r="G101" s="23">
        <f>SUM(G89:G100)</f>
        <v>475429</v>
      </c>
      <c r="H101" s="23">
        <f>SUM(H89:H100)</f>
        <v>2802600</v>
      </c>
      <c r="I101" s="27">
        <f>SUM(I89:I100)</f>
        <v>3278029</v>
      </c>
      <c r="J101" s="23"/>
      <c r="K101" s="23">
        <f>SUM(K89:K100)</f>
        <v>1382582</v>
      </c>
      <c r="L101" s="23">
        <f>SUM(L89:L100)</f>
        <v>7704690</v>
      </c>
      <c r="M101" s="210">
        <f>SUM(M89:M100)</f>
        <v>9087272</v>
      </c>
      <c r="N101" s="23"/>
      <c r="O101" s="107">
        <f>SUM(O89:O100)/COUNTA(O89:O100)</f>
        <v>4.5620000000000001E-2</v>
      </c>
      <c r="P101" s="26">
        <f>SUM(P89:P100)</f>
        <v>265017.66566</v>
      </c>
      <c r="Q101" s="107">
        <f>SUM(Q89:Q100)/COUNTA(Q89:Q100)</f>
        <v>3.0409999999999996E-2</v>
      </c>
      <c r="R101" s="26">
        <f>SUM(R89:R100)</f>
        <v>99684.86189</v>
      </c>
      <c r="S101" s="170" t="s">
        <v>97</v>
      </c>
      <c r="T101" s="26">
        <f>SUM(T89:T100)</f>
        <v>130860.06</v>
      </c>
      <c r="U101" s="266">
        <f>SUM(U89:U100)</f>
        <v>495562.58755000005</v>
      </c>
      <c r="V101" s="23"/>
      <c r="W101" s="28">
        <f>SUM(W89:W100)</f>
        <v>137866.26999999999</v>
      </c>
      <c r="X101" s="25">
        <f>(U101)/M101</f>
        <v>5.4533702474185881E-2</v>
      </c>
      <c r="Y101" s="220">
        <f>(U101+W101)/M101</f>
        <v>6.9705061931677637E-2</v>
      </c>
      <c r="Z101" s="361"/>
      <c r="AA101" s="252">
        <f>SUM(AA89:AA100)</f>
        <v>633428.85755000007</v>
      </c>
      <c r="AB101" s="94"/>
      <c r="AC101" s="149">
        <f>SUM(AC89:AC100)</f>
        <v>375775.26789987297</v>
      </c>
      <c r="AD101" s="140">
        <f>SUM(AD89:AD100)</f>
        <v>306302.60553138232</v>
      </c>
      <c r="AE101" s="212">
        <f>SUM(AE89:AE100)</f>
        <v>682077.87343125546</v>
      </c>
      <c r="AF101" s="153"/>
      <c r="AG101" s="136">
        <f>SUM(AG89:AG100)</f>
        <v>364256.04000000004</v>
      </c>
      <c r="AH101" s="136">
        <f>SUM(AH89:AH100)</f>
        <v>96129.058159093023</v>
      </c>
      <c r="AI101" s="251">
        <f>SUM(AI89:AI100)</f>
        <v>268126.9818409069</v>
      </c>
      <c r="AJ101" s="134"/>
      <c r="AK101" s="219">
        <f>AI101/AE101</f>
        <v>0.39310318115447651</v>
      </c>
      <c r="AL101" s="122"/>
      <c r="AM101" s="149">
        <f>SUM(AM89:AM100)</f>
        <v>1110.2739999999999</v>
      </c>
      <c r="AN101" s="23">
        <f>SUM(AN89:AN100)</f>
        <v>3113.7539999999999</v>
      </c>
      <c r="AO101" s="23">
        <f>SUM(AO89:AO100)</f>
        <v>5802</v>
      </c>
      <c r="AP101" s="210">
        <f>SUM(AP89:AP100)</f>
        <v>10026.027999999998</v>
      </c>
      <c r="AQ101" s="49"/>
      <c r="AR101" s="51">
        <f>SUM(AR89:AR100)</f>
        <v>1895.1700079999998</v>
      </c>
      <c r="AS101" s="51">
        <f>SUM(AS89:AS100)</f>
        <v>3237.5240949000004</v>
      </c>
      <c r="AT101" s="51">
        <f>SUM(AT89:AT100)</f>
        <v>6191.4659999999994</v>
      </c>
      <c r="AU101" s="251">
        <f t="shared" si="118"/>
        <v>11324.160102899999</v>
      </c>
      <c r="AV101" s="132"/>
      <c r="AW101" s="219">
        <f>AU101/AP101</f>
        <v>1.1294762096116231</v>
      </c>
      <c r="AY101" s="96">
        <f>AA101+AI101+AU101</f>
        <v>912879.99949380697</v>
      </c>
      <c r="AZ101" s="96">
        <f>SUM(AZ89:AZ100)</f>
        <v>95143993.210000008</v>
      </c>
      <c r="BB101" s="419"/>
      <c r="BC101" s="420"/>
      <c r="BD101" s="420"/>
      <c r="BE101" s="420"/>
      <c r="BF101" s="420"/>
      <c r="BG101" s="421"/>
    </row>
    <row r="102" spans="2:59" x14ac:dyDescent="0.25">
      <c r="AD102" s="13"/>
      <c r="AZ102" s="13"/>
    </row>
    <row r="103" spans="2:59" ht="15.75" thickBot="1" x14ac:dyDescent="0.3">
      <c r="AD103" s="15"/>
      <c r="AM103" s="15"/>
      <c r="AZ103" s="15"/>
    </row>
    <row r="104" spans="2:59" x14ac:dyDescent="0.25">
      <c r="B104" s="380" t="s">
        <v>283</v>
      </c>
      <c r="C104" s="58">
        <v>81297</v>
      </c>
      <c r="D104" s="58">
        <v>483030</v>
      </c>
      <c r="E104" s="59">
        <f>C104+D104</f>
        <v>564327</v>
      </c>
      <c r="F104" s="13"/>
      <c r="G104" s="58">
        <v>42791</v>
      </c>
      <c r="H104" s="58">
        <v>283710</v>
      </c>
      <c r="I104" s="59">
        <f>G104+H104</f>
        <v>326501</v>
      </c>
      <c r="J104" s="13"/>
      <c r="K104" s="58">
        <f t="shared" ref="K104:L106" si="141">C104+G104</f>
        <v>124088</v>
      </c>
      <c r="L104" s="58">
        <f t="shared" si="141"/>
        <v>766740</v>
      </c>
      <c r="M104" s="211">
        <f>K104+L104</f>
        <v>890828</v>
      </c>
      <c r="N104" s="13"/>
      <c r="O104" s="366">
        <v>5.8590000000000003E-2</v>
      </c>
      <c r="P104" s="61">
        <f t="shared" ref="P104:P109" si="142">E104*O104</f>
        <v>33063.91893</v>
      </c>
      <c r="Q104" s="367">
        <v>4.1549999999999997E-2</v>
      </c>
      <c r="R104" s="61">
        <f t="shared" ref="R104:R109" si="143">I104*Q104</f>
        <v>13566.116549999999</v>
      </c>
      <c r="S104" s="368" t="s">
        <v>97</v>
      </c>
      <c r="T104" s="369">
        <v>11985.42</v>
      </c>
      <c r="U104" s="370">
        <f>P104+R104+T104</f>
        <v>58615.455479999997</v>
      </c>
      <c r="V104" s="13"/>
      <c r="W104" s="62">
        <v>14901.15</v>
      </c>
      <c r="X104" s="63">
        <f>U104/M104</f>
        <v>6.5798847229768254E-2</v>
      </c>
      <c r="Y104" s="371">
        <f>(U104+W104)/M104</f>
        <v>8.252615036797227E-2</v>
      </c>
      <c r="Z104" s="65"/>
      <c r="AA104" s="372">
        <f>U104+W104</f>
        <v>73516.605479999998</v>
      </c>
      <c r="AB104" s="94"/>
      <c r="AC104" s="154">
        <v>61220</v>
      </c>
      <c r="AD104" s="68">
        <v>45480.417086640198</v>
      </c>
      <c r="AE104" s="211">
        <f>AC104+AD104</f>
        <v>106700.4170866402</v>
      </c>
      <c r="AF104" s="155"/>
      <c r="AG104" s="61">
        <v>55856.3</v>
      </c>
      <c r="AH104" s="156">
        <v>16339.12</v>
      </c>
      <c r="AI104" s="204">
        <f>AG104-AH104</f>
        <v>39517.18</v>
      </c>
      <c r="AJ104" s="157"/>
      <c r="AK104" s="216">
        <f>AI104/AE104</f>
        <v>0.37035637796909687</v>
      </c>
      <c r="AL104" s="122"/>
      <c r="AM104" s="68">
        <v>89</v>
      </c>
      <c r="AN104" s="362">
        <v>231</v>
      </c>
      <c r="AO104" s="362">
        <v>518</v>
      </c>
      <c r="AP104" s="211">
        <f>SUM(AM104:AO104)</f>
        <v>838</v>
      </c>
      <c r="AQ104" s="363"/>
      <c r="AR104" s="369">
        <f t="shared" ref="AR104:AS107" si="144">(AM104*0.6832)+(170.39/2)</f>
        <v>145.99979999999999</v>
      </c>
      <c r="AS104" s="369">
        <f t="shared" si="144"/>
        <v>243.01419999999999</v>
      </c>
      <c r="AT104" s="364">
        <v>524.16</v>
      </c>
      <c r="AU104" s="204">
        <f>SUM(AR104:AT104)</f>
        <v>913.17399999999998</v>
      </c>
      <c r="AV104" s="365"/>
      <c r="AW104" s="216">
        <f>AU104/AP104</f>
        <v>1.0897064439140811</v>
      </c>
      <c r="AY104" s="173">
        <f>AA104+AI104+AU104</f>
        <v>113946.95947999999</v>
      </c>
      <c r="AZ104" s="411">
        <v>9250373.0199999996</v>
      </c>
      <c r="BB104" s="413"/>
      <c r="BC104" s="414"/>
      <c r="BD104" s="414"/>
      <c r="BE104" s="414"/>
      <c r="BF104" s="414"/>
      <c r="BG104" s="415"/>
    </row>
    <row r="105" spans="2:59" x14ac:dyDescent="0.25">
      <c r="B105" s="376" t="s">
        <v>284</v>
      </c>
      <c r="C105" s="3">
        <v>70444</v>
      </c>
      <c r="D105" s="3">
        <v>426870</v>
      </c>
      <c r="E105" s="4">
        <f>C105+D105</f>
        <v>497314</v>
      </c>
      <c r="F105" s="14"/>
      <c r="G105" s="3">
        <v>38272</v>
      </c>
      <c r="H105" s="3">
        <v>264630</v>
      </c>
      <c r="I105" s="4">
        <f>G105+H105</f>
        <v>302902</v>
      </c>
      <c r="J105" s="14"/>
      <c r="K105" s="3">
        <f t="shared" si="141"/>
        <v>108716</v>
      </c>
      <c r="L105" s="3">
        <f t="shared" si="141"/>
        <v>691500</v>
      </c>
      <c r="M105" s="209">
        <f>K105+L105</f>
        <v>800216</v>
      </c>
      <c r="N105" s="14"/>
      <c r="O105" s="177">
        <v>5.8590000000000003E-2</v>
      </c>
      <c r="P105" s="7">
        <f t="shared" si="142"/>
        <v>29137.627260000001</v>
      </c>
      <c r="Q105" s="178">
        <v>4.1549999999999997E-2</v>
      </c>
      <c r="R105" s="7">
        <f t="shared" si="143"/>
        <v>12585.578099999999</v>
      </c>
      <c r="S105" s="169" t="s">
        <v>97</v>
      </c>
      <c r="T105" s="106">
        <v>11834.25</v>
      </c>
      <c r="U105" s="105">
        <f>P105+R105+T105</f>
        <v>53557.45536</v>
      </c>
      <c r="V105" s="14"/>
      <c r="W105" s="9">
        <v>14310.03</v>
      </c>
      <c r="X105" s="31">
        <f>U105/M105</f>
        <v>6.6928748437921765E-2</v>
      </c>
      <c r="Y105" s="214">
        <f>(U105+W105)/M105</f>
        <v>8.4811457606446261E-2</v>
      </c>
      <c r="Z105" s="16"/>
      <c r="AA105" s="202">
        <f t="shared" ref="AA105:AA106" si="145">U105+W105</f>
        <v>67867.485360000006</v>
      </c>
      <c r="AB105" s="94"/>
      <c r="AC105" s="146">
        <v>78669</v>
      </c>
      <c r="AD105" s="68">
        <v>49817.538148509397</v>
      </c>
      <c r="AE105" s="208">
        <f>AC105+AD105</f>
        <v>128486.5381485094</v>
      </c>
      <c r="AF105" s="113"/>
      <c r="AG105" s="7">
        <v>61807.18</v>
      </c>
      <c r="AH105" s="143">
        <v>18827.18</v>
      </c>
      <c r="AI105" s="205">
        <f t="shared" ref="AI105:AI115" si="146">AG105-AH105</f>
        <v>42980</v>
      </c>
      <c r="AJ105" s="151"/>
      <c r="AK105" s="217">
        <f t="shared" ref="AK105" si="147">AI105/AE105</f>
        <v>0.33450975191130261</v>
      </c>
      <c r="AL105" s="122"/>
      <c r="AM105" s="3">
        <v>81</v>
      </c>
      <c r="AN105" s="18">
        <v>209</v>
      </c>
      <c r="AO105" s="18">
        <v>446</v>
      </c>
      <c r="AP105" s="209">
        <f t="shared" ref="AP105:AP113" si="148">SUM(AM105:AO105)</f>
        <v>736</v>
      </c>
      <c r="AQ105" s="47"/>
      <c r="AR105" s="108">
        <f t="shared" si="144"/>
        <v>140.5342</v>
      </c>
      <c r="AS105" s="108">
        <f t="shared" si="144"/>
        <v>227.9838</v>
      </c>
      <c r="AT105" s="7">
        <v>475.1</v>
      </c>
      <c r="AU105" s="206">
        <f t="shared" ref="AU105:AU116" si="149">SUM(AR105:AT105)</f>
        <v>843.61800000000005</v>
      </c>
      <c r="AV105" s="133"/>
      <c r="AW105" s="217">
        <f>AU105/AP105</f>
        <v>1.1462201086956523</v>
      </c>
      <c r="AY105" s="95">
        <f t="shared" ref="AY105:AY113" si="150">AA105+AI105+AU105</f>
        <v>111691.10336000001</v>
      </c>
      <c r="AZ105" s="95">
        <v>8689503</v>
      </c>
      <c r="BB105" s="416"/>
      <c r="BC105" s="417"/>
      <c r="BD105" s="417"/>
      <c r="BE105" s="417"/>
      <c r="BF105" s="417"/>
      <c r="BG105" s="418"/>
    </row>
    <row r="106" spans="2:59" x14ac:dyDescent="0.25">
      <c r="B106" s="376" t="s">
        <v>285</v>
      </c>
      <c r="C106" s="3">
        <v>87251</v>
      </c>
      <c r="D106" s="3">
        <v>502980</v>
      </c>
      <c r="E106" s="4">
        <f t="shared" ref="E106:E114" si="151">C106+D106</f>
        <v>590231</v>
      </c>
      <c r="F106" s="14"/>
      <c r="G106" s="3">
        <v>47505</v>
      </c>
      <c r="H106" s="3">
        <v>281490</v>
      </c>
      <c r="I106" s="4">
        <f t="shared" ref="I106:I114" si="152">G106+H106</f>
        <v>328995</v>
      </c>
      <c r="J106" s="14"/>
      <c r="K106" s="3">
        <f t="shared" ref="K106:K112" si="153">C106+G106</f>
        <v>134756</v>
      </c>
      <c r="L106" s="3">
        <f t="shared" si="141"/>
        <v>784470</v>
      </c>
      <c r="M106" s="209">
        <f t="shared" ref="M106:M107" si="154">K106+L106</f>
        <v>919226</v>
      </c>
      <c r="N106" s="14"/>
      <c r="O106" s="177">
        <v>5.8590000000000003E-2</v>
      </c>
      <c r="P106" s="30">
        <f t="shared" si="142"/>
        <v>34581.634290000002</v>
      </c>
      <c r="Q106" s="178">
        <v>4.1549999999999997E-2</v>
      </c>
      <c r="R106" s="7">
        <f t="shared" si="143"/>
        <v>13669.742249999999</v>
      </c>
      <c r="S106" s="168" t="s">
        <v>97</v>
      </c>
      <c r="T106" s="106">
        <v>12151.84</v>
      </c>
      <c r="U106" s="105">
        <f t="shared" ref="U106:U107" si="155">P106+R106+T106</f>
        <v>60403.216539999994</v>
      </c>
      <c r="V106" s="14"/>
      <c r="W106" s="9">
        <v>15200.25</v>
      </c>
      <c r="X106" s="31">
        <f>U106/M106</f>
        <v>6.5710953062685346E-2</v>
      </c>
      <c r="Y106" s="214">
        <f t="shared" ref="Y106:Y115" si="156">(U106+W106)/M106</f>
        <v>8.2246875675840325E-2</v>
      </c>
      <c r="Z106" s="16"/>
      <c r="AA106" s="202">
        <f t="shared" si="145"/>
        <v>75603.466539999994</v>
      </c>
      <c r="AB106" s="94"/>
      <c r="AC106" s="146">
        <v>66956</v>
      </c>
      <c r="AD106" s="68">
        <v>38845.077525767199</v>
      </c>
      <c r="AE106" s="208">
        <f t="shared" ref="AE106:AE115" si="157">AC106+AD106</f>
        <v>105801.07752576721</v>
      </c>
      <c r="AF106" s="113"/>
      <c r="AG106" s="7">
        <v>52218.89</v>
      </c>
      <c r="AH106" s="143">
        <v>15407.03</v>
      </c>
      <c r="AI106" s="205">
        <f t="shared" si="146"/>
        <v>36811.86</v>
      </c>
      <c r="AJ106" s="151"/>
      <c r="AK106" s="217">
        <f t="shared" ref="AK106:AK110" si="158">AI106/AE106</f>
        <v>0.34793464169620292</v>
      </c>
      <c r="AL106" s="122"/>
      <c r="AM106" s="377">
        <v>16</v>
      </c>
      <c r="AN106" s="54">
        <v>505.49400000000003</v>
      </c>
      <c r="AO106" s="118">
        <v>493</v>
      </c>
      <c r="AP106" s="209">
        <f t="shared" si="148"/>
        <v>1014.494</v>
      </c>
      <c r="AQ106" s="47"/>
      <c r="AR106" s="108">
        <f t="shared" si="144"/>
        <v>96.126199999999997</v>
      </c>
      <c r="AS106" s="108">
        <f t="shared" si="144"/>
        <v>430.5485008</v>
      </c>
      <c r="AT106" s="7">
        <v>507.21</v>
      </c>
      <c r="AU106" s="206">
        <f t="shared" si="149"/>
        <v>1033.8847008</v>
      </c>
      <c r="AV106" s="133"/>
      <c r="AW106" s="217">
        <f t="shared" ref="AW106" si="159">AU106/AP106</f>
        <v>1.0191136673060659</v>
      </c>
      <c r="AY106" s="95">
        <f>AA106+AI106+AU106</f>
        <v>113449.2112408</v>
      </c>
      <c r="AZ106" s="95">
        <v>10305733</v>
      </c>
      <c r="BB106" s="416"/>
      <c r="BC106" s="417"/>
      <c r="BD106" s="417"/>
      <c r="BE106" s="417"/>
      <c r="BF106" s="417"/>
      <c r="BG106" s="418"/>
    </row>
    <row r="107" spans="2:59" x14ac:dyDescent="0.25">
      <c r="B107" s="376" t="s">
        <v>286</v>
      </c>
      <c r="C107" s="3">
        <v>69688</v>
      </c>
      <c r="D107" s="3">
        <v>424440</v>
      </c>
      <c r="E107" s="4">
        <f t="shared" si="151"/>
        <v>494128</v>
      </c>
      <c r="F107" s="14"/>
      <c r="G107" s="3">
        <v>42010</v>
      </c>
      <c r="H107" s="3">
        <v>276690</v>
      </c>
      <c r="I107" s="4">
        <f t="shared" si="152"/>
        <v>318700</v>
      </c>
      <c r="J107" s="14"/>
      <c r="K107" s="3">
        <f t="shared" si="153"/>
        <v>111698</v>
      </c>
      <c r="L107" s="3">
        <f t="shared" ref="L107:L113" si="160">D107+H107</f>
        <v>701130</v>
      </c>
      <c r="M107" s="209">
        <f t="shared" si="154"/>
        <v>812828</v>
      </c>
      <c r="N107" s="14"/>
      <c r="O107" s="177">
        <v>5.8590000000000003E-2</v>
      </c>
      <c r="P107" s="30">
        <f t="shared" si="142"/>
        <v>28950.95952</v>
      </c>
      <c r="Q107" s="178">
        <v>4.1549999999999997E-2</v>
      </c>
      <c r="R107" s="7">
        <f t="shared" si="143"/>
        <v>13241.984999999999</v>
      </c>
      <c r="S107" s="169" t="s">
        <v>97</v>
      </c>
      <c r="T107" s="106">
        <v>11863.91</v>
      </c>
      <c r="U107" s="105">
        <f t="shared" si="155"/>
        <v>54056.854519999993</v>
      </c>
      <c r="V107" s="14"/>
      <c r="W107" s="9">
        <v>10443.49</v>
      </c>
      <c r="X107" s="31">
        <f t="shared" ref="X107:X115" si="161">U107/M107</f>
        <v>6.6504665833362037E-2</v>
      </c>
      <c r="Y107" s="214">
        <f t="shared" si="156"/>
        <v>7.9353005211434638E-2</v>
      </c>
      <c r="Z107" s="16"/>
      <c r="AA107" s="202">
        <f t="shared" ref="AA107:AA115" si="162">U107+W107</f>
        <v>64500.344519999991</v>
      </c>
      <c r="AB107" s="94"/>
      <c r="AC107" s="146">
        <v>28839</v>
      </c>
      <c r="AD107" s="3">
        <v>15737.7148546027</v>
      </c>
      <c r="AE107" s="208">
        <f>AC107+AD107</f>
        <v>44576.714854602702</v>
      </c>
      <c r="AF107" s="113"/>
      <c r="AG107" s="7">
        <v>21597.26</v>
      </c>
      <c r="AH107" s="143">
        <v>5398.73</v>
      </c>
      <c r="AI107" s="205">
        <f>AG107-AH107</f>
        <v>16198.529999999999</v>
      </c>
      <c r="AJ107" s="151"/>
      <c r="AK107" s="217">
        <f t="shared" si="158"/>
        <v>0.36338545926579074</v>
      </c>
      <c r="AL107" s="122"/>
      <c r="AM107" s="54">
        <v>82</v>
      </c>
      <c r="AN107" s="54">
        <v>253</v>
      </c>
      <c r="AO107" s="118">
        <v>607</v>
      </c>
      <c r="AP107" s="209">
        <f t="shared" si="148"/>
        <v>942</v>
      </c>
      <c r="AQ107" s="375"/>
      <c r="AR107" s="108">
        <f t="shared" si="144"/>
        <v>141.2174</v>
      </c>
      <c r="AS107" s="108">
        <f t="shared" si="144"/>
        <v>258.0446</v>
      </c>
      <c r="AT107" s="108">
        <v>585.09</v>
      </c>
      <c r="AU107" s="206">
        <f t="shared" si="149"/>
        <v>984.35200000000009</v>
      </c>
      <c r="AV107" s="133"/>
      <c r="AW107" s="217">
        <f>AU107/AP107</f>
        <v>1.04495966029724</v>
      </c>
      <c r="AY107" s="95">
        <f t="shared" si="150"/>
        <v>81683.226519999982</v>
      </c>
      <c r="AZ107" s="95">
        <v>8635141.7799999993</v>
      </c>
      <c r="BB107" s="416"/>
      <c r="BC107" s="417"/>
      <c r="BD107" s="417"/>
      <c r="BE107" s="417"/>
      <c r="BF107" s="417"/>
      <c r="BG107" s="418"/>
    </row>
    <row r="108" spans="2:59" x14ac:dyDescent="0.25">
      <c r="B108" s="381" t="s">
        <v>287</v>
      </c>
      <c r="C108" s="3">
        <v>79426</v>
      </c>
      <c r="D108" s="3">
        <v>484470</v>
      </c>
      <c r="E108" s="4">
        <f t="shared" si="151"/>
        <v>563896</v>
      </c>
      <c r="F108" s="14"/>
      <c r="G108" s="3">
        <v>43631</v>
      </c>
      <c r="H108" s="3">
        <v>293820</v>
      </c>
      <c r="I108" s="4">
        <f t="shared" si="152"/>
        <v>337451</v>
      </c>
      <c r="J108" s="14"/>
      <c r="K108" s="3">
        <f t="shared" si="153"/>
        <v>123057</v>
      </c>
      <c r="L108" s="3">
        <f t="shared" si="160"/>
        <v>778290</v>
      </c>
      <c r="M108" s="209">
        <f>K108+L108</f>
        <v>901347</v>
      </c>
      <c r="N108" s="14"/>
      <c r="O108" s="177">
        <v>5.8590000000000003E-2</v>
      </c>
      <c r="P108" s="30">
        <f t="shared" si="142"/>
        <v>33038.666640000003</v>
      </c>
      <c r="Q108" s="178">
        <v>4.1549999999999997E-2</v>
      </c>
      <c r="R108" s="7">
        <f t="shared" si="143"/>
        <v>14021.089049999999</v>
      </c>
      <c r="S108" s="168" t="s">
        <v>97</v>
      </c>
      <c r="T108" s="106">
        <v>12359.96</v>
      </c>
      <c r="U108" s="105">
        <f>P108+R108+T108</f>
        <v>59419.715690000005</v>
      </c>
      <c r="V108" s="14"/>
      <c r="W108" s="9">
        <v>11083.44</v>
      </c>
      <c r="X108" s="31">
        <f>U108/M108</f>
        <v>6.5923241204552743E-2</v>
      </c>
      <c r="Y108" s="214">
        <f t="shared" si="156"/>
        <v>7.8219770732026628E-2</v>
      </c>
      <c r="Z108" s="16"/>
      <c r="AA108" s="202">
        <f t="shared" si="162"/>
        <v>70503.15569</v>
      </c>
      <c r="AB108" s="94"/>
      <c r="AC108" s="146">
        <v>19897</v>
      </c>
      <c r="AD108" s="3">
        <v>20310.27</v>
      </c>
      <c r="AE108" s="208">
        <f>AC108+AD108</f>
        <v>40207.270000000004</v>
      </c>
      <c r="AF108" s="113"/>
      <c r="AG108" s="7">
        <v>20453.22</v>
      </c>
      <c r="AH108" s="143">
        <v>4071.42</v>
      </c>
      <c r="AI108" s="205">
        <f>AG108-AH108</f>
        <v>16381.800000000001</v>
      </c>
      <c r="AJ108" s="151"/>
      <c r="AK108" s="217">
        <f t="shared" si="158"/>
        <v>0.40743378001043096</v>
      </c>
      <c r="AL108" s="122"/>
      <c r="AM108" s="3">
        <v>85</v>
      </c>
      <c r="AN108" s="3">
        <v>262</v>
      </c>
      <c r="AO108" s="18">
        <v>510</v>
      </c>
      <c r="AP108" s="209">
        <f t="shared" si="148"/>
        <v>857</v>
      </c>
      <c r="AQ108" s="47"/>
      <c r="AR108" s="108">
        <f t="shared" ref="AR108:AS112" si="163">(AM108*0.6832)+(170.39/2)</f>
        <v>143.267</v>
      </c>
      <c r="AS108" s="108">
        <f t="shared" si="163"/>
        <v>264.1934</v>
      </c>
      <c r="AT108" s="7">
        <v>518.82000000000005</v>
      </c>
      <c r="AU108" s="206">
        <f>SUM(AR108:AT108)</f>
        <v>926.2804000000001</v>
      </c>
      <c r="AV108" s="133"/>
      <c r="AW108" s="217">
        <f t="shared" ref="AW108:AW115" si="164">AU108/AP108</f>
        <v>1.0808406067677947</v>
      </c>
      <c r="AY108" s="95">
        <f>AA108+AI108+AU108</f>
        <v>87811.236090000006</v>
      </c>
      <c r="AZ108" s="95">
        <v>9146085.5500000007</v>
      </c>
      <c r="BB108" s="416"/>
      <c r="BC108" s="417"/>
      <c r="BD108" s="417"/>
      <c r="BE108" s="417"/>
      <c r="BF108" s="417"/>
      <c r="BG108" s="418"/>
    </row>
    <row r="109" spans="2:59" x14ac:dyDescent="0.25">
      <c r="B109" s="381" t="s">
        <v>288</v>
      </c>
      <c r="C109" s="3">
        <v>76123</v>
      </c>
      <c r="D109" s="3">
        <v>462720</v>
      </c>
      <c r="E109" s="4">
        <f>C109+D109</f>
        <v>538843</v>
      </c>
      <c r="F109" s="14"/>
      <c r="G109" s="3">
        <v>42461</v>
      </c>
      <c r="H109" s="3">
        <v>281970</v>
      </c>
      <c r="I109" s="4">
        <f>G109+H109</f>
        <v>324431</v>
      </c>
      <c r="J109" s="14"/>
      <c r="K109" s="3">
        <f t="shared" si="153"/>
        <v>118584</v>
      </c>
      <c r="L109" s="3">
        <f t="shared" si="160"/>
        <v>744690</v>
      </c>
      <c r="M109" s="209">
        <f>K109+L109</f>
        <v>863274</v>
      </c>
      <c r="N109" s="14"/>
      <c r="O109" s="177">
        <v>5.8590000000000003E-2</v>
      </c>
      <c r="P109" s="30">
        <f t="shared" si="142"/>
        <v>31570.811370000003</v>
      </c>
      <c r="Q109" s="178">
        <v>4.1549999999999997E-2</v>
      </c>
      <c r="R109" s="7">
        <f t="shared" si="143"/>
        <v>13480.108049999999</v>
      </c>
      <c r="S109" s="169" t="s">
        <v>97</v>
      </c>
      <c r="T109" s="106">
        <v>12475.39</v>
      </c>
      <c r="U109" s="105">
        <f>P109+R109+T109</f>
        <v>57526.309420000005</v>
      </c>
      <c r="V109" s="14"/>
      <c r="W109" s="9">
        <v>11030.73</v>
      </c>
      <c r="X109" s="31">
        <f>U109/M109</f>
        <v>6.6637370545157157E-2</v>
      </c>
      <c r="Y109" s="214">
        <f>(U109+W109)/M109</f>
        <v>7.9415156045473403E-2</v>
      </c>
      <c r="Z109" s="16"/>
      <c r="AA109" s="202">
        <f t="shared" si="162"/>
        <v>68557.039420000001</v>
      </c>
      <c r="AB109" s="94"/>
      <c r="AC109" s="146">
        <v>16175</v>
      </c>
      <c r="AD109" s="3">
        <v>13605.1668496158</v>
      </c>
      <c r="AE109" s="208">
        <f>AC109+AD109</f>
        <v>29780.166849615802</v>
      </c>
      <c r="AF109" s="113"/>
      <c r="AG109" s="7">
        <v>19521.79</v>
      </c>
      <c r="AH109" s="143">
        <v>3950.94</v>
      </c>
      <c r="AI109" s="205">
        <f>AG109-AH109</f>
        <v>15570.85</v>
      </c>
      <c r="AJ109" s="151"/>
      <c r="AK109" s="217">
        <f t="shared" si="158"/>
        <v>0.52285973005557163</v>
      </c>
      <c r="AL109" s="122"/>
      <c r="AM109" s="148">
        <v>35</v>
      </c>
      <c r="AN109" s="18">
        <v>124</v>
      </c>
      <c r="AO109" s="18">
        <v>494</v>
      </c>
      <c r="AP109" s="209">
        <f>SUM(AM109:AO109)</f>
        <v>653</v>
      </c>
      <c r="AQ109" s="47"/>
      <c r="AR109" s="7">
        <f t="shared" si="163"/>
        <v>109.107</v>
      </c>
      <c r="AS109" s="7">
        <f t="shared" si="163"/>
        <v>169.9118</v>
      </c>
      <c r="AT109" s="7">
        <v>507.89</v>
      </c>
      <c r="AU109" s="206">
        <f>SUM(AR109:AT109)</f>
        <v>786.90879999999993</v>
      </c>
      <c r="AV109" s="133"/>
      <c r="AW109" s="217">
        <f>AU109/AP109</f>
        <v>1.2050670750382848</v>
      </c>
      <c r="AY109" s="95">
        <f t="shared" si="150"/>
        <v>84914.798220000011</v>
      </c>
      <c r="AZ109" s="95">
        <v>9390137.25</v>
      </c>
      <c r="BB109" s="416"/>
      <c r="BC109" s="417"/>
      <c r="BD109" s="417"/>
      <c r="BE109" s="417"/>
      <c r="BF109" s="417"/>
      <c r="BG109" s="418"/>
    </row>
    <row r="110" spans="2:59" x14ac:dyDescent="0.25">
      <c r="B110" s="381" t="s">
        <v>289</v>
      </c>
      <c r="C110" s="3">
        <v>82960</v>
      </c>
      <c r="D110" s="3">
        <v>481920</v>
      </c>
      <c r="E110" s="4">
        <f>C110+D110</f>
        <v>564880</v>
      </c>
      <c r="F110" s="14"/>
      <c r="G110" s="3">
        <v>42317</v>
      </c>
      <c r="H110" s="3">
        <v>275790</v>
      </c>
      <c r="I110" s="4">
        <f>G110+H110</f>
        <v>318107</v>
      </c>
      <c r="J110" s="14"/>
      <c r="K110" s="3">
        <f t="shared" si="153"/>
        <v>125277</v>
      </c>
      <c r="L110" s="3">
        <f t="shared" si="160"/>
        <v>757710</v>
      </c>
      <c r="M110" s="209">
        <f>K110+L110</f>
        <v>882987</v>
      </c>
      <c r="N110" s="14"/>
      <c r="O110" s="8">
        <v>7.2080000000000005E-2</v>
      </c>
      <c r="P110" s="30">
        <f>E110*O110</f>
        <v>40716.5504</v>
      </c>
      <c r="Q110" s="8">
        <v>4.8050000000000002E-2</v>
      </c>
      <c r="R110" s="7">
        <f>I110*Q110</f>
        <v>15285.041350000001</v>
      </c>
      <c r="S110" s="168" t="s">
        <v>97</v>
      </c>
      <c r="T110" s="106">
        <v>12167.78</v>
      </c>
      <c r="U110" s="105">
        <f>P110+R110+T110</f>
        <v>68169.371750000006</v>
      </c>
      <c r="V110" s="14"/>
      <c r="W110" s="9">
        <v>10915.29</v>
      </c>
      <c r="X110" s="31">
        <f>U110/M110</f>
        <v>7.7203143138007704E-2</v>
      </c>
      <c r="Y110" s="214">
        <f>(U110+W110)/M110</f>
        <v>8.9564921963743521E-2</v>
      </c>
      <c r="Z110" s="16"/>
      <c r="AA110" s="202">
        <f t="shared" si="162"/>
        <v>79084.661749999999</v>
      </c>
      <c r="AB110" s="94"/>
      <c r="AC110" s="146">
        <v>17234.5</v>
      </c>
      <c r="AD110" s="3">
        <v>13022.28</v>
      </c>
      <c r="AE110" s="208">
        <f>AC110+AD110</f>
        <v>30256.78</v>
      </c>
      <c r="AF110" s="113"/>
      <c r="AG110" s="7">
        <v>19695.150000000001</v>
      </c>
      <c r="AH110" s="143">
        <v>3760.8</v>
      </c>
      <c r="AI110" s="205">
        <f>AG110-AH110</f>
        <v>15934.350000000002</v>
      </c>
      <c r="AJ110" s="151"/>
      <c r="AK110" s="217">
        <f t="shared" si="158"/>
        <v>0.52663733549967984</v>
      </c>
      <c r="AL110" s="122"/>
      <c r="AM110" s="148">
        <v>73</v>
      </c>
      <c r="AN110" s="3">
        <v>267</v>
      </c>
      <c r="AO110" s="3">
        <v>544</v>
      </c>
      <c r="AP110" s="209">
        <f>SUM(AM110:AO110)</f>
        <v>884</v>
      </c>
      <c r="AQ110" s="47"/>
      <c r="AR110" s="7">
        <f t="shared" si="163"/>
        <v>135.0686</v>
      </c>
      <c r="AS110" s="7">
        <f t="shared" si="163"/>
        <v>267.60939999999999</v>
      </c>
      <c r="AT110" s="7">
        <v>542.04999999999995</v>
      </c>
      <c r="AU110" s="206">
        <f>SUM(AR110:AT110)</f>
        <v>944.72799999999995</v>
      </c>
      <c r="AV110" s="133"/>
      <c r="AW110" s="217">
        <f>AU110/AP110</f>
        <v>1.0686968325791855</v>
      </c>
      <c r="AY110" s="95">
        <f>AA110+AI110+AU110</f>
        <v>95963.739750000008</v>
      </c>
      <c r="AZ110" s="95">
        <v>9688534.6899999995</v>
      </c>
      <c r="BB110" s="416"/>
      <c r="BC110" s="417"/>
      <c r="BD110" s="417"/>
      <c r="BE110" s="417"/>
      <c r="BF110" s="417"/>
      <c r="BG110" s="418"/>
    </row>
    <row r="111" spans="2:59" x14ac:dyDescent="0.25">
      <c r="B111" s="381" t="s">
        <v>290</v>
      </c>
      <c r="C111" s="3">
        <v>49726</v>
      </c>
      <c r="D111" s="3">
        <v>286410</v>
      </c>
      <c r="E111" s="4">
        <f>C111+D111</f>
        <v>336136</v>
      </c>
      <c r="F111" s="14"/>
      <c r="G111" s="3">
        <v>24856</v>
      </c>
      <c r="H111" s="3">
        <v>170220</v>
      </c>
      <c r="I111" s="4">
        <f>G111+H111</f>
        <v>195076</v>
      </c>
      <c r="J111" s="14"/>
      <c r="K111" s="3">
        <f t="shared" si="153"/>
        <v>74582</v>
      </c>
      <c r="L111" s="3">
        <f t="shared" si="160"/>
        <v>456630</v>
      </c>
      <c r="M111" s="209">
        <f>K111+L111</f>
        <v>531212</v>
      </c>
      <c r="N111" s="14"/>
      <c r="O111" s="8">
        <v>7.2080000000000005E-2</v>
      </c>
      <c r="P111" s="30">
        <f>E111*O111</f>
        <v>24228.68288</v>
      </c>
      <c r="Q111" s="8">
        <v>4.8050000000000002E-2</v>
      </c>
      <c r="R111" s="7">
        <f>I111*Q111</f>
        <v>9373.4017999999996</v>
      </c>
      <c r="S111" s="169" t="s">
        <v>97</v>
      </c>
      <c r="T111" s="106">
        <v>8834.74</v>
      </c>
      <c r="U111" s="105">
        <f>P111+R111+T111</f>
        <v>42436.824679999998</v>
      </c>
      <c r="V111" s="14"/>
      <c r="W111" s="9">
        <v>10792.36</v>
      </c>
      <c r="X111" s="31">
        <f>U111/M111</f>
        <v>7.9886796006114313E-2</v>
      </c>
      <c r="Y111" s="214">
        <f>(U111+W111)/M111</f>
        <v>0.10020327982048598</v>
      </c>
      <c r="Z111" s="16"/>
      <c r="AA111" s="202">
        <f t="shared" si="162"/>
        <v>53229.184679999998</v>
      </c>
      <c r="AB111" s="94"/>
      <c r="AC111" s="147">
        <v>519.44000000000005</v>
      </c>
      <c r="AD111" s="54">
        <v>14364.29</v>
      </c>
      <c r="AE111" s="208">
        <f>AC111+AD111</f>
        <v>14883.730000000001</v>
      </c>
      <c r="AF111" s="113"/>
      <c r="AG111" s="7">
        <v>14317.01</v>
      </c>
      <c r="AH111" s="143">
        <v>4393.5</v>
      </c>
      <c r="AI111" s="205">
        <f>AG111-AH111</f>
        <v>9923.51</v>
      </c>
      <c r="AJ111" s="151"/>
      <c r="AK111" s="217">
        <f>AI111/AE111</f>
        <v>0.6667354218331023</v>
      </c>
      <c r="AL111" s="122"/>
      <c r="AM111" s="148">
        <v>73</v>
      </c>
      <c r="AN111" s="18">
        <v>267</v>
      </c>
      <c r="AO111" s="18">
        <v>517</v>
      </c>
      <c r="AP111" s="209">
        <f>SUM(AM111:AO111)</f>
        <v>857</v>
      </c>
      <c r="AQ111" s="47"/>
      <c r="AR111" s="7">
        <f t="shared" si="163"/>
        <v>135.0686</v>
      </c>
      <c r="AS111" s="7">
        <f t="shared" si="163"/>
        <v>267.60939999999999</v>
      </c>
      <c r="AT111" s="7">
        <v>523.6</v>
      </c>
      <c r="AU111" s="206">
        <f>SUM(AR111:AT111)</f>
        <v>926.27800000000002</v>
      </c>
      <c r="AV111" s="133"/>
      <c r="AW111" s="217">
        <f t="shared" si="164"/>
        <v>1.0808378063010502</v>
      </c>
      <c r="AY111" s="95">
        <f>AA111+AI111+AU111</f>
        <v>64078.972679999999</v>
      </c>
      <c r="AZ111" s="95">
        <v>5003205.6900000004</v>
      </c>
      <c r="BB111" s="416"/>
      <c r="BC111" s="417"/>
      <c r="BD111" s="417"/>
      <c r="BE111" s="417"/>
      <c r="BF111" s="417"/>
      <c r="BG111" s="418"/>
    </row>
    <row r="112" spans="2:59" x14ac:dyDescent="0.25">
      <c r="B112" s="381" t="s">
        <v>291</v>
      </c>
      <c r="C112" s="3">
        <v>77262</v>
      </c>
      <c r="D112" s="3">
        <v>458340</v>
      </c>
      <c r="E112" s="4">
        <f>C112+D112</f>
        <v>535602</v>
      </c>
      <c r="F112" s="14"/>
      <c r="G112" s="3">
        <v>43791</v>
      </c>
      <c r="H112" s="3">
        <v>283770</v>
      </c>
      <c r="I112" s="4">
        <f>G112+H112</f>
        <v>327561</v>
      </c>
      <c r="J112" s="14"/>
      <c r="K112" s="3">
        <f t="shared" si="153"/>
        <v>121053</v>
      </c>
      <c r="L112" s="3">
        <f t="shared" si="160"/>
        <v>742110</v>
      </c>
      <c r="M112" s="209">
        <f>K112+L112</f>
        <v>863163</v>
      </c>
      <c r="N112" s="14"/>
      <c r="O112" s="8">
        <v>7.2080000000000005E-2</v>
      </c>
      <c r="P112" s="30">
        <f>E112*O112</f>
        <v>38606.192160000006</v>
      </c>
      <c r="Q112" s="8">
        <v>4.8050000000000002E-2</v>
      </c>
      <c r="R112" s="7">
        <f>I112*Q112</f>
        <v>15739.306050000001</v>
      </c>
      <c r="S112" s="168" t="s">
        <v>97</v>
      </c>
      <c r="T112" s="106">
        <v>12347.63</v>
      </c>
      <c r="U112" s="105">
        <f>P112+R112+T112</f>
        <v>66693.12821000001</v>
      </c>
      <c r="V112" s="14"/>
      <c r="W112" s="9">
        <v>10942.04</v>
      </c>
      <c r="X112" s="31">
        <f>U112/M112</f>
        <v>7.7265972023824014E-2</v>
      </c>
      <c r="Y112" s="214">
        <f>(U112+W112)/M112</f>
        <v>8.9942650704444002E-2</v>
      </c>
      <c r="Z112" s="16"/>
      <c r="AA112" s="202">
        <f>U112+W112</f>
        <v>77635.168210000003</v>
      </c>
      <c r="AB112" s="94"/>
      <c r="AC112" s="146">
        <v>16762.16</v>
      </c>
      <c r="AD112" s="3">
        <v>15471.3</v>
      </c>
      <c r="AE112" s="208">
        <f>AC112+AD112</f>
        <v>32233.46</v>
      </c>
      <c r="AF112" s="113"/>
      <c r="AG112" s="7">
        <v>22875.759999999998</v>
      </c>
      <c r="AH112" s="143">
        <v>5870.81</v>
      </c>
      <c r="AI112" s="205">
        <f>AG112-AH112</f>
        <v>17004.949999999997</v>
      </c>
      <c r="AJ112" s="151"/>
      <c r="AK112" s="217">
        <f t="shared" ref="AK112" si="165">AI112/AE112</f>
        <v>0.52755583793983019</v>
      </c>
      <c r="AL112" s="122"/>
      <c r="AM112" s="148">
        <v>71</v>
      </c>
      <c r="AN112" s="18">
        <v>259</v>
      </c>
      <c r="AO112" s="18">
        <v>566</v>
      </c>
      <c r="AP112" s="209">
        <f>SUM(AM112:AO112)</f>
        <v>896</v>
      </c>
      <c r="AQ112" s="47"/>
      <c r="AR112" s="7">
        <f t="shared" si="163"/>
        <v>133.7022</v>
      </c>
      <c r="AS112" s="7">
        <f t="shared" si="163"/>
        <v>262.1438</v>
      </c>
      <c r="AT112" s="7">
        <v>557.08000000000004</v>
      </c>
      <c r="AU112" s="206">
        <f>SUM(AR112:AT112)</f>
        <v>952.92600000000004</v>
      </c>
      <c r="AV112" s="133"/>
      <c r="AW112" s="217">
        <f>AU112/AP112</f>
        <v>1.0635334821428573</v>
      </c>
      <c r="AY112" s="95">
        <f>AA112+AI112+AU112</f>
        <v>95593.044210000007</v>
      </c>
      <c r="AZ112" s="95">
        <v>8863619.2799999993</v>
      </c>
      <c r="BB112" s="416"/>
      <c r="BC112" s="417"/>
      <c r="BD112" s="417"/>
      <c r="BE112" s="417"/>
      <c r="BF112" s="417"/>
      <c r="BG112" s="418"/>
    </row>
    <row r="113" spans="2:59" x14ac:dyDescent="0.25">
      <c r="B113" s="381" t="s">
        <v>292</v>
      </c>
      <c r="C113" s="3"/>
      <c r="D113" s="3">
        <v>502140</v>
      </c>
      <c r="E113" s="4">
        <f t="shared" si="151"/>
        <v>502140</v>
      </c>
      <c r="F113" s="14"/>
      <c r="G113" s="3"/>
      <c r="H113" s="3">
        <v>282930</v>
      </c>
      <c r="I113" s="4">
        <f t="shared" si="152"/>
        <v>282930</v>
      </c>
      <c r="J113" s="14"/>
      <c r="K113" s="3"/>
      <c r="L113" s="3">
        <f t="shared" si="160"/>
        <v>785070</v>
      </c>
      <c r="M113" s="209">
        <f t="shared" ref="M113:M114" si="166">K113+L113</f>
        <v>785070</v>
      </c>
      <c r="N113" s="14"/>
      <c r="O113" s="8">
        <v>7.2080000000000005E-2</v>
      </c>
      <c r="P113" s="30">
        <f t="shared" ref="P113:P115" si="167">E113*O113</f>
        <v>36194.251200000006</v>
      </c>
      <c r="Q113" s="8">
        <v>4.8050000000000002E-2</v>
      </c>
      <c r="R113" s="7"/>
      <c r="S113" s="169" t="s">
        <v>97</v>
      </c>
      <c r="T113" s="106"/>
      <c r="U113" s="105">
        <f t="shared" ref="U113:U114" si="168">P113+R113+T113</f>
        <v>36194.251200000006</v>
      </c>
      <c r="V113" s="14"/>
      <c r="W113" s="9"/>
      <c r="X113" s="31">
        <f t="shared" si="161"/>
        <v>4.6103215254690674E-2</v>
      </c>
      <c r="Y113" s="214">
        <f t="shared" si="156"/>
        <v>4.6103215254690674E-2</v>
      </c>
      <c r="Z113" s="16"/>
      <c r="AA113" s="202">
        <f t="shared" si="162"/>
        <v>36194.251200000006</v>
      </c>
      <c r="AB113" s="94"/>
      <c r="AC113" s="146">
        <v>22709.18</v>
      </c>
      <c r="AD113" s="3">
        <v>18864.22</v>
      </c>
      <c r="AE113" s="208">
        <f>AC113+AD113</f>
        <v>41573.4</v>
      </c>
      <c r="AF113" s="113"/>
      <c r="AG113" s="7">
        <v>31776.79</v>
      </c>
      <c r="AH113" s="143">
        <v>9974.75</v>
      </c>
      <c r="AI113" s="205">
        <f>AG113-AH113</f>
        <v>21802.04</v>
      </c>
      <c r="AJ113" s="151"/>
      <c r="AK113" s="217">
        <f>AI113/AE113</f>
        <v>0.52442282805832574</v>
      </c>
      <c r="AL113" s="122"/>
      <c r="AM113" s="146"/>
      <c r="AN113" s="3"/>
      <c r="AO113" s="3"/>
      <c r="AP113" s="209">
        <f t="shared" si="148"/>
        <v>0</v>
      </c>
      <c r="AQ113" s="47"/>
      <c r="AR113" s="7"/>
      <c r="AS113" s="7"/>
      <c r="AT113" s="100"/>
      <c r="AU113" s="206">
        <f t="shared" si="149"/>
        <v>0</v>
      </c>
      <c r="AV113" s="133"/>
      <c r="AW113" s="217" t="e">
        <f t="shared" si="164"/>
        <v>#DIV/0!</v>
      </c>
      <c r="AY113" s="95">
        <f t="shared" si="150"/>
        <v>57996.291200000007</v>
      </c>
      <c r="AZ113" s="95">
        <v>0</v>
      </c>
      <c r="BB113" s="416"/>
      <c r="BC113" s="417"/>
      <c r="BD113" s="417"/>
      <c r="BE113" s="417"/>
      <c r="BF113" s="417"/>
      <c r="BG113" s="418"/>
    </row>
    <row r="114" spans="2:59" x14ac:dyDescent="0.25">
      <c r="B114" s="381" t="s">
        <v>293</v>
      </c>
      <c r="C114" s="3"/>
      <c r="D114" s="3"/>
      <c r="E114" s="4">
        <f t="shared" si="151"/>
        <v>0</v>
      </c>
      <c r="F114" s="14"/>
      <c r="G114" s="3"/>
      <c r="H114" s="3"/>
      <c r="I114" s="4">
        <f t="shared" si="152"/>
        <v>0</v>
      </c>
      <c r="J114" s="14"/>
      <c r="K114" s="3"/>
      <c r="L114" s="3"/>
      <c r="M114" s="209">
        <f t="shared" si="166"/>
        <v>0</v>
      </c>
      <c r="N114" s="14"/>
      <c r="O114" s="8"/>
      <c r="P114" s="30">
        <f t="shared" si="167"/>
        <v>0</v>
      </c>
      <c r="Q114" s="8"/>
      <c r="R114" s="7"/>
      <c r="S114" s="168" t="s">
        <v>97</v>
      </c>
      <c r="T114" s="106"/>
      <c r="U114" s="105">
        <f t="shared" si="168"/>
        <v>0</v>
      </c>
      <c r="V114" s="14"/>
      <c r="W114" s="9"/>
      <c r="X114" s="31" t="e">
        <f t="shared" si="161"/>
        <v>#DIV/0!</v>
      </c>
      <c r="Y114" s="214" t="e">
        <f t="shared" si="156"/>
        <v>#DIV/0!</v>
      </c>
      <c r="Z114" s="16"/>
      <c r="AA114" s="202">
        <f t="shared" si="162"/>
        <v>0</v>
      </c>
      <c r="AB114" s="94"/>
      <c r="AC114" s="146"/>
      <c r="AD114" s="3"/>
      <c r="AE114" s="208">
        <f t="shared" si="157"/>
        <v>0</v>
      </c>
      <c r="AF114" s="113"/>
      <c r="AG114" s="7"/>
      <c r="AH114" s="143"/>
      <c r="AI114" s="205">
        <f t="shared" si="146"/>
        <v>0</v>
      </c>
      <c r="AJ114" s="151"/>
      <c r="AK114" s="217" t="e">
        <f t="shared" ref="AK114:AK115" si="169">AI114/AE114</f>
        <v>#DIV/0!</v>
      </c>
      <c r="AL114" s="122"/>
      <c r="AM114" s="148"/>
      <c r="AN114" s="18"/>
      <c r="AO114" s="18"/>
      <c r="AP114" s="209">
        <f>SUM(AM114:AO114)</f>
        <v>0</v>
      </c>
      <c r="AQ114" s="47"/>
      <c r="AR114" s="7"/>
      <c r="AS114" s="7"/>
      <c r="AT114" s="7"/>
      <c r="AU114" s="206">
        <f>SUM(AR114:AT114)</f>
        <v>0</v>
      </c>
      <c r="AV114" s="133"/>
      <c r="AW114" s="217" t="e">
        <f t="shared" si="164"/>
        <v>#DIV/0!</v>
      </c>
      <c r="AY114" s="95">
        <f>AA114+AI114+AU114</f>
        <v>0</v>
      </c>
      <c r="AZ114" s="95">
        <v>0</v>
      </c>
      <c r="BB114" s="416"/>
      <c r="BC114" s="417"/>
      <c r="BD114" s="417"/>
      <c r="BE114" s="417"/>
      <c r="BF114" s="417"/>
      <c r="BG114" s="418"/>
    </row>
    <row r="115" spans="2:59" ht="15.75" thickBot="1" x14ac:dyDescent="0.3">
      <c r="B115" s="381" t="s">
        <v>294</v>
      </c>
      <c r="C115" s="18"/>
      <c r="D115" s="18"/>
      <c r="E115" s="19">
        <f>C115+D115</f>
        <v>0</v>
      </c>
      <c r="F115" s="14"/>
      <c r="G115" s="18"/>
      <c r="H115" s="18"/>
      <c r="I115" s="19">
        <f>G115+H115</f>
        <v>0</v>
      </c>
      <c r="J115" s="14"/>
      <c r="K115" s="18"/>
      <c r="L115" s="18"/>
      <c r="M115" s="263">
        <f>K115+L115</f>
        <v>0</v>
      </c>
      <c r="N115" s="14"/>
      <c r="O115" s="8"/>
      <c r="P115" s="30">
        <f t="shared" si="167"/>
        <v>0</v>
      </c>
      <c r="Q115" s="8"/>
      <c r="R115" s="7"/>
      <c r="S115" s="169" t="s">
        <v>97</v>
      </c>
      <c r="T115" s="106"/>
      <c r="U115" s="265">
        <f>P115+R115+T115</f>
        <v>0</v>
      </c>
      <c r="V115" s="14"/>
      <c r="W115" s="22"/>
      <c r="X115" s="32" t="e">
        <f t="shared" si="161"/>
        <v>#DIV/0!</v>
      </c>
      <c r="Y115" s="215" t="e">
        <f t="shared" si="156"/>
        <v>#DIV/0!</v>
      </c>
      <c r="Z115" s="16"/>
      <c r="AA115" s="203">
        <f t="shared" si="162"/>
        <v>0</v>
      </c>
      <c r="AB115" s="94"/>
      <c r="AC115" s="148"/>
      <c r="AD115" s="18"/>
      <c r="AE115" s="208">
        <f t="shared" si="157"/>
        <v>0</v>
      </c>
      <c r="AF115" s="114"/>
      <c r="AG115" s="50"/>
      <c r="AH115" s="144"/>
      <c r="AI115" s="205">
        <f t="shared" si="146"/>
        <v>0</v>
      </c>
      <c r="AJ115" s="152"/>
      <c r="AK115" s="217" t="e">
        <f t="shared" si="169"/>
        <v>#DIV/0!</v>
      </c>
      <c r="AL115" s="122"/>
      <c r="AM115" s="148"/>
      <c r="AN115" s="18"/>
      <c r="AO115" s="18"/>
      <c r="AP115" s="209">
        <f>SUM(AM115:AO115)</f>
        <v>0</v>
      </c>
      <c r="AQ115" s="52"/>
      <c r="AR115" s="7"/>
      <c r="AS115" s="7"/>
      <c r="AT115" s="50"/>
      <c r="AU115" s="206">
        <f t="shared" si="149"/>
        <v>0</v>
      </c>
      <c r="AV115" s="134"/>
      <c r="AW115" s="217" t="e">
        <f t="shared" si="164"/>
        <v>#DIV/0!</v>
      </c>
      <c r="AY115" s="95">
        <f>AA115+AI115+AU115</f>
        <v>0</v>
      </c>
      <c r="AZ115" s="95">
        <v>0</v>
      </c>
      <c r="BB115" s="416"/>
      <c r="BC115" s="417"/>
      <c r="BD115" s="417"/>
      <c r="BE115" s="417"/>
      <c r="BF115" s="417"/>
      <c r="BG115" s="418"/>
    </row>
    <row r="116" spans="2:59" ht="15.75" thickBot="1" x14ac:dyDescent="0.3">
      <c r="B116" s="382">
        <v>2018</v>
      </c>
      <c r="C116" s="23">
        <f>SUM(C104:C115)</f>
        <v>674177</v>
      </c>
      <c r="D116" s="23">
        <f>SUM(D104:D115)</f>
        <v>4513320</v>
      </c>
      <c r="E116" s="27">
        <f>SUM(E104:E115)</f>
        <v>5187497</v>
      </c>
      <c r="F116" s="23"/>
      <c r="G116" s="23">
        <f>SUM(G104:G115)</f>
        <v>367634</v>
      </c>
      <c r="H116" s="23">
        <f>SUM(H104:H115)</f>
        <v>2695020</v>
      </c>
      <c r="I116" s="27">
        <f>SUM(I104:I115)</f>
        <v>3062654</v>
      </c>
      <c r="J116" s="23"/>
      <c r="K116" s="23">
        <f>SUM(K104:K115)</f>
        <v>1041811</v>
      </c>
      <c r="L116" s="23">
        <f>SUM(L104:L115)</f>
        <v>7208340</v>
      </c>
      <c r="M116" s="210">
        <f>SUM(M104:M115)</f>
        <v>8250151</v>
      </c>
      <c r="N116" s="23"/>
      <c r="O116" s="107">
        <f>SUM(O104:O115)/COUNTA(O104:O115)</f>
        <v>6.3986000000000015E-2</v>
      </c>
      <c r="P116" s="26">
        <f>SUM(P104:P115)</f>
        <v>330089.29465000005</v>
      </c>
      <c r="Q116" s="107">
        <f>SUM(Q104:Q115)/COUNTA(Q104:Q115)</f>
        <v>4.4149999999999995E-2</v>
      </c>
      <c r="R116" s="26">
        <f>SUM(R104:R115)</f>
        <v>120962.36819999998</v>
      </c>
      <c r="S116" s="170" t="s">
        <v>97</v>
      </c>
      <c r="T116" s="26">
        <f>SUM(T104:T115)</f>
        <v>106020.92</v>
      </c>
      <c r="U116" s="266">
        <f>SUM(U104:U115)</f>
        <v>557072.58285000001</v>
      </c>
      <c r="V116" s="23"/>
      <c r="W116" s="28">
        <f>SUM(W104:W115)</f>
        <v>109618.78</v>
      </c>
      <c r="X116" s="25">
        <f>(U116)/M116</f>
        <v>6.7522713566091089E-2</v>
      </c>
      <c r="Y116" s="220">
        <f>(U116+W116)/M116</f>
        <v>8.0809595224378319E-2</v>
      </c>
      <c r="Z116" s="383"/>
      <c r="AA116" s="252">
        <f>SUM(AA104:AA115)</f>
        <v>666691.36285000003</v>
      </c>
      <c r="AB116" s="94"/>
      <c r="AC116" s="149">
        <f>SUM(AC104:AC115)</f>
        <v>328981.27999999997</v>
      </c>
      <c r="AD116" s="140">
        <f>SUM(AD104:AD115)</f>
        <v>245518.2744651353</v>
      </c>
      <c r="AE116" s="212">
        <f>SUM(AE104:AE115)</f>
        <v>574499.55446513533</v>
      </c>
      <c r="AF116" s="153"/>
      <c r="AG116" s="136">
        <f>SUM(AG104:AG115)</f>
        <v>320119.34999999998</v>
      </c>
      <c r="AH116" s="136">
        <f>SUM(AH104:AH115)</f>
        <v>87994.28</v>
      </c>
      <c r="AI116" s="251">
        <f>SUM(AI104:AI115)</f>
        <v>232125.07000000004</v>
      </c>
      <c r="AJ116" s="134"/>
      <c r="AK116" s="219">
        <f>AI116/AE116</f>
        <v>0.40404743258001435</v>
      </c>
      <c r="AL116" s="122"/>
      <c r="AM116" s="149">
        <f>SUM(AM104:AM115)</f>
        <v>605</v>
      </c>
      <c r="AN116" s="23">
        <f>SUM(AN104:AN115)</f>
        <v>2377.4940000000001</v>
      </c>
      <c r="AO116" s="23">
        <f>SUM(AO104:AO115)</f>
        <v>4695</v>
      </c>
      <c r="AP116" s="210">
        <f>SUM(AP104:AP115)</f>
        <v>7677.4940000000006</v>
      </c>
      <c r="AQ116" s="49"/>
      <c r="AR116" s="51">
        <f>SUM(AR104:AR115)</f>
        <v>1180.0910000000001</v>
      </c>
      <c r="AS116" s="51">
        <f>SUM(AS104:AS115)</f>
        <v>2391.0589007999997</v>
      </c>
      <c r="AT116" s="51">
        <f>SUM(AT104:AT115)</f>
        <v>4741</v>
      </c>
      <c r="AU116" s="251">
        <f t="shared" si="149"/>
        <v>8312.1499007999992</v>
      </c>
      <c r="AV116" s="132"/>
      <c r="AW116" s="219">
        <f>AU116/AP116</f>
        <v>1.0826644606690672</v>
      </c>
      <c r="AY116" s="96">
        <f>AA116+AI116+AU116</f>
        <v>907128.58275080007</v>
      </c>
      <c r="AZ116" s="96">
        <f>SUM(AZ104:AZ115)</f>
        <v>78972333.25999999</v>
      </c>
      <c r="BB116" s="419"/>
      <c r="BC116" s="420"/>
      <c r="BD116" s="420"/>
      <c r="BE116" s="420"/>
      <c r="BF116" s="420"/>
      <c r="BG116" s="421"/>
    </row>
  </sheetData>
  <mergeCells count="120">
    <mergeCell ref="BB113:BG113"/>
    <mergeCell ref="BB114:BG114"/>
    <mergeCell ref="BB115:BG115"/>
    <mergeCell ref="BB116:BG116"/>
    <mergeCell ref="BB104:BG104"/>
    <mergeCell ref="BB105:BG105"/>
    <mergeCell ref="BB106:BG106"/>
    <mergeCell ref="BB107:BG107"/>
    <mergeCell ref="BB108:BG108"/>
    <mergeCell ref="BB109:BG109"/>
    <mergeCell ref="BB110:BG110"/>
    <mergeCell ref="BB111:BG111"/>
    <mergeCell ref="BB112:BG112"/>
    <mergeCell ref="BB99:BG99"/>
    <mergeCell ref="BB100:BG100"/>
    <mergeCell ref="BB101:BG101"/>
    <mergeCell ref="BB94:BG94"/>
    <mergeCell ref="BB95:BG95"/>
    <mergeCell ref="BB96:BG96"/>
    <mergeCell ref="BB97:BG97"/>
    <mergeCell ref="BB98:BG98"/>
    <mergeCell ref="BB89:BG89"/>
    <mergeCell ref="BB90:BG90"/>
    <mergeCell ref="BB91:BG91"/>
    <mergeCell ref="BB92:BG92"/>
    <mergeCell ref="BB93:BG93"/>
    <mergeCell ref="BB72:BG72"/>
    <mergeCell ref="BB73:BG73"/>
    <mergeCell ref="AY3:AZ3"/>
    <mergeCell ref="AZ11:AZ12"/>
    <mergeCell ref="AZ25:AZ26"/>
    <mergeCell ref="AZ39:AZ40"/>
    <mergeCell ref="AZ53:AZ54"/>
    <mergeCell ref="AZ67:AZ68"/>
    <mergeCell ref="BB4:BG4"/>
    <mergeCell ref="BB5:BG5"/>
    <mergeCell ref="BB6:BG6"/>
    <mergeCell ref="BB7:BG7"/>
    <mergeCell ref="BB8:BG8"/>
    <mergeCell ref="BB9:BG9"/>
    <mergeCell ref="BB10:BG10"/>
    <mergeCell ref="BB11:BG11"/>
    <mergeCell ref="BB12:BG12"/>
    <mergeCell ref="BB13:BG13"/>
    <mergeCell ref="BB14:BG14"/>
    <mergeCell ref="BB15:BG15"/>
    <mergeCell ref="BB16:BG16"/>
    <mergeCell ref="BB17:BG17"/>
    <mergeCell ref="BB67:BG67"/>
    <mergeCell ref="BB68:BG68"/>
    <mergeCell ref="BB45:BG45"/>
    <mergeCell ref="BB71:BG71"/>
    <mergeCell ref="BB62:BG62"/>
    <mergeCell ref="BB63:BG63"/>
    <mergeCell ref="BB64:BG64"/>
    <mergeCell ref="BB65:BG65"/>
    <mergeCell ref="BB66:BG66"/>
    <mergeCell ref="BB47:BG47"/>
    <mergeCell ref="BB48:BG48"/>
    <mergeCell ref="BB49:BG49"/>
    <mergeCell ref="BB50:BG50"/>
    <mergeCell ref="BB69:BG69"/>
    <mergeCell ref="BB70:BG70"/>
    <mergeCell ref="BB56:BG56"/>
    <mergeCell ref="BB57:BG57"/>
    <mergeCell ref="BB58:BG58"/>
    <mergeCell ref="BB59:BG59"/>
    <mergeCell ref="BB61:BG61"/>
    <mergeCell ref="BB51:BG51"/>
    <mergeCell ref="BB52:BG52"/>
    <mergeCell ref="BB53:BG53"/>
    <mergeCell ref="BB54:BG54"/>
    <mergeCell ref="BB55:BG55"/>
    <mergeCell ref="BB40:BG40"/>
    <mergeCell ref="BB41:BG41"/>
    <mergeCell ref="BB42:BG42"/>
    <mergeCell ref="BB43:BG43"/>
    <mergeCell ref="BB44:BG44"/>
    <mergeCell ref="BB35:BG35"/>
    <mergeCell ref="BB36:BG36"/>
    <mergeCell ref="BB37:BG37"/>
    <mergeCell ref="BB38:BG38"/>
    <mergeCell ref="BB39:BG39"/>
    <mergeCell ref="BB29:BG29"/>
    <mergeCell ref="BB30:BG30"/>
    <mergeCell ref="BB31:BG31"/>
    <mergeCell ref="BB33:BG33"/>
    <mergeCell ref="BB34:BG34"/>
    <mergeCell ref="BB24:BG24"/>
    <mergeCell ref="BB25:BG25"/>
    <mergeCell ref="BB26:BG26"/>
    <mergeCell ref="BB27:BG27"/>
    <mergeCell ref="BB28:BG28"/>
    <mergeCell ref="BB19:BG19"/>
    <mergeCell ref="BB20:BG20"/>
    <mergeCell ref="BB21:BG21"/>
    <mergeCell ref="BB22:BG22"/>
    <mergeCell ref="BB23:BG23"/>
    <mergeCell ref="AR3:AU3"/>
    <mergeCell ref="C3:E3"/>
    <mergeCell ref="G3:I3"/>
    <mergeCell ref="K3:M3"/>
    <mergeCell ref="O3:U3"/>
    <mergeCell ref="W3:Y3"/>
    <mergeCell ref="AG3:AI3"/>
    <mergeCell ref="AD3:AE3"/>
    <mergeCell ref="AN3:AP3"/>
    <mergeCell ref="BB75:BG75"/>
    <mergeCell ref="BB76:BG76"/>
    <mergeCell ref="BB77:BG77"/>
    <mergeCell ref="BB78:BG78"/>
    <mergeCell ref="BB79:BG79"/>
    <mergeCell ref="BB84:BG84"/>
    <mergeCell ref="BB85:BG85"/>
    <mergeCell ref="BB86:BG86"/>
    <mergeCell ref="BB87:BG87"/>
    <mergeCell ref="BB80:BG80"/>
    <mergeCell ref="BB81:BG81"/>
    <mergeCell ref="BB82:BG82"/>
    <mergeCell ref="BB83:BG8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AC75"/>
  <sheetViews>
    <sheetView workbookViewId="0">
      <selection activeCell="D17" sqref="D17"/>
    </sheetView>
  </sheetViews>
  <sheetFormatPr defaultRowHeight="15" x14ac:dyDescent="0.25"/>
  <cols>
    <col min="1" max="30" width="10.7109375" style="305" customWidth="1"/>
    <col min="31" max="16384" width="9.140625" style="305"/>
  </cols>
  <sheetData>
    <row r="1" spans="1:29" ht="18.75" x14ac:dyDescent="0.3">
      <c r="A1" s="309" t="s">
        <v>266</v>
      </c>
      <c r="B1" s="389">
        <v>2018</v>
      </c>
      <c r="C1" s="305" t="s">
        <v>267</v>
      </c>
    </row>
    <row r="2" spans="1:29" s="390" customFormat="1" ht="12" x14ac:dyDescent="0.2">
      <c r="A2" s="390" t="s">
        <v>269</v>
      </c>
      <c r="B2" s="390">
        <v>12</v>
      </c>
      <c r="C2" s="390">
        <v>19</v>
      </c>
      <c r="D2" s="390">
        <v>20</v>
      </c>
      <c r="E2" s="390">
        <v>22</v>
      </c>
      <c r="F2" s="390">
        <v>23</v>
      </c>
      <c r="G2" s="390">
        <v>24</v>
      </c>
      <c r="H2" s="390">
        <f ca="1">CELL("col",AA1)-1</f>
        <v>26</v>
      </c>
      <c r="K2" s="390">
        <f ca="1">CELL("col",AE1)-1</f>
        <v>30</v>
      </c>
      <c r="L2" s="390">
        <f ca="1">CELL("col",AG1)-1</f>
        <v>32</v>
      </c>
      <c r="M2" s="390">
        <f ca="1">CELL("col",AH1)-1</f>
        <v>33</v>
      </c>
      <c r="N2" s="390">
        <f ca="1">CELL("col",AI1)-1</f>
        <v>34</v>
      </c>
      <c r="O2" s="390">
        <f ca="1">CELL("col",AK1)-1</f>
        <v>36</v>
      </c>
      <c r="R2" s="390">
        <f ca="1">CELL("col",AP1)-1</f>
        <v>41</v>
      </c>
      <c r="S2" s="390">
        <f ca="1">CELL("col",AU1)-1</f>
        <v>46</v>
      </c>
      <c r="T2" s="390">
        <f ca="1">CELL("col",AW1)-1</f>
        <v>48</v>
      </c>
    </row>
    <row r="3" spans="1:29" s="390" customFormat="1" ht="12.75" thickBot="1" x14ac:dyDescent="0.25">
      <c r="B3" s="390" t="s">
        <v>268</v>
      </c>
      <c r="C3" s="390" t="s">
        <v>270</v>
      </c>
      <c r="D3" s="390" t="s">
        <v>271</v>
      </c>
      <c r="E3" s="390" t="s">
        <v>133</v>
      </c>
      <c r="F3" s="390" t="s">
        <v>272</v>
      </c>
      <c r="G3" s="390" t="s">
        <v>273</v>
      </c>
      <c r="H3" s="390" t="s">
        <v>274</v>
      </c>
      <c r="K3" s="390" t="s">
        <v>275</v>
      </c>
      <c r="L3" s="390" t="s">
        <v>276</v>
      </c>
      <c r="M3" s="390" t="s">
        <v>277</v>
      </c>
      <c r="N3" s="390" t="s">
        <v>278</v>
      </c>
      <c r="O3" s="390" t="s">
        <v>279</v>
      </c>
      <c r="R3" s="390" t="s">
        <v>280</v>
      </c>
      <c r="S3" s="390" t="s">
        <v>281</v>
      </c>
      <c r="T3" s="390" t="s">
        <v>282</v>
      </c>
    </row>
    <row r="4" spans="1:29" s="272" customFormat="1" ht="77.25" customHeight="1" thickBot="1" x14ac:dyDescent="0.3">
      <c r="A4" s="267" t="s">
        <v>65</v>
      </c>
      <c r="B4" s="268" t="s">
        <v>111</v>
      </c>
      <c r="C4" s="269" t="s">
        <v>71</v>
      </c>
      <c r="D4" s="268" t="s">
        <v>118</v>
      </c>
      <c r="E4" s="269" t="s">
        <v>74</v>
      </c>
      <c r="F4" s="270" t="s">
        <v>76</v>
      </c>
      <c r="G4" s="270" t="s">
        <v>75</v>
      </c>
      <c r="H4" s="271" t="s">
        <v>112</v>
      </c>
      <c r="J4" s="267" t="s">
        <v>65</v>
      </c>
      <c r="K4" s="273" t="s">
        <v>144</v>
      </c>
      <c r="L4" s="269" t="s">
        <v>145</v>
      </c>
      <c r="M4" s="269" t="s">
        <v>146</v>
      </c>
      <c r="N4" s="268" t="s">
        <v>147</v>
      </c>
      <c r="O4" s="271" t="s">
        <v>148</v>
      </c>
      <c r="P4" s="274"/>
      <c r="Q4" s="267" t="s">
        <v>65</v>
      </c>
      <c r="R4" s="268" t="s">
        <v>123</v>
      </c>
      <c r="S4" s="268" t="s">
        <v>124</v>
      </c>
      <c r="T4" s="275" t="s">
        <v>149</v>
      </c>
      <c r="U4" s="276"/>
      <c r="V4" s="277" t="s">
        <v>86</v>
      </c>
      <c r="X4" s="439" t="s">
        <v>96</v>
      </c>
      <c r="Y4" s="439"/>
      <c r="Z4" s="439"/>
      <c r="AA4" s="439"/>
      <c r="AB4" s="439"/>
      <c r="AC4" s="439"/>
    </row>
    <row r="5" spans="1:29" s="272" customFormat="1" x14ac:dyDescent="0.25">
      <c r="A5" s="223" t="str">
        <f>$B$1&amp;"-01"</f>
        <v>2018-01</v>
      </c>
      <c r="B5" s="278">
        <f>VLOOKUP(A5,'Mesečni energetski stroški'!$B$4:$M$1000,B$2,0)</f>
        <v>890828</v>
      </c>
      <c r="C5" s="279">
        <f>VLOOKUP(A5,'Mesečni energetski stroški'!$B$4:$T$1000,C$2,0)</f>
        <v>11985.42</v>
      </c>
      <c r="D5" s="280">
        <f>VLOOKUP(A5,'Mesečni energetski stroški'!$B$4:$U$1000,D$2,0)</f>
        <v>58615.455479999997</v>
      </c>
      <c r="E5" s="280">
        <f>VLOOKUP(A5,'Mesečni energetski stroški'!$B$4:$W$1000,E$2,0)</f>
        <v>14901.15</v>
      </c>
      <c r="F5" s="281">
        <f>VLOOKUP(A5,'Mesečni energetski stroški'!$B$4:$X$1000,F$2,0)</f>
        <v>6.5798847229768254E-2</v>
      </c>
      <c r="G5" s="282">
        <f>VLOOKUP(A5,'Mesečni energetski stroški'!$B$4:$Y$1000,G$2,0)</f>
        <v>8.252615036797227E-2</v>
      </c>
      <c r="H5" s="283">
        <f ca="1">VLOOKUP(A5,'Mesečni energetski stroški'!$B$4:$AA$1000,H$2,0)</f>
        <v>73516.605479999998</v>
      </c>
      <c r="J5" s="223" t="str">
        <f>A5</f>
        <v>2018-01</v>
      </c>
      <c r="K5" s="284">
        <f ca="1">VLOOKUP(A5,'Mesečni energetski stroški'!$B$4:$AK$1000,K$2,0)</f>
        <v>106700.4170866402</v>
      </c>
      <c r="L5" s="285">
        <f ca="1">VLOOKUP(A5,'Mesečni energetski stroški'!$B$4:$AK$1000,L$2,0)</f>
        <v>55856.3</v>
      </c>
      <c r="M5" s="286">
        <f ca="1">VLOOKUP(A5,'Mesečni energetski stroški'!$B$4:$AK$1000,M$2,0)</f>
        <v>16339.12</v>
      </c>
      <c r="N5" s="287">
        <f ca="1">VLOOKUP(A5,'Mesečni energetski stroški'!$B$4:$AK$1000,N$2,0)</f>
        <v>39517.18</v>
      </c>
      <c r="O5" s="288">
        <f ca="1">VLOOKUP(A5,'Mesečni energetski stroški'!$B$4:$AK$1000,O$2,0)</f>
        <v>0.37035637796909687</v>
      </c>
      <c r="P5" s="289"/>
      <c r="Q5" s="223" t="str">
        <f>A5</f>
        <v>2018-01</v>
      </c>
      <c r="R5" s="278">
        <f ca="1">VLOOKUP(A5,'Mesečni energetski stroški'!$B$4:$AW$1000,R$2,0)</f>
        <v>838</v>
      </c>
      <c r="S5" s="290">
        <f ca="1">VLOOKUP(A5,'Mesečni energetski stroški'!$B$4:$AW$1000,S$2,0)</f>
        <v>913.17399999999998</v>
      </c>
      <c r="T5" s="288">
        <f ca="1">VLOOKUP(A5,'Mesečni energetski stroški'!$B$4:$AW$1000,T$2,0)</f>
        <v>1.0897064439140811</v>
      </c>
      <c r="V5" s="291">
        <f>'Mesečni energetski stroški'!AY75</f>
        <v>92405.940269999992</v>
      </c>
      <c r="X5" s="292"/>
      <c r="Y5" s="293"/>
      <c r="Z5" s="293"/>
      <c r="AA5" s="293"/>
      <c r="AB5" s="293"/>
      <c r="AC5" s="294"/>
    </row>
    <row r="6" spans="1:29" s="272" customFormat="1" x14ac:dyDescent="0.25">
      <c r="A6" s="223" t="str">
        <f>$B$1&amp;"-02"</f>
        <v>2018-02</v>
      </c>
      <c r="B6" s="278">
        <f>VLOOKUP(A6,'Mesečni energetski stroški'!$B$4:$M$1000,B$2,0)</f>
        <v>800216</v>
      </c>
      <c r="C6" s="279">
        <f>VLOOKUP(A6,'Mesečni energetski stroški'!$B$4:$T$1000,C$2,0)</f>
        <v>11834.25</v>
      </c>
      <c r="D6" s="280">
        <f>VLOOKUP(A6,'Mesečni energetski stroški'!$B$4:$U$1000,D$2,0)</f>
        <v>53557.45536</v>
      </c>
      <c r="E6" s="280">
        <f>VLOOKUP(A6,'Mesečni energetski stroški'!$B$4:$W$1000,E$2,0)</f>
        <v>14310.03</v>
      </c>
      <c r="F6" s="281">
        <f>VLOOKUP(A6,'Mesečni energetski stroški'!$B$4:$X$1000,F$2,0)</f>
        <v>6.6928748437921765E-2</v>
      </c>
      <c r="G6" s="282">
        <f>VLOOKUP(A6,'Mesečni energetski stroški'!$B$4:$Y$1000,G$2,0)</f>
        <v>8.4811457606446261E-2</v>
      </c>
      <c r="H6" s="283">
        <f ca="1">VLOOKUP(A6,'Mesečni energetski stroški'!$B$4:$AA$1000,H$2,0)</f>
        <v>67867.485360000006</v>
      </c>
      <c r="J6" s="223" t="str">
        <f t="shared" ref="J6:J16" si="0">A6</f>
        <v>2018-02</v>
      </c>
      <c r="K6" s="284">
        <f ca="1">VLOOKUP(A6,'Mesečni energetski stroški'!$B$4:$AK$1000,K$2,0)</f>
        <v>128486.5381485094</v>
      </c>
      <c r="L6" s="285">
        <f ca="1">VLOOKUP(A6,'Mesečni energetski stroški'!$B$4:$AK$1000,L$2,0)</f>
        <v>61807.18</v>
      </c>
      <c r="M6" s="286">
        <f ca="1">VLOOKUP(A6,'Mesečni energetski stroški'!$B$4:$AK$1000,M$2,0)</f>
        <v>18827.18</v>
      </c>
      <c r="N6" s="287">
        <f ca="1">VLOOKUP(A6,'Mesečni energetski stroški'!$B$4:$AK$1000,N$2,0)</f>
        <v>42980</v>
      </c>
      <c r="O6" s="288">
        <f ca="1">VLOOKUP(A6,'Mesečni energetski stroški'!$B$4:$AK$1000,O$2,0)</f>
        <v>0.33450975191130261</v>
      </c>
      <c r="P6" s="289"/>
      <c r="Q6" s="223" t="str">
        <f t="shared" ref="Q6:Q16" si="1">A6</f>
        <v>2018-02</v>
      </c>
      <c r="R6" s="278">
        <f ca="1">VLOOKUP(A6,'Mesečni energetski stroški'!$B$4:$AW$1000,R$2,0)</f>
        <v>736</v>
      </c>
      <c r="S6" s="290">
        <f ca="1">VLOOKUP(A6,'Mesečni energetski stroški'!$B$4:$AW$1000,S$2,0)</f>
        <v>843.61800000000005</v>
      </c>
      <c r="T6" s="288">
        <f ca="1">VLOOKUP(A6,'Mesečni energetski stroški'!$B$4:$AW$1000,T$2,0)</f>
        <v>1.1462201086956523</v>
      </c>
      <c r="V6" s="291">
        <f>'Mesečni energetski stroški'!AY76</f>
        <v>79676.496979999982</v>
      </c>
      <c r="X6" s="295"/>
      <c r="Y6" s="296"/>
      <c r="Z6" s="296"/>
      <c r="AA6" s="296"/>
      <c r="AB6" s="296"/>
      <c r="AC6" s="297"/>
    </row>
    <row r="7" spans="1:29" s="272" customFormat="1" x14ac:dyDescent="0.25">
      <c r="A7" s="223" t="str">
        <f>$B$1&amp;"-03"</f>
        <v>2018-03</v>
      </c>
      <c r="B7" s="278">
        <f>VLOOKUP(A7,'Mesečni energetski stroški'!$B$4:$M$1000,B$2,0)</f>
        <v>919226</v>
      </c>
      <c r="C7" s="279">
        <f>VLOOKUP(A7,'Mesečni energetski stroški'!$B$4:$T$1000,C$2,0)</f>
        <v>12151.84</v>
      </c>
      <c r="D7" s="280">
        <f>VLOOKUP(A7,'Mesečni energetski stroški'!$B$4:$U$1000,D$2,0)</f>
        <v>60403.216539999994</v>
      </c>
      <c r="E7" s="280">
        <f>VLOOKUP(A7,'Mesečni energetski stroški'!$B$4:$W$1000,E$2,0)</f>
        <v>15200.25</v>
      </c>
      <c r="F7" s="281">
        <f>VLOOKUP(A7,'Mesečni energetski stroški'!$B$4:$X$1000,F$2,0)</f>
        <v>6.5710953062685346E-2</v>
      </c>
      <c r="G7" s="282">
        <f>VLOOKUP(A7,'Mesečni energetski stroški'!$B$4:$Y$1000,G$2,0)</f>
        <v>8.2246875675840325E-2</v>
      </c>
      <c r="H7" s="283">
        <f ca="1">VLOOKUP(A7,'Mesečni energetski stroški'!$B$4:$AA$1000,H$2,0)</f>
        <v>75603.466539999994</v>
      </c>
      <c r="J7" s="223" t="str">
        <f t="shared" si="0"/>
        <v>2018-03</v>
      </c>
      <c r="K7" s="284">
        <f ca="1">VLOOKUP(A7,'Mesečni energetski stroški'!$B$4:$AK$1000,K$2,0)</f>
        <v>105801.07752576721</v>
      </c>
      <c r="L7" s="285">
        <f ca="1">VLOOKUP(A7,'Mesečni energetski stroški'!$B$4:$AK$1000,L$2,0)</f>
        <v>52218.89</v>
      </c>
      <c r="M7" s="286">
        <f ca="1">VLOOKUP(A7,'Mesečni energetski stroški'!$B$4:$AK$1000,M$2,0)</f>
        <v>15407.03</v>
      </c>
      <c r="N7" s="287">
        <f ca="1">VLOOKUP(A7,'Mesečni energetski stroški'!$B$4:$AK$1000,N$2,0)</f>
        <v>36811.86</v>
      </c>
      <c r="O7" s="288">
        <f ca="1">VLOOKUP(A7,'Mesečni energetski stroški'!$B$4:$AK$1000,O$2,0)</f>
        <v>0.34793464169620292</v>
      </c>
      <c r="P7" s="289"/>
      <c r="Q7" s="223" t="str">
        <f t="shared" si="1"/>
        <v>2018-03</v>
      </c>
      <c r="R7" s="278">
        <f ca="1">VLOOKUP(A7,'Mesečni energetski stroški'!$B$4:$AW$1000,R$2,0)</f>
        <v>1014.494</v>
      </c>
      <c r="S7" s="290">
        <f ca="1">VLOOKUP(A7,'Mesečni energetski stroški'!$B$4:$AW$1000,S$2,0)</f>
        <v>1033.8847008</v>
      </c>
      <c r="T7" s="288">
        <f ca="1">VLOOKUP(A7,'Mesečni energetski stroški'!$B$4:$AW$1000,T$2,0)</f>
        <v>1.0191136673060659</v>
      </c>
      <c r="V7" s="291">
        <f>'Mesečni energetski stroški'!AY77</f>
        <v>79804.197400000005</v>
      </c>
      <c r="X7" s="295"/>
      <c r="Y7" s="296"/>
      <c r="Z7" s="296"/>
      <c r="AA7" s="296"/>
      <c r="AB7" s="296"/>
      <c r="AC7" s="297"/>
    </row>
    <row r="8" spans="1:29" s="272" customFormat="1" x14ac:dyDescent="0.25">
      <c r="A8" s="223" t="str">
        <f>$B$1&amp;"-04"</f>
        <v>2018-04</v>
      </c>
      <c r="B8" s="278">
        <f>VLOOKUP(A8,'Mesečni energetski stroški'!$B$4:$M$1000,B$2,0)</f>
        <v>812828</v>
      </c>
      <c r="C8" s="279">
        <f>VLOOKUP(A8,'Mesečni energetski stroški'!$B$4:$T$1000,C$2,0)</f>
        <v>11863.91</v>
      </c>
      <c r="D8" s="280">
        <f>VLOOKUP(A8,'Mesečni energetski stroški'!$B$4:$U$1000,D$2,0)</f>
        <v>54056.854519999993</v>
      </c>
      <c r="E8" s="280">
        <f>VLOOKUP(A8,'Mesečni energetski stroški'!$B$4:$W$1000,E$2,0)</f>
        <v>10443.49</v>
      </c>
      <c r="F8" s="281">
        <f>VLOOKUP(A8,'Mesečni energetski stroški'!$B$4:$X$1000,F$2,0)</f>
        <v>6.6504665833362037E-2</v>
      </c>
      <c r="G8" s="282">
        <f>VLOOKUP(A8,'Mesečni energetski stroški'!$B$4:$Y$1000,G$2,0)</f>
        <v>7.9353005211434638E-2</v>
      </c>
      <c r="H8" s="283">
        <f ca="1">VLOOKUP(A8,'Mesečni energetski stroški'!$B$4:$AA$1000,H$2,0)</f>
        <v>64500.344519999991</v>
      </c>
      <c r="J8" s="223" t="str">
        <f t="shared" si="0"/>
        <v>2018-04</v>
      </c>
      <c r="K8" s="284">
        <f ca="1">VLOOKUP(A8,'Mesečni energetski stroški'!$B$4:$AK$1000,K$2,0)</f>
        <v>44576.714854602702</v>
      </c>
      <c r="L8" s="285">
        <f ca="1">VLOOKUP(A8,'Mesečni energetski stroški'!$B$4:$AK$1000,L$2,0)</f>
        <v>21597.26</v>
      </c>
      <c r="M8" s="286">
        <f ca="1">VLOOKUP(A8,'Mesečni energetski stroški'!$B$4:$AK$1000,M$2,0)</f>
        <v>5398.73</v>
      </c>
      <c r="N8" s="287">
        <f ca="1">VLOOKUP(A8,'Mesečni energetski stroški'!$B$4:$AK$1000,N$2,0)</f>
        <v>16198.529999999999</v>
      </c>
      <c r="O8" s="288">
        <f ca="1">VLOOKUP(A8,'Mesečni energetski stroški'!$B$4:$AK$1000,O$2,0)</f>
        <v>0.36338545926579074</v>
      </c>
      <c r="P8" s="289"/>
      <c r="Q8" s="223" t="str">
        <f t="shared" si="1"/>
        <v>2018-04</v>
      </c>
      <c r="R8" s="278">
        <f ca="1">VLOOKUP(A8,'Mesečni energetski stroški'!$B$4:$AW$1000,R$2,0)</f>
        <v>942</v>
      </c>
      <c r="S8" s="290">
        <f ca="1">VLOOKUP(A8,'Mesečni energetski stroški'!$B$4:$AW$1000,S$2,0)</f>
        <v>984.35200000000009</v>
      </c>
      <c r="T8" s="288">
        <f ca="1">VLOOKUP(A8,'Mesečni energetski stroški'!$B$4:$AW$1000,T$2,0)</f>
        <v>1.04495966029724</v>
      </c>
      <c r="V8" s="291">
        <f>'Mesečni energetski stroški'!AY78</f>
        <v>65128.813283934207</v>
      </c>
      <c r="X8" s="295"/>
      <c r="Y8" s="296"/>
      <c r="Z8" s="296"/>
      <c r="AA8" s="296"/>
      <c r="AB8" s="296"/>
      <c r="AC8" s="297"/>
    </row>
    <row r="9" spans="1:29" s="272" customFormat="1" x14ac:dyDescent="0.25">
      <c r="A9" s="223" t="str">
        <f>$B$1&amp;"-05"</f>
        <v>2018-05</v>
      </c>
      <c r="B9" s="278">
        <f>VLOOKUP(A9,'Mesečni energetski stroški'!$B$4:$M$1000,B$2,0)</f>
        <v>901347</v>
      </c>
      <c r="C9" s="279">
        <f>VLOOKUP(A9,'Mesečni energetski stroški'!$B$4:$T$1000,C$2,0)</f>
        <v>12359.96</v>
      </c>
      <c r="D9" s="280">
        <f>VLOOKUP(A9,'Mesečni energetski stroški'!$B$4:$U$1000,D$2,0)</f>
        <v>59419.715690000005</v>
      </c>
      <c r="E9" s="280">
        <f>VLOOKUP(A9,'Mesečni energetski stroški'!$B$4:$W$1000,E$2,0)</f>
        <v>11083.44</v>
      </c>
      <c r="F9" s="281">
        <f>VLOOKUP(A9,'Mesečni energetski stroški'!$B$4:$X$1000,F$2,0)</f>
        <v>6.5923241204552743E-2</v>
      </c>
      <c r="G9" s="282">
        <f>VLOOKUP(A9,'Mesečni energetski stroški'!$B$4:$Y$1000,G$2,0)</f>
        <v>7.8219770732026628E-2</v>
      </c>
      <c r="H9" s="283">
        <f ca="1">VLOOKUP(A9,'Mesečni energetski stroški'!$B$4:$AA$1000,H$2,0)</f>
        <v>70503.15569</v>
      </c>
      <c r="J9" s="223" t="str">
        <f t="shared" si="0"/>
        <v>2018-05</v>
      </c>
      <c r="K9" s="284">
        <f ca="1">VLOOKUP(A9,'Mesečni energetski stroški'!$B$4:$AK$1000,K$2,0)</f>
        <v>40207.270000000004</v>
      </c>
      <c r="L9" s="285">
        <f ca="1">VLOOKUP(A9,'Mesečni energetski stroški'!$B$4:$AK$1000,L$2,0)</f>
        <v>20453.22</v>
      </c>
      <c r="M9" s="286">
        <f ca="1">VLOOKUP(A9,'Mesečni energetski stroški'!$B$4:$AK$1000,M$2,0)</f>
        <v>4071.42</v>
      </c>
      <c r="N9" s="287">
        <f ca="1">VLOOKUP(A9,'Mesečni energetski stroški'!$B$4:$AK$1000,N$2,0)</f>
        <v>16381.800000000001</v>
      </c>
      <c r="O9" s="288">
        <f ca="1">VLOOKUP(A9,'Mesečni energetski stroški'!$B$4:$AK$1000,O$2,0)</f>
        <v>0.40743378001043096</v>
      </c>
      <c r="P9" s="289"/>
      <c r="Q9" s="223" t="str">
        <f t="shared" si="1"/>
        <v>2018-05</v>
      </c>
      <c r="R9" s="278">
        <f ca="1">VLOOKUP(A9,'Mesečni energetski stroški'!$B$4:$AW$1000,R$2,0)</f>
        <v>857</v>
      </c>
      <c r="S9" s="290">
        <f ca="1">VLOOKUP(A9,'Mesečni energetski stroški'!$B$4:$AW$1000,S$2,0)</f>
        <v>926.2804000000001</v>
      </c>
      <c r="T9" s="288">
        <f ca="1">VLOOKUP(A9,'Mesečni energetski stroški'!$B$4:$AW$1000,T$2,0)</f>
        <v>1.0808406067677947</v>
      </c>
      <c r="V9" s="291">
        <f>'Mesečni energetski stroški'!AY79</f>
        <v>64429.142200000002</v>
      </c>
      <c r="X9" s="295"/>
      <c r="Y9" s="296"/>
      <c r="Z9" s="296"/>
      <c r="AA9" s="296"/>
      <c r="AB9" s="296"/>
      <c r="AC9" s="297"/>
    </row>
    <row r="10" spans="1:29" s="272" customFormat="1" x14ac:dyDescent="0.25">
      <c r="A10" s="223" t="str">
        <f>$B$1&amp;"-06"</f>
        <v>2018-06</v>
      </c>
      <c r="B10" s="278">
        <f>VLOOKUP(A10,'Mesečni energetski stroški'!$B$4:$M$1000,B$2,0)</f>
        <v>863274</v>
      </c>
      <c r="C10" s="279">
        <f>VLOOKUP(A10,'Mesečni energetski stroški'!$B$4:$T$1000,C$2,0)</f>
        <v>12475.39</v>
      </c>
      <c r="D10" s="280">
        <f>VLOOKUP(A10,'Mesečni energetski stroški'!$B$4:$U$1000,D$2,0)</f>
        <v>57526.309420000005</v>
      </c>
      <c r="E10" s="280">
        <f>VLOOKUP(A10,'Mesečni energetski stroški'!$B$4:$W$1000,E$2,0)</f>
        <v>11030.73</v>
      </c>
      <c r="F10" s="281">
        <f>VLOOKUP(A10,'Mesečni energetski stroški'!$B$4:$X$1000,F$2,0)</f>
        <v>6.6637370545157157E-2</v>
      </c>
      <c r="G10" s="282">
        <f>VLOOKUP(A10,'Mesečni energetski stroški'!$B$4:$Y$1000,G$2,0)</f>
        <v>7.9415156045473403E-2</v>
      </c>
      <c r="H10" s="283">
        <f ca="1">VLOOKUP(A10,'Mesečni energetski stroški'!$B$4:$AA$1000,H$2,0)</f>
        <v>68557.039420000001</v>
      </c>
      <c r="J10" s="223" t="str">
        <f t="shared" si="0"/>
        <v>2018-06</v>
      </c>
      <c r="K10" s="284">
        <f ca="1">VLOOKUP(A10,'Mesečni energetski stroški'!$B$4:$AK$1000,K$2,0)</f>
        <v>29780.166849615802</v>
      </c>
      <c r="L10" s="285">
        <f ca="1">VLOOKUP(A10,'Mesečni energetski stroški'!$B$4:$AK$1000,L$2,0)</f>
        <v>19521.79</v>
      </c>
      <c r="M10" s="286">
        <f ca="1">VLOOKUP(A10,'Mesečni energetski stroški'!$B$4:$AK$1000,M$2,0)</f>
        <v>3950.94</v>
      </c>
      <c r="N10" s="287">
        <f ca="1">VLOOKUP(A10,'Mesečni energetski stroški'!$B$4:$AK$1000,N$2,0)</f>
        <v>15570.85</v>
      </c>
      <c r="O10" s="288">
        <f ca="1">VLOOKUP(A10,'Mesečni energetski stroški'!$B$4:$AK$1000,O$2,0)</f>
        <v>0.52285973005557163</v>
      </c>
      <c r="P10" s="289"/>
      <c r="Q10" s="223" t="str">
        <f t="shared" si="1"/>
        <v>2018-06</v>
      </c>
      <c r="R10" s="278">
        <f ca="1">VLOOKUP(A10,'Mesečni energetski stroški'!$B$4:$AW$1000,R$2,0)</f>
        <v>653</v>
      </c>
      <c r="S10" s="290">
        <f ca="1">VLOOKUP(A10,'Mesečni energetski stroški'!$B$4:$AW$1000,S$2,0)</f>
        <v>786.90879999999993</v>
      </c>
      <c r="T10" s="288">
        <f ca="1">VLOOKUP(A10,'Mesečni energetski stroški'!$B$4:$AW$1000,T$2,0)</f>
        <v>1.2050670750382848</v>
      </c>
      <c r="V10" s="291">
        <f>'Mesečni energetski stroški'!AY80</f>
        <v>66666.767728000006</v>
      </c>
      <c r="X10" s="295"/>
      <c r="Y10" s="296"/>
      <c r="Z10" s="296"/>
      <c r="AA10" s="296"/>
      <c r="AB10" s="296"/>
      <c r="AC10" s="297"/>
    </row>
    <row r="11" spans="1:29" s="272" customFormat="1" x14ac:dyDescent="0.25">
      <c r="A11" s="223" t="str">
        <f>$B$1&amp;"-07"</f>
        <v>2018-07</v>
      </c>
      <c r="B11" s="278">
        <f>VLOOKUP(A11,'Mesečni energetski stroški'!$B$4:$M$1000,B$2,0)</f>
        <v>882987</v>
      </c>
      <c r="C11" s="279">
        <f>VLOOKUP(A11,'Mesečni energetski stroški'!$B$4:$T$1000,C$2,0)</f>
        <v>12167.78</v>
      </c>
      <c r="D11" s="280">
        <f>VLOOKUP(A11,'Mesečni energetski stroški'!$B$4:$U$1000,D$2,0)</f>
        <v>68169.371750000006</v>
      </c>
      <c r="E11" s="280">
        <f>VLOOKUP(A11,'Mesečni energetski stroški'!$B$4:$W$1000,E$2,0)</f>
        <v>10915.29</v>
      </c>
      <c r="F11" s="281">
        <f>VLOOKUP(A11,'Mesečni energetski stroški'!$B$4:$X$1000,F$2,0)</f>
        <v>7.7203143138007704E-2</v>
      </c>
      <c r="G11" s="282">
        <f>VLOOKUP(A11,'Mesečni energetski stroški'!$B$4:$Y$1000,G$2,0)</f>
        <v>8.9564921963743521E-2</v>
      </c>
      <c r="H11" s="283">
        <f ca="1">VLOOKUP(A11,'Mesečni energetski stroški'!$B$4:$AA$1000,H$2,0)</f>
        <v>79084.661749999999</v>
      </c>
      <c r="J11" s="223" t="str">
        <f t="shared" si="0"/>
        <v>2018-07</v>
      </c>
      <c r="K11" s="284">
        <f ca="1">VLOOKUP(A11,'Mesečni energetski stroški'!$B$4:$AK$1000,K$2,0)</f>
        <v>30256.78</v>
      </c>
      <c r="L11" s="285">
        <f ca="1">VLOOKUP(A11,'Mesečni energetski stroški'!$B$4:$AK$1000,L$2,0)</f>
        <v>19695.150000000001</v>
      </c>
      <c r="M11" s="286">
        <f ca="1">VLOOKUP(A11,'Mesečni energetski stroški'!$B$4:$AK$1000,M$2,0)</f>
        <v>3760.8</v>
      </c>
      <c r="N11" s="287">
        <f ca="1">VLOOKUP(A11,'Mesečni energetski stroški'!$B$4:$AK$1000,N$2,0)</f>
        <v>15934.350000000002</v>
      </c>
      <c r="O11" s="288">
        <f ca="1">VLOOKUP(A11,'Mesečni energetski stroški'!$B$4:$AK$1000,O$2,0)</f>
        <v>0.52663733549967984</v>
      </c>
      <c r="P11" s="289"/>
      <c r="Q11" s="223" t="str">
        <f t="shared" si="1"/>
        <v>2018-07</v>
      </c>
      <c r="R11" s="278">
        <f ca="1">VLOOKUP(A11,'Mesečni energetski stroški'!$B$4:$AW$1000,R$2,0)</f>
        <v>884</v>
      </c>
      <c r="S11" s="290">
        <f ca="1">VLOOKUP(A11,'Mesečni energetski stroški'!$B$4:$AW$1000,S$2,0)</f>
        <v>944.72799999999995</v>
      </c>
      <c r="T11" s="288">
        <f ca="1">VLOOKUP(A11,'Mesečni energetski stroški'!$B$4:$AW$1000,T$2,0)</f>
        <v>1.0686968325791855</v>
      </c>
      <c r="V11" s="291">
        <f>'Mesečni energetski stroški'!AY81</f>
        <v>65303.490203000001</v>
      </c>
      <c r="X11" s="295"/>
      <c r="Y11" s="296"/>
      <c r="Z11" s="296"/>
      <c r="AA11" s="296"/>
      <c r="AB11" s="296"/>
      <c r="AC11" s="297"/>
    </row>
    <row r="12" spans="1:29" s="272" customFormat="1" x14ac:dyDescent="0.25">
      <c r="A12" s="223" t="str">
        <f>$B$1&amp;"-08"</f>
        <v>2018-08</v>
      </c>
      <c r="B12" s="278">
        <f>VLOOKUP(A12,'Mesečni energetski stroški'!$B$4:$M$1000,B$2,0)</f>
        <v>531212</v>
      </c>
      <c r="C12" s="279">
        <f>VLOOKUP(A12,'Mesečni energetski stroški'!$B$4:$T$1000,C$2,0)</f>
        <v>8834.74</v>
      </c>
      <c r="D12" s="280">
        <f>VLOOKUP(A12,'Mesečni energetski stroški'!$B$4:$U$1000,D$2,0)</f>
        <v>42436.824679999998</v>
      </c>
      <c r="E12" s="280">
        <f>VLOOKUP(A12,'Mesečni energetski stroški'!$B$4:$W$1000,E$2,0)</f>
        <v>10792.36</v>
      </c>
      <c r="F12" s="281">
        <f>VLOOKUP(A12,'Mesečni energetski stroški'!$B$4:$X$1000,F$2,0)</f>
        <v>7.9886796006114313E-2</v>
      </c>
      <c r="G12" s="282">
        <f>VLOOKUP(A12,'Mesečni energetski stroški'!$B$4:$Y$1000,G$2,0)</f>
        <v>0.10020327982048598</v>
      </c>
      <c r="H12" s="283">
        <f ca="1">VLOOKUP(A12,'Mesečni energetski stroški'!$B$4:$AA$1000,H$2,0)</f>
        <v>53229.184679999998</v>
      </c>
      <c r="J12" s="223" t="str">
        <f t="shared" si="0"/>
        <v>2018-08</v>
      </c>
      <c r="K12" s="284">
        <f ca="1">VLOOKUP(A12,'Mesečni energetski stroški'!$B$4:$AK$1000,K$2,0)</f>
        <v>14883.730000000001</v>
      </c>
      <c r="L12" s="285">
        <f ca="1">VLOOKUP(A12,'Mesečni energetski stroški'!$B$4:$AK$1000,L$2,0)</f>
        <v>14317.01</v>
      </c>
      <c r="M12" s="286">
        <f ca="1">VLOOKUP(A12,'Mesečni energetski stroški'!$B$4:$AK$1000,M$2,0)</f>
        <v>4393.5</v>
      </c>
      <c r="N12" s="287">
        <f ca="1">VLOOKUP(A12,'Mesečni energetski stroški'!$B$4:$AK$1000,N$2,0)</f>
        <v>9923.51</v>
      </c>
      <c r="O12" s="288">
        <f ca="1">VLOOKUP(A12,'Mesečni energetski stroški'!$B$4:$AK$1000,O$2,0)</f>
        <v>0.6667354218331023</v>
      </c>
      <c r="P12" s="289"/>
      <c r="Q12" s="223" t="str">
        <f t="shared" si="1"/>
        <v>2018-08</v>
      </c>
      <c r="R12" s="278">
        <f ca="1">VLOOKUP(A12,'Mesečni energetski stroški'!$B$4:$AW$1000,R$2,0)</f>
        <v>857</v>
      </c>
      <c r="S12" s="290">
        <f ca="1">VLOOKUP(A12,'Mesečni energetski stroški'!$B$4:$AW$1000,S$2,0)</f>
        <v>926.27800000000002</v>
      </c>
      <c r="T12" s="288">
        <f ca="1">VLOOKUP(A12,'Mesečni energetski stroški'!$B$4:$AW$1000,T$2,0)</f>
        <v>1.0808378063010502</v>
      </c>
      <c r="V12" s="291">
        <f>'Mesečni energetski stroški'!AY82</f>
        <v>45283.526365999998</v>
      </c>
      <c r="X12" s="295"/>
      <c r="Y12" s="296"/>
      <c r="Z12" s="296"/>
      <c r="AA12" s="296"/>
      <c r="AB12" s="296"/>
      <c r="AC12" s="297"/>
    </row>
    <row r="13" spans="1:29" s="272" customFormat="1" x14ac:dyDescent="0.25">
      <c r="A13" s="223" t="str">
        <f>$B$1&amp;"-09"</f>
        <v>2018-09</v>
      </c>
      <c r="B13" s="278">
        <f>VLOOKUP(A13,'Mesečni energetski stroški'!$B$4:$M$1000,B$2,0)</f>
        <v>863163</v>
      </c>
      <c r="C13" s="279">
        <f>VLOOKUP(A13,'Mesečni energetski stroški'!$B$4:$T$1000,C$2,0)</f>
        <v>12347.63</v>
      </c>
      <c r="D13" s="280">
        <f>VLOOKUP(A13,'Mesečni energetski stroški'!$B$4:$U$1000,D$2,0)</f>
        <v>66693.12821000001</v>
      </c>
      <c r="E13" s="280">
        <f>VLOOKUP(A13,'Mesečni energetski stroški'!$B$4:$W$1000,E$2,0)</f>
        <v>10942.04</v>
      </c>
      <c r="F13" s="281">
        <f>VLOOKUP(A13,'Mesečni energetski stroški'!$B$4:$X$1000,F$2,0)</f>
        <v>7.7265972023824014E-2</v>
      </c>
      <c r="G13" s="282">
        <f>VLOOKUP(A13,'Mesečni energetski stroški'!$B$4:$Y$1000,G$2,0)</f>
        <v>8.9942650704444002E-2</v>
      </c>
      <c r="H13" s="283">
        <f ca="1">VLOOKUP(A13,'Mesečni energetski stroški'!$B$4:$AA$1000,H$2,0)</f>
        <v>77635.168210000003</v>
      </c>
      <c r="J13" s="223" t="str">
        <f t="shared" si="0"/>
        <v>2018-09</v>
      </c>
      <c r="K13" s="284">
        <f ca="1">VLOOKUP(A13,'Mesečni energetski stroški'!$B$4:$AK$1000,K$2,0)</f>
        <v>32233.46</v>
      </c>
      <c r="L13" s="285">
        <f ca="1">VLOOKUP(A13,'Mesečni energetski stroški'!$B$4:$AK$1000,L$2,0)</f>
        <v>22875.759999999998</v>
      </c>
      <c r="M13" s="286">
        <f ca="1">VLOOKUP(A13,'Mesečni energetski stroški'!$B$4:$AK$1000,M$2,0)</f>
        <v>5870.81</v>
      </c>
      <c r="N13" s="287">
        <f ca="1">VLOOKUP(A13,'Mesečni energetski stroški'!$B$4:$AK$1000,N$2,0)</f>
        <v>17004.949999999997</v>
      </c>
      <c r="O13" s="288">
        <f ca="1">VLOOKUP(A13,'Mesečni energetski stroški'!$B$4:$AK$1000,O$2,0)</f>
        <v>0.52755583793983019</v>
      </c>
      <c r="P13" s="289"/>
      <c r="Q13" s="223" t="str">
        <f t="shared" si="1"/>
        <v>2018-09</v>
      </c>
      <c r="R13" s="278">
        <f ca="1">VLOOKUP(A13,'Mesečni energetski stroški'!$B$4:$AW$1000,R$2,0)</f>
        <v>896</v>
      </c>
      <c r="S13" s="290">
        <f ca="1">VLOOKUP(A13,'Mesečni energetski stroški'!$B$4:$AW$1000,S$2,0)</f>
        <v>952.92600000000004</v>
      </c>
      <c r="T13" s="288">
        <f ca="1">VLOOKUP(A13,'Mesečni energetski stroški'!$B$4:$AW$1000,T$2,0)</f>
        <v>1.0635334821428573</v>
      </c>
      <c r="V13" s="291">
        <f>'Mesečni energetski stroški'!AY83</f>
        <v>69085.946080000009</v>
      </c>
      <c r="X13" s="295"/>
      <c r="Y13" s="296"/>
      <c r="Z13" s="296"/>
      <c r="AA13" s="296"/>
      <c r="AB13" s="296"/>
      <c r="AC13" s="297"/>
    </row>
    <row r="14" spans="1:29" s="272" customFormat="1" x14ac:dyDescent="0.25">
      <c r="A14" s="223" t="str">
        <f>$B$1&amp;"-10"</f>
        <v>2018-10</v>
      </c>
      <c r="B14" s="278">
        <f>VLOOKUP(A14,'Mesečni energetski stroški'!$B$4:$M$1000,B$2,0)</f>
        <v>785070</v>
      </c>
      <c r="C14" s="279">
        <f>VLOOKUP(A14,'Mesečni energetski stroški'!$B$4:$T$1000,C$2,0)</f>
        <v>0</v>
      </c>
      <c r="D14" s="280">
        <f>VLOOKUP(A14,'Mesečni energetski stroški'!$B$4:$U$1000,D$2,0)</f>
        <v>36194.251200000006</v>
      </c>
      <c r="E14" s="280">
        <f>VLOOKUP(A14,'Mesečni energetski stroški'!$B$4:$W$1000,E$2,0)</f>
        <v>0</v>
      </c>
      <c r="F14" s="281">
        <f>VLOOKUP(A14,'Mesečni energetski stroški'!$B$4:$X$1000,F$2,0)</f>
        <v>4.6103215254690674E-2</v>
      </c>
      <c r="G14" s="282">
        <f>VLOOKUP(A14,'Mesečni energetski stroški'!$B$4:$Y$1000,G$2,0)</f>
        <v>4.6103215254690674E-2</v>
      </c>
      <c r="H14" s="283">
        <f ca="1">VLOOKUP(A14,'Mesečni energetski stroški'!$B$4:$AA$1000,H$2,0)</f>
        <v>36194.251200000006</v>
      </c>
      <c r="J14" s="223" t="str">
        <f t="shared" si="0"/>
        <v>2018-10</v>
      </c>
      <c r="K14" s="284">
        <f ca="1">VLOOKUP(A14,'Mesečni energetski stroški'!$B$4:$AK$1000,K$2,0)</f>
        <v>41573.4</v>
      </c>
      <c r="L14" s="285">
        <f ca="1">VLOOKUP(A14,'Mesečni energetski stroški'!$B$4:$AK$1000,L$2,0)</f>
        <v>31776.79</v>
      </c>
      <c r="M14" s="286">
        <f ca="1">VLOOKUP(A14,'Mesečni energetski stroški'!$B$4:$AK$1000,M$2,0)</f>
        <v>9974.75</v>
      </c>
      <c r="N14" s="287">
        <f ca="1">VLOOKUP(A14,'Mesečni energetski stroški'!$B$4:$AK$1000,N$2,0)</f>
        <v>21802.04</v>
      </c>
      <c r="O14" s="288">
        <f ca="1">VLOOKUP(A14,'Mesečni energetski stroški'!$B$4:$AK$1000,O$2,0)</f>
        <v>0.52442282805832574</v>
      </c>
      <c r="P14" s="289"/>
      <c r="Q14" s="223" t="str">
        <f t="shared" si="1"/>
        <v>2018-10</v>
      </c>
      <c r="R14" s="278">
        <f ca="1">VLOOKUP(A14,'Mesečni energetski stroški'!$B$4:$AW$1000,R$2,0)</f>
        <v>0</v>
      </c>
      <c r="S14" s="290">
        <f ca="1">VLOOKUP(A14,'Mesečni energetski stroški'!$B$4:$AW$1000,S$2,0)</f>
        <v>0</v>
      </c>
      <c r="T14" s="288" t="e">
        <f ca="1">VLOOKUP(A14,'Mesečni energetski stroški'!$B$4:$AW$1000,T$2,0)</f>
        <v>#DIV/0!</v>
      </c>
      <c r="V14" s="291">
        <f>'Mesečni energetski stroški'!AY84</f>
        <v>72782.199599999993</v>
      </c>
      <c r="X14" s="295"/>
      <c r="Y14" s="296"/>
      <c r="Z14" s="296"/>
      <c r="AA14" s="296"/>
      <c r="AB14" s="296"/>
      <c r="AC14" s="297"/>
    </row>
    <row r="15" spans="1:29" s="272" customFormat="1" x14ac:dyDescent="0.25">
      <c r="A15" s="223" t="str">
        <f>$B$1&amp;"-11"</f>
        <v>2018-11</v>
      </c>
      <c r="B15" s="278">
        <f>VLOOKUP(A15,'Mesečni energetski stroški'!$B$4:$M$1000,B$2,0)</f>
        <v>0</v>
      </c>
      <c r="C15" s="279">
        <f>VLOOKUP(A15,'Mesečni energetski stroški'!$B$4:$T$1000,C$2,0)</f>
        <v>0</v>
      </c>
      <c r="D15" s="280">
        <f>VLOOKUP(A15,'Mesečni energetski stroški'!$B$4:$U$1000,D$2,0)</f>
        <v>0</v>
      </c>
      <c r="E15" s="280">
        <f>VLOOKUP(A15,'Mesečni energetski stroški'!$B$4:$W$1000,E$2,0)</f>
        <v>0</v>
      </c>
      <c r="F15" s="281" t="e">
        <f>VLOOKUP(A15,'Mesečni energetski stroški'!$B$4:$X$1000,F$2,0)</f>
        <v>#DIV/0!</v>
      </c>
      <c r="G15" s="282" t="e">
        <f>VLOOKUP(A15,'Mesečni energetski stroški'!$B$4:$Y$1000,G$2,0)</f>
        <v>#DIV/0!</v>
      </c>
      <c r="H15" s="283">
        <f ca="1">VLOOKUP(A15,'Mesečni energetski stroški'!$B$4:$AA$1000,H$2,0)</f>
        <v>0</v>
      </c>
      <c r="J15" s="223" t="str">
        <f t="shared" si="0"/>
        <v>2018-11</v>
      </c>
      <c r="K15" s="284">
        <f ca="1">VLOOKUP(A15,'Mesečni energetski stroški'!$B$4:$AK$1000,K$2,0)</f>
        <v>0</v>
      </c>
      <c r="L15" s="285">
        <f ca="1">VLOOKUP(A15,'Mesečni energetski stroški'!$B$4:$AK$1000,L$2,0)</f>
        <v>0</v>
      </c>
      <c r="M15" s="286">
        <f ca="1">VLOOKUP(A15,'Mesečni energetski stroški'!$B$4:$AK$1000,M$2,0)</f>
        <v>0</v>
      </c>
      <c r="N15" s="287">
        <f ca="1">VLOOKUP(A15,'Mesečni energetski stroški'!$B$4:$AK$1000,N$2,0)</f>
        <v>0</v>
      </c>
      <c r="O15" s="288" t="e">
        <f ca="1">VLOOKUP(A15,'Mesečni energetski stroški'!$B$4:$AK$1000,O$2,0)</f>
        <v>#DIV/0!</v>
      </c>
      <c r="P15" s="289"/>
      <c r="Q15" s="223" t="str">
        <f t="shared" si="1"/>
        <v>2018-11</v>
      </c>
      <c r="R15" s="278">
        <f ca="1">VLOOKUP(A15,'Mesečni energetski stroški'!$B$4:$AW$1000,R$2,0)</f>
        <v>0</v>
      </c>
      <c r="S15" s="290">
        <f ca="1">VLOOKUP(A15,'Mesečni energetski stroški'!$B$4:$AW$1000,S$2,0)</f>
        <v>0</v>
      </c>
      <c r="T15" s="288" t="e">
        <f ca="1">VLOOKUP(A15,'Mesečni energetski stroški'!$B$4:$AW$1000,T$2,0)</f>
        <v>#DIV/0!</v>
      </c>
      <c r="V15" s="291">
        <f>'Mesečni energetski stroški'!AY85</f>
        <v>86643.078219999996</v>
      </c>
      <c r="X15" s="295"/>
      <c r="Y15" s="296"/>
      <c r="Z15" s="296"/>
      <c r="AA15" s="296"/>
      <c r="AB15" s="296"/>
      <c r="AC15" s="297"/>
    </row>
    <row r="16" spans="1:29" s="272" customFormat="1" ht="15.75" thickBot="1" x14ac:dyDescent="0.3">
      <c r="A16" s="235" t="str">
        <f>$B$1&amp;"-12"</f>
        <v>2018-12</v>
      </c>
      <c r="B16" s="298">
        <f>VLOOKUP(A16,'Mesečni energetski stroški'!$B$4:$M$1000,B$2,0)</f>
        <v>0</v>
      </c>
      <c r="C16" s="392">
        <f>VLOOKUP(A16,'Mesečni energetski stroški'!$B$4:$T$1000,C$2,0)</f>
        <v>0</v>
      </c>
      <c r="D16" s="393">
        <f>VLOOKUP(A16,'Mesečni energetski stroški'!$B$4:$U$1000,D$2,0)</f>
        <v>0</v>
      </c>
      <c r="E16" s="393">
        <f>VLOOKUP(A16,'Mesečni energetski stroški'!$B$4:$W$1000,E$2,0)</f>
        <v>0</v>
      </c>
      <c r="F16" s="394" t="e">
        <f>VLOOKUP(A16,'Mesečni energetski stroški'!$B$4:$X$1000,F$2,0)</f>
        <v>#DIV/0!</v>
      </c>
      <c r="G16" s="395" t="e">
        <f>VLOOKUP(A16,'Mesečni energetski stroški'!$B$4:$Y$1000,G$2,0)</f>
        <v>#DIV/0!</v>
      </c>
      <c r="H16" s="396">
        <f ca="1">VLOOKUP(A16,'Mesečni energetski stroški'!$B$4:$AA$1000,H$2,0)</f>
        <v>0</v>
      </c>
      <c r="J16" s="235" t="str">
        <f t="shared" si="0"/>
        <v>2018-12</v>
      </c>
      <c r="K16" s="402">
        <f ca="1">VLOOKUP(A16,'Mesečni energetski stroški'!$B$4:$AK$1000,K$2,0)</f>
        <v>0</v>
      </c>
      <c r="L16" s="403">
        <f ca="1">VLOOKUP(A16,'Mesečni energetski stroški'!$B$4:$AK$1000,L$2,0)</f>
        <v>0</v>
      </c>
      <c r="M16" s="404">
        <f ca="1">VLOOKUP(A16,'Mesečni energetski stroški'!$B$4:$AK$1000,M$2,0)</f>
        <v>0</v>
      </c>
      <c r="N16" s="405">
        <f ca="1">VLOOKUP(A16,'Mesečni energetski stroški'!$B$4:$AK$1000,N$2,0)</f>
        <v>0</v>
      </c>
      <c r="O16" s="406" t="e">
        <f ca="1">VLOOKUP(A16,'Mesečni energetski stroški'!$B$4:$AK$1000,O$2,0)</f>
        <v>#DIV/0!</v>
      </c>
      <c r="P16" s="289"/>
      <c r="Q16" s="235" t="str">
        <f t="shared" si="1"/>
        <v>2018-12</v>
      </c>
      <c r="R16" s="298">
        <f ca="1">VLOOKUP(A16,'Mesečni energetski stroški'!$B$4:$AW$1000,R$2,0)</f>
        <v>0</v>
      </c>
      <c r="S16" s="409">
        <f ca="1">VLOOKUP(A16,'Mesečni energetski stroški'!$B$4:$AW$1000,S$2,0)</f>
        <v>0</v>
      </c>
      <c r="T16" s="406" t="e">
        <f ca="1">VLOOKUP(A16,'Mesečni energetski stroški'!$B$4:$AW$1000,T$2,0)</f>
        <v>#DIV/0!</v>
      </c>
      <c r="V16" s="291">
        <f>'Mesečni energetski stroški'!AY86</f>
        <v>73988.66272600001</v>
      </c>
      <c r="X16" s="295"/>
      <c r="Y16" s="296"/>
      <c r="Z16" s="296"/>
      <c r="AA16" s="296"/>
      <c r="AB16" s="296"/>
      <c r="AC16" s="297"/>
    </row>
    <row r="17" spans="1:29" s="272" customFormat="1" ht="15.75" thickBot="1" x14ac:dyDescent="0.3">
      <c r="A17" s="299">
        <f>B1</f>
        <v>2018</v>
      </c>
      <c r="B17" s="397">
        <f>VLOOKUP(A17,'Mesečni energetski stroški'!$B$4:$M$1000,B$2,0)</f>
        <v>8250151</v>
      </c>
      <c r="C17" s="400">
        <f>VLOOKUP(A17,'Mesečni energetski stroški'!$B$4:$T$1000,C$2,0)</f>
        <v>106020.92</v>
      </c>
      <c r="D17" s="300">
        <f>VLOOKUP(A17,'Mesečni energetski stroški'!$B$4:$U$1000,D$2,0)</f>
        <v>557072.58285000001</v>
      </c>
      <c r="E17" s="300">
        <f>VLOOKUP(A17,'Mesečni energetski stroški'!$B$4:$W$1000,E$2,0)</f>
        <v>109618.78</v>
      </c>
      <c r="F17" s="401">
        <f>VLOOKUP(A17,'Mesečni energetski stroški'!$B$4:$X$1000,F$2,0)</f>
        <v>6.7522713566091089E-2</v>
      </c>
      <c r="G17" s="398">
        <f>VLOOKUP(A17,'Mesečni energetski stroški'!$B$4:$Y$1000,G$2,0)</f>
        <v>8.0809595224378319E-2</v>
      </c>
      <c r="H17" s="399">
        <f ca="1">VLOOKUP(A17,'Mesečni energetski stroški'!$B$4:$AA$1000,H$2,0)</f>
        <v>666691.36285000003</v>
      </c>
      <c r="J17" s="299">
        <f>A17</f>
        <v>2018</v>
      </c>
      <c r="K17" s="397">
        <f ca="1">VLOOKUP(A17,'Mesečni energetski stroški'!$B$4:$AK$1000,K$2,0)</f>
        <v>574499.55446513533</v>
      </c>
      <c r="L17" s="300">
        <f ca="1">VLOOKUP(A17,'Mesečni energetski stroški'!$B$4:$AK$1000,L$2,0)</f>
        <v>320119.34999999998</v>
      </c>
      <c r="M17" s="300">
        <f ca="1">VLOOKUP(A17,'Mesečni energetski stroški'!$B$4:$AK$1000,M$2,0)</f>
        <v>87994.28</v>
      </c>
      <c r="N17" s="407">
        <f ca="1">VLOOKUP(A17,'Mesečni energetski stroški'!$B$4:$AK$1000,N$2,0)</f>
        <v>232125.07000000004</v>
      </c>
      <c r="O17" s="408">
        <f ca="1">VLOOKUP(A17,'Mesečni energetski stroški'!$B$4:$AK$1000,O$2,0)</f>
        <v>0.40404743258001435</v>
      </c>
      <c r="P17" s="289"/>
      <c r="Q17" s="299">
        <f>A17</f>
        <v>2018</v>
      </c>
      <c r="R17" s="397">
        <f ca="1">VLOOKUP(A17,'Mesečni energetski stroški'!$B$4:$AW$1000,R$2,0)</f>
        <v>7677.4940000000006</v>
      </c>
      <c r="S17" s="407">
        <f ca="1">VLOOKUP(A17,'Mesečni energetski stroški'!$B$4:$AW$1000,S$2,0)</f>
        <v>8312.1499007999992</v>
      </c>
      <c r="T17" s="408">
        <f ca="1">VLOOKUP(A17,'Mesečni energetski stroški'!$B$4:$AW$1000,T$2,0)</f>
        <v>1.0826644606690672</v>
      </c>
      <c r="V17" s="301">
        <f>'Mesečni energetski stroški'!AY87</f>
        <v>861198.26105693425</v>
      </c>
      <c r="X17" s="302"/>
      <c r="Y17" s="303"/>
      <c r="Z17" s="303"/>
      <c r="AA17" s="303"/>
      <c r="AB17" s="303"/>
      <c r="AC17" s="304"/>
    </row>
    <row r="18" spans="1:29" ht="15.75" thickBot="1" x14ac:dyDescent="0.3"/>
    <row r="19" spans="1:29" ht="16.5" thickTop="1" thickBot="1" x14ac:dyDescent="0.3">
      <c r="D19" s="315"/>
      <c r="E19" s="316"/>
      <c r="F19" s="316"/>
      <c r="G19" s="316"/>
      <c r="H19" s="316"/>
      <c r="I19" s="316"/>
      <c r="J19" s="316"/>
      <c r="K19" s="316"/>
      <c r="L19" s="316"/>
      <c r="M19" s="317"/>
    </row>
    <row r="20" spans="1:29" ht="24.75" thickTop="1" thickBot="1" x14ac:dyDescent="0.4">
      <c r="D20" s="318"/>
      <c r="E20" s="324" t="s">
        <v>150</v>
      </c>
      <c r="F20" s="325"/>
      <c r="G20" s="325"/>
      <c r="H20" s="325"/>
      <c r="I20" s="325"/>
      <c r="J20" s="325"/>
      <c r="K20" s="325"/>
      <c r="L20" s="326"/>
      <c r="M20" s="319"/>
    </row>
    <row r="21" spans="1:29" ht="15.75" customHeight="1" thickTop="1" thickBot="1" x14ac:dyDescent="0.4">
      <c r="D21" s="320"/>
      <c r="E21" s="321"/>
      <c r="F21" s="322"/>
      <c r="G21" s="322"/>
      <c r="H21" s="322"/>
      <c r="I21" s="322"/>
      <c r="J21" s="322"/>
      <c r="K21" s="322"/>
      <c r="L21" s="322"/>
      <c r="M21" s="323"/>
    </row>
    <row r="22" spans="1:29" ht="16.5" thickTop="1" thickBot="1" x14ac:dyDescent="0.3"/>
    <row r="23" spans="1:29" s="306" customFormat="1" ht="30.75" thickBot="1" x14ac:dyDescent="0.3">
      <c r="E23" s="253" t="s">
        <v>65</v>
      </c>
      <c r="F23" s="254" t="s">
        <v>127</v>
      </c>
      <c r="G23" s="255" t="s">
        <v>128</v>
      </c>
      <c r="H23" s="256" t="s">
        <v>129</v>
      </c>
      <c r="I23" s="257" t="s">
        <v>130</v>
      </c>
      <c r="J23" s="258" t="s">
        <v>134</v>
      </c>
      <c r="K23" s="258" t="s">
        <v>141</v>
      </c>
    </row>
    <row r="24" spans="1:29" x14ac:dyDescent="0.25">
      <c r="E24" s="223" t="str">
        <f>A5</f>
        <v>2018-01</v>
      </c>
      <c r="F24" s="224">
        <f>B5</f>
        <v>890828</v>
      </c>
      <c r="G24" s="225">
        <f ca="1">H5</f>
        <v>73516.605479999998</v>
      </c>
      <c r="H24" s="226">
        <f>G5</f>
        <v>8.252615036797227E-2</v>
      </c>
      <c r="I24" s="227" t="s">
        <v>131</v>
      </c>
      <c r="J24" s="228">
        <f>F24</f>
        <v>890828</v>
      </c>
      <c r="K24" s="229">
        <f>H24</f>
        <v>8.252615036797227E-2</v>
      </c>
    </row>
    <row r="25" spans="1:29" ht="18.75" x14ac:dyDescent="0.3">
      <c r="E25" s="223" t="str">
        <f>A5</f>
        <v>2018-01</v>
      </c>
      <c r="F25" s="224">
        <f ca="1">K5</f>
        <v>106700.4170866402</v>
      </c>
      <c r="G25" s="225">
        <f ca="1">N5</f>
        <v>39517.18</v>
      </c>
      <c r="H25" s="230">
        <f ca="1">O5</f>
        <v>0.37035637796909687</v>
      </c>
      <c r="I25" s="231" t="s">
        <v>132</v>
      </c>
      <c r="J25" s="232">
        <f ca="1">F25*34076*0.000277778</f>
        <v>1009979.5337175227</v>
      </c>
      <c r="K25" s="233">
        <f ca="1">G25/J25</f>
        <v>3.9126713641954261E-2</v>
      </c>
      <c r="L25" s="307"/>
      <c r="M25" s="308"/>
      <c r="N25" s="309" t="s">
        <v>135</v>
      </c>
    </row>
    <row r="26" spans="1:29" ht="21" x14ac:dyDescent="0.25">
      <c r="E26" s="223" t="str">
        <f>A5</f>
        <v>2018-01</v>
      </c>
      <c r="F26" s="224">
        <f ca="1">R5</f>
        <v>838</v>
      </c>
      <c r="G26" s="225">
        <f ca="1">S5</f>
        <v>913.17399999999998</v>
      </c>
      <c r="H26" s="230">
        <f ca="1">T5</f>
        <v>1.0897064439140811</v>
      </c>
      <c r="I26" s="231" t="s">
        <v>133</v>
      </c>
      <c r="J26" s="234"/>
      <c r="K26" s="233"/>
      <c r="N26" s="310" t="s">
        <v>137</v>
      </c>
    </row>
    <row r="27" spans="1:29" ht="18.75" x14ac:dyDescent="0.3">
      <c r="E27" s="223" t="str">
        <f>A6</f>
        <v>2018-02</v>
      </c>
      <c r="F27" s="224">
        <f>B6</f>
        <v>800216</v>
      </c>
      <c r="G27" s="225">
        <f ca="1">H6</f>
        <v>67867.485360000006</v>
      </c>
      <c r="H27" s="226">
        <f>G6</f>
        <v>8.4811457606446261E-2</v>
      </c>
      <c r="I27" s="231" t="s">
        <v>131</v>
      </c>
      <c r="J27" s="234">
        <f>F27</f>
        <v>800216</v>
      </c>
      <c r="K27" s="226">
        <f>H27</f>
        <v>8.4811457606446261E-2</v>
      </c>
      <c r="N27" s="311" t="s">
        <v>136</v>
      </c>
    </row>
    <row r="28" spans="1:29" x14ac:dyDescent="0.25">
      <c r="E28" s="223" t="str">
        <f>A6</f>
        <v>2018-02</v>
      </c>
      <c r="F28" s="224">
        <f ca="1">K6</f>
        <v>128486.5381485094</v>
      </c>
      <c r="G28" s="225">
        <f ca="1">N6</f>
        <v>42980</v>
      </c>
      <c r="H28" s="230">
        <f ca="1">O6</f>
        <v>0.33450975191130261</v>
      </c>
      <c r="I28" s="231" t="s">
        <v>132</v>
      </c>
      <c r="J28" s="232">
        <f ca="1">F28*34076*0.000277778</f>
        <v>1216197.437942896</v>
      </c>
      <c r="K28" s="233">
        <f ca="1">G28/J28</f>
        <v>3.5339656752358686E-2</v>
      </c>
    </row>
    <row r="29" spans="1:29" x14ac:dyDescent="0.25">
      <c r="E29" s="223" t="str">
        <f>A6</f>
        <v>2018-02</v>
      </c>
      <c r="F29" s="224">
        <f ca="1">R6</f>
        <v>736</v>
      </c>
      <c r="G29" s="225">
        <f ca="1">S6</f>
        <v>843.61800000000005</v>
      </c>
      <c r="H29" s="230">
        <f ca="1">T6</f>
        <v>1.1462201086956523</v>
      </c>
      <c r="I29" s="231" t="s">
        <v>133</v>
      </c>
      <c r="J29" s="234"/>
      <c r="K29" s="233"/>
    </row>
    <row r="30" spans="1:29" x14ac:dyDescent="0.25">
      <c r="E30" s="223" t="str">
        <f>A7</f>
        <v>2018-03</v>
      </c>
      <c r="F30" s="224">
        <f>B7</f>
        <v>919226</v>
      </c>
      <c r="G30" s="225">
        <f ca="1">H7</f>
        <v>75603.466539999994</v>
      </c>
      <c r="H30" s="226">
        <f>G7</f>
        <v>8.2246875675840325E-2</v>
      </c>
      <c r="I30" s="231" t="s">
        <v>131</v>
      </c>
      <c r="J30" s="234">
        <f>F30</f>
        <v>919226</v>
      </c>
      <c r="K30" s="226">
        <f>H30</f>
        <v>8.2246875675840325E-2</v>
      </c>
    </row>
    <row r="31" spans="1:29" x14ac:dyDescent="0.25">
      <c r="E31" s="223" t="str">
        <f>A7</f>
        <v>2018-03</v>
      </c>
      <c r="F31" s="224">
        <f ca="1">K7</f>
        <v>105801.07752576721</v>
      </c>
      <c r="G31" s="225">
        <f ca="1">N7</f>
        <v>36811.86</v>
      </c>
      <c r="H31" s="230">
        <f ca="1">O7</f>
        <v>0.34793464169620292</v>
      </c>
      <c r="I31" s="231" t="s">
        <v>132</v>
      </c>
      <c r="J31" s="232">
        <f ca="1">F31*34076*0.000277778</f>
        <v>1001466.7783305716</v>
      </c>
      <c r="K31" s="233">
        <f ca="1">G31/J31</f>
        <v>3.675794424390668E-2</v>
      </c>
    </row>
    <row r="32" spans="1:29" x14ac:dyDescent="0.25">
      <c r="E32" s="223" t="str">
        <f>A7</f>
        <v>2018-03</v>
      </c>
      <c r="F32" s="224">
        <f ca="1">R7</f>
        <v>1014.494</v>
      </c>
      <c r="G32" s="225">
        <f ca="1">S7</f>
        <v>1033.8847008</v>
      </c>
      <c r="H32" s="230">
        <f ca="1">T7</f>
        <v>1.0191136673060659</v>
      </c>
      <c r="I32" s="231" t="s">
        <v>133</v>
      </c>
      <c r="J32" s="234"/>
      <c r="K32" s="233"/>
    </row>
    <row r="33" spans="5:11" x14ac:dyDescent="0.25">
      <c r="E33" s="223" t="str">
        <f>A8</f>
        <v>2018-04</v>
      </c>
      <c r="F33" s="224">
        <f>B8</f>
        <v>812828</v>
      </c>
      <c r="G33" s="225">
        <f ca="1">H8</f>
        <v>64500.344519999991</v>
      </c>
      <c r="H33" s="226">
        <f>G8</f>
        <v>7.9353005211434638E-2</v>
      </c>
      <c r="I33" s="231" t="s">
        <v>131</v>
      </c>
      <c r="J33" s="234">
        <f>F33</f>
        <v>812828</v>
      </c>
      <c r="K33" s="226">
        <f>H33</f>
        <v>7.9353005211434638E-2</v>
      </c>
    </row>
    <row r="34" spans="5:11" x14ac:dyDescent="0.25">
      <c r="E34" s="223" t="str">
        <f>A8</f>
        <v>2018-04</v>
      </c>
      <c r="F34" s="224">
        <f ca="1">K8</f>
        <v>44576.714854602702</v>
      </c>
      <c r="G34" s="225">
        <f ca="1">N8</f>
        <v>16198.529999999999</v>
      </c>
      <c r="H34" s="230">
        <f ca="1">O8</f>
        <v>0.36338545926579074</v>
      </c>
      <c r="I34" s="231" t="s">
        <v>132</v>
      </c>
      <c r="J34" s="232">
        <f ca="1">F34*34076*0.000277778</f>
        <v>421943.70849509723</v>
      </c>
      <c r="K34" s="233">
        <f ca="1">G34/J34</f>
        <v>3.8390263141435649E-2</v>
      </c>
    </row>
    <row r="35" spans="5:11" x14ac:dyDescent="0.25">
      <c r="E35" s="223" t="str">
        <f>A8</f>
        <v>2018-04</v>
      </c>
      <c r="F35" s="224">
        <f ca="1">R8</f>
        <v>942</v>
      </c>
      <c r="G35" s="225">
        <f ca="1">S8</f>
        <v>984.35200000000009</v>
      </c>
      <c r="H35" s="230">
        <f ca="1">T8</f>
        <v>1.04495966029724</v>
      </c>
      <c r="I35" s="231" t="s">
        <v>133</v>
      </c>
      <c r="J35" s="234"/>
      <c r="K35" s="233"/>
    </row>
    <row r="36" spans="5:11" x14ac:dyDescent="0.25">
      <c r="E36" s="223" t="str">
        <f>A9</f>
        <v>2018-05</v>
      </c>
      <c r="F36" s="224">
        <f>B9</f>
        <v>901347</v>
      </c>
      <c r="G36" s="225">
        <f ca="1">H9</f>
        <v>70503.15569</v>
      </c>
      <c r="H36" s="226">
        <f>G9</f>
        <v>7.8219770732026628E-2</v>
      </c>
      <c r="I36" s="231" t="s">
        <v>131</v>
      </c>
      <c r="J36" s="234">
        <f>F36</f>
        <v>901347</v>
      </c>
      <c r="K36" s="226">
        <f>H36</f>
        <v>7.8219770732026628E-2</v>
      </c>
    </row>
    <row r="37" spans="5:11" x14ac:dyDescent="0.25">
      <c r="E37" s="223" t="str">
        <f>A9</f>
        <v>2018-05</v>
      </c>
      <c r="F37" s="224">
        <f ca="1">K9</f>
        <v>40207.270000000004</v>
      </c>
      <c r="G37" s="225">
        <f ca="1">N9</f>
        <v>16381.800000000001</v>
      </c>
      <c r="H37" s="230">
        <f ca="1">O9</f>
        <v>0.40743378001043096</v>
      </c>
      <c r="I37" s="231" t="s">
        <v>132</v>
      </c>
      <c r="J37" s="232">
        <f ca="1">F37*34076*0.000277778</f>
        <v>380584.45238954062</v>
      </c>
      <c r="K37" s="233">
        <f ca="1">G37/J37</f>
        <v>4.3043797236448043E-2</v>
      </c>
    </row>
    <row r="38" spans="5:11" x14ac:dyDescent="0.25">
      <c r="E38" s="223" t="str">
        <f>A9</f>
        <v>2018-05</v>
      </c>
      <c r="F38" s="224">
        <f ca="1">R9</f>
        <v>857</v>
      </c>
      <c r="G38" s="225">
        <f ca="1">S9</f>
        <v>926.2804000000001</v>
      </c>
      <c r="H38" s="230">
        <f ca="1">T9</f>
        <v>1.0808406067677947</v>
      </c>
      <c r="I38" s="231" t="s">
        <v>133</v>
      </c>
      <c r="J38" s="234"/>
      <c r="K38" s="233"/>
    </row>
    <row r="39" spans="5:11" x14ac:dyDescent="0.25">
      <c r="E39" s="223" t="str">
        <f>A10</f>
        <v>2018-06</v>
      </c>
      <c r="F39" s="224">
        <f>B10</f>
        <v>863274</v>
      </c>
      <c r="G39" s="225">
        <f ca="1">H10</f>
        <v>68557.039420000001</v>
      </c>
      <c r="H39" s="226">
        <f>G10</f>
        <v>7.9415156045473403E-2</v>
      </c>
      <c r="I39" s="231" t="s">
        <v>131</v>
      </c>
      <c r="J39" s="234">
        <f>F39</f>
        <v>863274</v>
      </c>
      <c r="K39" s="226">
        <f>H39</f>
        <v>7.9415156045473403E-2</v>
      </c>
    </row>
    <row r="40" spans="5:11" x14ac:dyDescent="0.25">
      <c r="E40" s="223" t="str">
        <f>A10</f>
        <v>2018-06</v>
      </c>
      <c r="F40" s="224">
        <f ca="1">K10</f>
        <v>29780.166849615802</v>
      </c>
      <c r="G40" s="225">
        <f ca="1">N10</f>
        <v>15570.85</v>
      </c>
      <c r="H40" s="230">
        <f ca="1">O10</f>
        <v>0.52285973005557163</v>
      </c>
      <c r="I40" s="231" t="s">
        <v>132</v>
      </c>
      <c r="J40" s="232">
        <f ca="1">F40*34076*0.000277778</f>
        <v>281886.04927741125</v>
      </c>
      <c r="K40" s="233">
        <f ca="1">G40/J40</f>
        <v>5.5238100785457211E-2</v>
      </c>
    </row>
    <row r="41" spans="5:11" x14ac:dyDescent="0.25">
      <c r="E41" s="223" t="str">
        <f>A10</f>
        <v>2018-06</v>
      </c>
      <c r="F41" s="224">
        <f ca="1">R10</f>
        <v>653</v>
      </c>
      <c r="G41" s="225">
        <f ca="1">S10</f>
        <v>786.90879999999993</v>
      </c>
      <c r="H41" s="230">
        <f ca="1">T10</f>
        <v>1.2050670750382848</v>
      </c>
      <c r="I41" s="231" t="s">
        <v>133</v>
      </c>
      <c r="J41" s="234"/>
      <c r="K41" s="233"/>
    </row>
    <row r="42" spans="5:11" x14ac:dyDescent="0.25">
      <c r="E42" s="223" t="str">
        <f>A11</f>
        <v>2018-07</v>
      </c>
      <c r="F42" s="224">
        <f>B11</f>
        <v>882987</v>
      </c>
      <c r="G42" s="225">
        <f ca="1">H11</f>
        <v>79084.661749999999</v>
      </c>
      <c r="H42" s="226">
        <f>G11</f>
        <v>8.9564921963743521E-2</v>
      </c>
      <c r="I42" s="231" t="s">
        <v>131</v>
      </c>
      <c r="J42" s="234">
        <f>F42</f>
        <v>882987</v>
      </c>
      <c r="K42" s="226">
        <f>H42</f>
        <v>8.9564921963743521E-2</v>
      </c>
    </row>
    <row r="43" spans="5:11" x14ac:dyDescent="0.25">
      <c r="E43" s="223" t="str">
        <f>A11</f>
        <v>2018-07</v>
      </c>
      <c r="F43" s="224">
        <f ca="1">K11</f>
        <v>30256.78</v>
      </c>
      <c r="G43" s="225">
        <f ca="1">N11</f>
        <v>15934.350000000002</v>
      </c>
      <c r="H43" s="230">
        <f ca="1">O11</f>
        <v>0.52663733549967984</v>
      </c>
      <c r="I43" s="231" t="s">
        <v>132</v>
      </c>
      <c r="J43" s="232">
        <f ca="1">F43*34076*0.000277778</f>
        <v>286397.46114000783</v>
      </c>
      <c r="K43" s="233">
        <f ca="1">G43/J43</f>
        <v>5.5637190136299287E-2</v>
      </c>
    </row>
    <row r="44" spans="5:11" x14ac:dyDescent="0.25">
      <c r="E44" s="223" t="str">
        <f>A11</f>
        <v>2018-07</v>
      </c>
      <c r="F44" s="224">
        <f ca="1">R11</f>
        <v>884</v>
      </c>
      <c r="G44" s="225">
        <f ca="1">S11</f>
        <v>944.72799999999995</v>
      </c>
      <c r="H44" s="230">
        <f ca="1">T11</f>
        <v>1.0686968325791855</v>
      </c>
      <c r="I44" s="231" t="s">
        <v>133</v>
      </c>
      <c r="J44" s="234"/>
      <c r="K44" s="233"/>
    </row>
    <row r="45" spans="5:11" x14ac:dyDescent="0.25">
      <c r="E45" s="223" t="str">
        <f>A12</f>
        <v>2018-08</v>
      </c>
      <c r="F45" s="224">
        <f>B12</f>
        <v>531212</v>
      </c>
      <c r="G45" s="225">
        <f ca="1">H12</f>
        <v>53229.184679999998</v>
      </c>
      <c r="H45" s="226">
        <f>G12</f>
        <v>0.10020327982048598</v>
      </c>
      <c r="I45" s="231" t="s">
        <v>131</v>
      </c>
      <c r="J45" s="234">
        <f>F45</f>
        <v>531212</v>
      </c>
      <c r="K45" s="226">
        <f>H45</f>
        <v>0.10020327982048598</v>
      </c>
    </row>
    <row r="46" spans="5:11" x14ac:dyDescent="0.25">
      <c r="E46" s="223" t="str">
        <f>A12</f>
        <v>2018-08</v>
      </c>
      <c r="F46" s="224">
        <f ca="1">K12</f>
        <v>14883.730000000001</v>
      </c>
      <c r="G46" s="225">
        <f ca="1">N12</f>
        <v>9923.51</v>
      </c>
      <c r="H46" s="230">
        <f ca="1">O12</f>
        <v>0.6667354218331023</v>
      </c>
      <c r="I46" s="231" t="s">
        <v>132</v>
      </c>
      <c r="J46" s="232">
        <f ca="1">F46*34076*0.000277778</f>
        <v>140882.88589510744</v>
      </c>
      <c r="K46" s="233">
        <f ca="1">G46/J46</f>
        <v>7.0438009109129299E-2</v>
      </c>
    </row>
    <row r="47" spans="5:11" x14ac:dyDescent="0.25">
      <c r="E47" s="223" t="str">
        <f>A12</f>
        <v>2018-08</v>
      </c>
      <c r="F47" s="224">
        <f ca="1">R12</f>
        <v>857</v>
      </c>
      <c r="G47" s="225">
        <f ca="1">S12</f>
        <v>926.27800000000002</v>
      </c>
      <c r="H47" s="230">
        <f ca="1">T12</f>
        <v>1.0808378063010502</v>
      </c>
      <c r="I47" s="231" t="s">
        <v>133</v>
      </c>
      <c r="J47" s="234"/>
      <c r="K47" s="233"/>
    </row>
    <row r="48" spans="5:11" x14ac:dyDescent="0.25">
      <c r="E48" s="223" t="str">
        <f>A13</f>
        <v>2018-09</v>
      </c>
      <c r="F48" s="224">
        <f>B13</f>
        <v>863163</v>
      </c>
      <c r="G48" s="225">
        <f ca="1">H13</f>
        <v>77635.168210000003</v>
      </c>
      <c r="H48" s="226">
        <f>G13</f>
        <v>8.9942650704444002E-2</v>
      </c>
      <c r="I48" s="231" t="s">
        <v>131</v>
      </c>
      <c r="J48" s="234">
        <f>F48</f>
        <v>863163</v>
      </c>
      <c r="K48" s="226">
        <f>H48</f>
        <v>8.9942650704444002E-2</v>
      </c>
    </row>
    <row r="49" spans="5:16" x14ac:dyDescent="0.25">
      <c r="E49" s="223" t="str">
        <f>A13</f>
        <v>2018-09</v>
      </c>
      <c r="F49" s="224">
        <f ca="1">K13</f>
        <v>32233.46</v>
      </c>
      <c r="G49" s="225">
        <f ca="1">N13</f>
        <v>17004.949999999997</v>
      </c>
      <c r="H49" s="230">
        <f ca="1">O13</f>
        <v>0.52755583793983019</v>
      </c>
      <c r="I49" s="231" t="s">
        <v>132</v>
      </c>
      <c r="J49" s="232">
        <f ca="1">F49*34076*0.000277778</f>
        <v>305107.85046386288</v>
      </c>
      <c r="K49" s="233">
        <f ca="1">G49/J49</f>
        <v>5.5734226353556481E-2</v>
      </c>
    </row>
    <row r="50" spans="5:16" x14ac:dyDescent="0.25">
      <c r="E50" s="223" t="str">
        <f>A13</f>
        <v>2018-09</v>
      </c>
      <c r="F50" s="224">
        <f ca="1">R13</f>
        <v>896</v>
      </c>
      <c r="G50" s="225">
        <f ca="1">S13</f>
        <v>952.92600000000004</v>
      </c>
      <c r="H50" s="230">
        <f ca="1">T13</f>
        <v>1.0635334821428573</v>
      </c>
      <c r="I50" s="231" t="s">
        <v>133</v>
      </c>
      <c r="J50" s="234"/>
      <c r="K50" s="233"/>
    </row>
    <row r="51" spans="5:16" x14ac:dyDescent="0.25">
      <c r="E51" s="223" t="str">
        <f>A14</f>
        <v>2018-10</v>
      </c>
      <c r="F51" s="224">
        <f>B14</f>
        <v>785070</v>
      </c>
      <c r="G51" s="225">
        <f ca="1">H14</f>
        <v>36194.251200000006</v>
      </c>
      <c r="H51" s="226">
        <f>G14</f>
        <v>4.6103215254690674E-2</v>
      </c>
      <c r="I51" s="231" t="s">
        <v>131</v>
      </c>
      <c r="J51" s="234">
        <f>F51</f>
        <v>785070</v>
      </c>
      <c r="K51" s="226">
        <f>H51</f>
        <v>4.6103215254690674E-2</v>
      </c>
    </row>
    <row r="52" spans="5:16" x14ac:dyDescent="0.25">
      <c r="E52" s="223" t="str">
        <f>A14</f>
        <v>2018-10</v>
      </c>
      <c r="F52" s="224">
        <f ca="1">K14</f>
        <v>41573.4</v>
      </c>
      <c r="G52" s="225">
        <f ca="1">N14</f>
        <v>21802.04</v>
      </c>
      <c r="H52" s="230">
        <f ca="1">O14</f>
        <v>0.52442282805832574</v>
      </c>
      <c r="I52" s="231" t="s">
        <v>132</v>
      </c>
      <c r="J52" s="232">
        <f ca="1">F52*34076*0.000277778</f>
        <v>393515.64214559522</v>
      </c>
      <c r="K52" s="233">
        <f ca="1">G52/J52</f>
        <v>5.5403236021640927E-2</v>
      </c>
    </row>
    <row r="53" spans="5:16" ht="15" customHeight="1" x14ac:dyDescent="0.25">
      <c r="E53" s="223" t="str">
        <f>A14</f>
        <v>2018-10</v>
      </c>
      <c r="F53" s="224">
        <f ca="1">R14</f>
        <v>0</v>
      </c>
      <c r="G53" s="225">
        <f ca="1">S14</f>
        <v>0</v>
      </c>
      <c r="H53" s="230" t="e">
        <f ca="1">T14</f>
        <v>#DIV/0!</v>
      </c>
      <c r="I53" s="231" t="s">
        <v>133</v>
      </c>
      <c r="J53" s="234"/>
      <c r="K53" s="233"/>
      <c r="N53" s="312"/>
      <c r="P53" s="312"/>
    </row>
    <row r="54" spans="5:16" ht="15" customHeight="1" x14ac:dyDescent="0.25">
      <c r="E54" s="223" t="str">
        <f>A15</f>
        <v>2018-11</v>
      </c>
      <c r="F54" s="224">
        <f>B15</f>
        <v>0</v>
      </c>
      <c r="G54" s="225">
        <f ca="1">H15</f>
        <v>0</v>
      </c>
      <c r="H54" s="226" t="e">
        <f>G15</f>
        <v>#DIV/0!</v>
      </c>
      <c r="I54" s="231" t="s">
        <v>131</v>
      </c>
      <c r="J54" s="234">
        <f>F54</f>
        <v>0</v>
      </c>
      <c r="K54" s="226" t="e">
        <f>H54</f>
        <v>#DIV/0!</v>
      </c>
      <c r="N54" s="313"/>
    </row>
    <row r="55" spans="5:16" x14ac:dyDescent="0.25">
      <c r="E55" s="223" t="str">
        <f>A15</f>
        <v>2018-11</v>
      </c>
      <c r="F55" s="224">
        <f ca="1">K15</f>
        <v>0</v>
      </c>
      <c r="G55" s="225">
        <f ca="1">N15</f>
        <v>0</v>
      </c>
      <c r="H55" s="230" t="e">
        <f ca="1">O15</f>
        <v>#DIV/0!</v>
      </c>
      <c r="I55" s="231" t="s">
        <v>132</v>
      </c>
      <c r="J55" s="232">
        <f ca="1">F55*34076*0.000277778</f>
        <v>0</v>
      </c>
      <c r="K55" s="233" t="e">
        <f ca="1">G55/J55</f>
        <v>#DIV/0!</v>
      </c>
    </row>
    <row r="56" spans="5:16" x14ac:dyDescent="0.25">
      <c r="E56" s="223" t="str">
        <f>A15</f>
        <v>2018-11</v>
      </c>
      <c r="F56" s="224">
        <f ca="1">R15</f>
        <v>0</v>
      </c>
      <c r="G56" s="225">
        <f ca="1">S15</f>
        <v>0</v>
      </c>
      <c r="H56" s="230" t="e">
        <f ca="1">T15</f>
        <v>#DIV/0!</v>
      </c>
      <c r="I56" s="231" t="s">
        <v>133</v>
      </c>
      <c r="J56" s="234"/>
      <c r="K56" s="233"/>
    </row>
    <row r="57" spans="5:16" x14ac:dyDescent="0.25">
      <c r="E57" s="223" t="str">
        <f>A16</f>
        <v>2018-12</v>
      </c>
      <c r="F57" s="224">
        <f>B16</f>
        <v>0</v>
      </c>
      <c r="G57" s="225">
        <f ca="1">H16</f>
        <v>0</v>
      </c>
      <c r="H57" s="226" t="e">
        <f>G16</f>
        <v>#DIV/0!</v>
      </c>
      <c r="I57" s="231" t="s">
        <v>131</v>
      </c>
      <c r="J57" s="234">
        <f>F57</f>
        <v>0</v>
      </c>
      <c r="K57" s="226" t="e">
        <f>H57</f>
        <v>#DIV/0!</v>
      </c>
    </row>
    <row r="58" spans="5:16" x14ac:dyDescent="0.25">
      <c r="E58" s="223" t="str">
        <f>A16</f>
        <v>2018-12</v>
      </c>
      <c r="F58" s="224">
        <f ca="1">K16</f>
        <v>0</v>
      </c>
      <c r="G58" s="225">
        <f ca="1">N16</f>
        <v>0</v>
      </c>
      <c r="H58" s="230" t="e">
        <f ca="1">O16</f>
        <v>#DIV/0!</v>
      </c>
      <c r="I58" s="231" t="s">
        <v>132</v>
      </c>
      <c r="J58" s="232">
        <f ca="1">F58*34076*0.000277778</f>
        <v>0</v>
      </c>
      <c r="K58" s="233" t="e">
        <f ca="1">G58/J58</f>
        <v>#DIV/0!</v>
      </c>
    </row>
    <row r="59" spans="5:16" ht="15.75" thickBot="1" x14ac:dyDescent="0.3">
      <c r="E59" s="235" t="str">
        <f>A16</f>
        <v>2018-12</v>
      </c>
      <c r="F59" s="224">
        <f ca="1">R16</f>
        <v>0</v>
      </c>
      <c r="G59" s="225">
        <f ca="1">S16</f>
        <v>0</v>
      </c>
      <c r="H59" s="230" t="e">
        <f ca="1">T16</f>
        <v>#DIV/0!</v>
      </c>
      <c r="I59" s="231" t="s">
        <v>133</v>
      </c>
      <c r="J59" s="234"/>
      <c r="K59" s="233"/>
    </row>
    <row r="60" spans="5:16" ht="15.75" thickBot="1" x14ac:dyDescent="0.3">
      <c r="E60" s="236">
        <f>A17</f>
        <v>2018</v>
      </c>
      <c r="F60" s="237">
        <f>B17</f>
        <v>8250151</v>
      </c>
      <c r="G60" s="238">
        <f ca="1">H17</f>
        <v>666691.36285000003</v>
      </c>
      <c r="H60" s="239">
        <f>G17</f>
        <v>8.0809595224378319E-2</v>
      </c>
      <c r="I60" s="227" t="s">
        <v>131</v>
      </c>
      <c r="J60" s="228">
        <f>F60</f>
        <v>8250151</v>
      </c>
      <c r="K60" s="229">
        <f>H60</f>
        <v>8.0809595224378319E-2</v>
      </c>
    </row>
    <row r="61" spans="5:16" ht="15.75" thickBot="1" x14ac:dyDescent="0.3">
      <c r="E61" s="236">
        <f>A17</f>
        <v>2018</v>
      </c>
      <c r="F61" s="232">
        <f ca="1">K17</f>
        <v>574499.55446513533</v>
      </c>
      <c r="G61" s="240">
        <f ca="1">N17</f>
        <v>232125.07000000004</v>
      </c>
      <c r="H61" s="241">
        <f ca="1">O17</f>
        <v>0.40404743258001435</v>
      </c>
      <c r="I61" s="231" t="s">
        <v>132</v>
      </c>
      <c r="J61" s="242">
        <f ca="1">F61*34076*0.000277778</f>
        <v>5437961.7997976132</v>
      </c>
      <c r="K61" s="233">
        <f ca="1">G61/J61</f>
        <v>4.2686042775923715E-2</v>
      </c>
    </row>
    <row r="62" spans="5:16" ht="15.75" thickBot="1" x14ac:dyDescent="0.3">
      <c r="E62" s="236">
        <f>A17</f>
        <v>2018</v>
      </c>
      <c r="F62" s="243">
        <f ca="1">R17</f>
        <v>7677.4940000000006</v>
      </c>
      <c r="G62" s="244">
        <f ca="1">S17</f>
        <v>8312.1499007999992</v>
      </c>
      <c r="H62" s="245">
        <f ca="1">T17</f>
        <v>1.0826644606690672</v>
      </c>
      <c r="I62" s="246" t="s">
        <v>133</v>
      </c>
      <c r="J62" s="247"/>
      <c r="K62" s="248"/>
    </row>
    <row r="75" spans="14:14" x14ac:dyDescent="0.25">
      <c r="N75" s="314"/>
    </row>
  </sheetData>
  <mergeCells count="1">
    <mergeCell ref="X4:AC4"/>
  </mergeCells>
  <conditionalFormatting sqref="I24:I62">
    <cfRule type="cellIs" dxfId="39" priority="1" operator="equal">
      <formula>"W"</formula>
    </cfRule>
    <cfRule type="cellIs" dxfId="38" priority="2" operator="equal">
      <formula>"G"</formula>
    </cfRule>
    <cfRule type="cellIs" dxfId="37" priority="3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Q68"/>
  <sheetViews>
    <sheetView showGridLines="0" topLeftCell="A34" workbookViewId="0">
      <selection activeCell="A8" sqref="A8"/>
    </sheetView>
  </sheetViews>
  <sheetFormatPr defaultRowHeight="15" x14ac:dyDescent="0.25"/>
  <cols>
    <col min="1" max="1" width="15" bestFit="1" customWidth="1"/>
    <col min="2" max="2" width="24.7109375" style="196" customWidth="1"/>
  </cols>
  <sheetData>
    <row r="1" spans="1:17" ht="15.75" thickBot="1" x14ac:dyDescent="0.3">
      <c r="A1" s="260"/>
      <c r="B1" s="261"/>
      <c r="C1" s="260"/>
      <c r="D1" s="260" t="s">
        <v>143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3" spans="1:17" ht="45" x14ac:dyDescent="0.25">
      <c r="A3" s="193" t="s">
        <v>113</v>
      </c>
      <c r="B3" s="222" t="s">
        <v>138</v>
      </c>
    </row>
    <row r="4" spans="1:17" x14ac:dyDescent="0.25">
      <c r="A4" s="194" t="s">
        <v>283</v>
      </c>
      <c r="B4" s="196">
        <v>1009979.5337175227</v>
      </c>
    </row>
    <row r="5" spans="1:17" x14ac:dyDescent="0.25">
      <c r="A5" s="194" t="s">
        <v>284</v>
      </c>
      <c r="B5" s="196">
        <v>1216197.437942896</v>
      </c>
    </row>
    <row r="6" spans="1:17" x14ac:dyDescent="0.25">
      <c r="A6" s="194" t="s">
        <v>285</v>
      </c>
      <c r="B6" s="196">
        <v>1001466.7783305716</v>
      </c>
    </row>
    <row r="7" spans="1:17" x14ac:dyDescent="0.25">
      <c r="A7" s="194" t="s">
        <v>286</v>
      </c>
      <c r="B7" s="196">
        <v>421943.70849509723</v>
      </c>
    </row>
    <row r="8" spans="1:17" x14ac:dyDescent="0.25">
      <c r="A8" s="194" t="s">
        <v>287</v>
      </c>
      <c r="B8" s="196">
        <v>380584.45238954062</v>
      </c>
    </row>
    <row r="9" spans="1:17" x14ac:dyDescent="0.25">
      <c r="A9" s="194" t="s">
        <v>288</v>
      </c>
      <c r="B9" s="196">
        <v>281886.04927741125</v>
      </c>
    </row>
    <row r="10" spans="1:17" x14ac:dyDescent="0.25">
      <c r="A10" s="194" t="s">
        <v>289</v>
      </c>
      <c r="B10" s="196">
        <v>286397.46114000783</v>
      </c>
    </row>
    <row r="11" spans="1:17" x14ac:dyDescent="0.25">
      <c r="A11" s="194" t="s">
        <v>290</v>
      </c>
      <c r="B11" s="196">
        <v>0</v>
      </c>
    </row>
    <row r="12" spans="1:17" x14ac:dyDescent="0.25">
      <c r="A12" s="194" t="s">
        <v>291</v>
      </c>
      <c r="B12" s="196">
        <v>0</v>
      </c>
    </row>
    <row r="13" spans="1:17" x14ac:dyDescent="0.25">
      <c r="A13" s="194" t="s">
        <v>292</v>
      </c>
      <c r="B13" s="196">
        <v>0</v>
      </c>
    </row>
    <row r="14" spans="1:17" x14ac:dyDescent="0.25">
      <c r="A14" s="194" t="s">
        <v>293</v>
      </c>
      <c r="B14" s="196">
        <v>0</v>
      </c>
    </row>
    <row r="15" spans="1:17" x14ac:dyDescent="0.25">
      <c r="A15" s="194" t="s">
        <v>294</v>
      </c>
      <c r="B15" s="196">
        <v>0</v>
      </c>
    </row>
    <row r="16" spans="1:17" x14ac:dyDescent="0.25">
      <c r="A16" s="194" t="s">
        <v>114</v>
      </c>
      <c r="B16" s="196">
        <v>4598455.4212930473</v>
      </c>
    </row>
    <row r="17" spans="1:17" x14ac:dyDescent="0.25">
      <c r="B17"/>
    </row>
    <row r="18" spans="1:17" x14ac:dyDescent="0.25">
      <c r="B18"/>
    </row>
    <row r="19" spans="1:17" x14ac:dyDescent="0.25">
      <c r="A19" s="259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</row>
    <row r="20" spans="1:17" x14ac:dyDescent="0.25">
      <c r="A20" s="259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</row>
    <row r="21" spans="1:17" x14ac:dyDescent="0.25">
      <c r="A21" s="259"/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</row>
    <row r="22" spans="1:17" ht="15.75" thickBot="1" x14ac:dyDescent="0.3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 x14ac:dyDescent="0.25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</row>
    <row r="24" spans="1:17" ht="30" x14ac:dyDescent="0.25">
      <c r="A24" s="193" t="s">
        <v>113</v>
      </c>
      <c r="B24" s="222" t="s">
        <v>140</v>
      </c>
    </row>
    <row r="25" spans="1:17" x14ac:dyDescent="0.25">
      <c r="A25" s="194" t="s">
        <v>283</v>
      </c>
      <c r="B25" s="196">
        <v>113946.95947999999</v>
      </c>
    </row>
    <row r="26" spans="1:17" x14ac:dyDescent="0.25">
      <c r="A26" s="194" t="s">
        <v>284</v>
      </c>
      <c r="B26" s="196">
        <v>111691.10336000001</v>
      </c>
    </row>
    <row r="27" spans="1:17" x14ac:dyDescent="0.25">
      <c r="A27" s="194" t="s">
        <v>285</v>
      </c>
      <c r="B27" s="196">
        <v>113449.2112408</v>
      </c>
    </row>
    <row r="28" spans="1:17" x14ac:dyDescent="0.25">
      <c r="A28" s="194" t="s">
        <v>286</v>
      </c>
      <c r="B28" s="196">
        <v>81683.226519999982</v>
      </c>
    </row>
    <row r="29" spans="1:17" x14ac:dyDescent="0.25">
      <c r="A29" s="194" t="s">
        <v>287</v>
      </c>
      <c r="B29" s="196">
        <v>87811.236090000006</v>
      </c>
    </row>
    <row r="30" spans="1:17" x14ac:dyDescent="0.25">
      <c r="A30" s="194" t="s">
        <v>288</v>
      </c>
      <c r="B30" s="196">
        <v>84914.798220000011</v>
      </c>
    </row>
    <row r="31" spans="1:17" x14ac:dyDescent="0.25">
      <c r="A31" s="194" t="s">
        <v>289</v>
      </c>
      <c r="B31" s="196">
        <v>95963.739750000008</v>
      </c>
    </row>
    <row r="32" spans="1:17" x14ac:dyDescent="0.25">
      <c r="A32" s="194" t="s">
        <v>290</v>
      </c>
      <c r="B32" s="196">
        <v>54155.462679999997</v>
      </c>
    </row>
    <row r="33" spans="1:17" x14ac:dyDescent="0.25">
      <c r="A33" s="194" t="s">
        <v>291</v>
      </c>
      <c r="B33" s="196">
        <v>0</v>
      </c>
    </row>
    <row r="34" spans="1:17" x14ac:dyDescent="0.25">
      <c r="A34" s="194" t="s">
        <v>292</v>
      </c>
      <c r="B34" s="196">
        <v>0</v>
      </c>
    </row>
    <row r="35" spans="1:17" x14ac:dyDescent="0.25">
      <c r="A35" s="194" t="s">
        <v>293</v>
      </c>
      <c r="B35" s="196">
        <v>0</v>
      </c>
    </row>
    <row r="36" spans="1:17" x14ac:dyDescent="0.25">
      <c r="A36" s="194" t="s">
        <v>294</v>
      </c>
      <c r="B36" s="196">
        <v>0</v>
      </c>
    </row>
    <row r="37" spans="1:17" x14ac:dyDescent="0.25">
      <c r="A37" s="194" t="s">
        <v>114</v>
      </c>
      <c r="B37" s="196">
        <v>743615.73734080011</v>
      </c>
    </row>
    <row r="42" spans="1:17" x14ac:dyDescent="0.25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</row>
    <row r="43" spans="1:17" ht="15.75" thickBot="1" x14ac:dyDescent="0.3">
      <c r="A43" s="260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</row>
    <row r="44" spans="1:17" x14ac:dyDescent="0.25">
      <c r="B44"/>
    </row>
    <row r="45" spans="1:17" x14ac:dyDescent="0.25">
      <c r="A45" s="193" t="s">
        <v>113</v>
      </c>
      <c r="B45" t="s">
        <v>142</v>
      </c>
    </row>
    <row r="46" spans="1:17" x14ac:dyDescent="0.25">
      <c r="A46" s="194" t="s">
        <v>283</v>
      </c>
      <c r="B46" s="249">
        <v>6.0826432004963266E-2</v>
      </c>
    </row>
    <row r="47" spans="1:17" x14ac:dyDescent="0.25">
      <c r="A47" s="194" t="s">
        <v>284</v>
      </c>
      <c r="B47" s="249">
        <v>6.0075557179402474E-2</v>
      </c>
    </row>
    <row r="48" spans="1:17" x14ac:dyDescent="0.25">
      <c r="A48" s="194" t="s">
        <v>285</v>
      </c>
      <c r="B48" s="249">
        <v>5.9502409959873506E-2</v>
      </c>
    </row>
    <row r="49" spans="1:17" x14ac:dyDescent="0.25">
      <c r="A49" s="194" t="s">
        <v>286</v>
      </c>
      <c r="B49" s="249">
        <v>5.8871634176435143E-2</v>
      </c>
    </row>
    <row r="50" spans="1:17" x14ac:dyDescent="0.25">
      <c r="A50" s="194" t="s">
        <v>287</v>
      </c>
      <c r="B50" s="249">
        <v>6.0631783984237339E-2</v>
      </c>
    </row>
    <row r="51" spans="1:17" x14ac:dyDescent="0.25">
      <c r="A51" s="194" t="s">
        <v>288</v>
      </c>
      <c r="B51" s="249">
        <v>6.7326628415465301E-2</v>
      </c>
    </row>
    <row r="52" spans="1:17" x14ac:dyDescent="0.25">
      <c r="A52" s="194" t="s">
        <v>289</v>
      </c>
      <c r="B52" s="249">
        <v>7.2601056050021401E-2</v>
      </c>
    </row>
    <row r="53" spans="1:17" x14ac:dyDescent="0.25">
      <c r="A53" s="194" t="s">
        <v>290</v>
      </c>
      <c r="B53" s="249" t="e">
        <v>#DIV/0!</v>
      </c>
    </row>
    <row r="54" spans="1:17" x14ac:dyDescent="0.25">
      <c r="A54" s="194" t="s">
        <v>291</v>
      </c>
      <c r="B54" s="249" t="e">
        <v>#DIV/0!</v>
      </c>
    </row>
    <row r="55" spans="1:17" x14ac:dyDescent="0.25">
      <c r="A55" s="194" t="s">
        <v>292</v>
      </c>
      <c r="B55" s="249" t="e">
        <v>#DIV/0!</v>
      </c>
    </row>
    <row r="56" spans="1:17" x14ac:dyDescent="0.25">
      <c r="A56" s="194" t="s">
        <v>293</v>
      </c>
      <c r="B56" s="249" t="e">
        <v>#DIV/0!</v>
      </c>
    </row>
    <row r="57" spans="1:17" x14ac:dyDescent="0.25">
      <c r="A57" s="194" t="s">
        <v>294</v>
      </c>
      <c r="B57" s="249" t="e">
        <v>#DIV/0!</v>
      </c>
    </row>
    <row r="58" spans="1:17" x14ac:dyDescent="0.25">
      <c r="A58" s="194" t="s">
        <v>114</v>
      </c>
      <c r="B58" s="249" t="e">
        <v>#DIV/0!</v>
      </c>
    </row>
    <row r="60" spans="1:17" x14ac:dyDescent="0.25">
      <c r="A60" s="259"/>
      <c r="B60" s="221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</row>
    <row r="61" spans="1:17" x14ac:dyDescent="0.25">
      <c r="A61" s="259"/>
      <c r="B61" s="221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</row>
    <row r="62" spans="1:17" x14ac:dyDescent="0.25">
      <c r="A62" s="259"/>
      <c r="B62" s="221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</row>
    <row r="63" spans="1:17" x14ac:dyDescent="0.25">
      <c r="A63" s="259"/>
      <c r="B63" s="221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</row>
    <row r="64" spans="1:17" ht="15.75" thickBot="1" x14ac:dyDescent="0.3">
      <c r="A64" s="260"/>
      <c r="B64" s="261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</sheetData>
  <pageMargins left="0.7" right="0.7" top="0.75" bottom="0.75" header="0.3" footer="0.3"/>
  <pageSetup paperSize="9" orientation="landscape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R85"/>
  <sheetViews>
    <sheetView showGridLines="0" topLeftCell="A46" workbookViewId="0">
      <selection activeCell="D62" sqref="D62"/>
    </sheetView>
  </sheetViews>
  <sheetFormatPr defaultRowHeight="15" x14ac:dyDescent="0.25"/>
  <cols>
    <col min="1" max="1" width="24.7109375" customWidth="1"/>
    <col min="2" max="2" width="17.85546875" customWidth="1"/>
    <col min="3" max="3" width="7.7109375" customWidth="1"/>
    <col min="4" max="5" width="12.5703125" customWidth="1"/>
    <col min="6" max="6" width="3.85546875" customWidth="1"/>
    <col min="7" max="7" width="19" bestFit="1" customWidth="1"/>
    <col min="8" max="12" width="7" customWidth="1"/>
    <col min="13" max="13" width="8.42578125" customWidth="1"/>
    <col min="14" max="14" width="12.5703125" bestFit="1" customWidth="1"/>
    <col min="15" max="15" width="14" customWidth="1"/>
  </cols>
  <sheetData>
    <row r="1" spans="1:15" ht="15.75" thickBot="1" x14ac:dyDescent="0.3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4" spans="1:15" x14ac:dyDescent="0.25">
      <c r="A4" s="193" t="s">
        <v>138</v>
      </c>
      <c r="B4" s="193" t="s">
        <v>139</v>
      </c>
    </row>
    <row r="5" spans="1:15" x14ac:dyDescent="0.25">
      <c r="A5" s="193" t="s">
        <v>113</v>
      </c>
      <c r="B5" t="s">
        <v>131</v>
      </c>
      <c r="C5" t="s">
        <v>132</v>
      </c>
      <c r="D5" t="s">
        <v>114</v>
      </c>
    </row>
    <row r="6" spans="1:15" x14ac:dyDescent="0.25">
      <c r="A6" s="194" t="s">
        <v>283</v>
      </c>
      <c r="B6" s="196">
        <v>890828</v>
      </c>
      <c r="C6" s="196">
        <v>1009979.5337175227</v>
      </c>
      <c r="D6" s="196">
        <v>1900807.5337175229</v>
      </c>
    </row>
    <row r="7" spans="1:15" x14ac:dyDescent="0.25">
      <c r="A7" s="194" t="s">
        <v>284</v>
      </c>
      <c r="B7" s="196">
        <v>800216</v>
      </c>
      <c r="C7" s="196">
        <v>1216197.437942896</v>
      </c>
      <c r="D7" s="196">
        <v>2016413.437942896</v>
      </c>
    </row>
    <row r="8" spans="1:15" x14ac:dyDescent="0.25">
      <c r="A8" s="194" t="s">
        <v>285</v>
      </c>
      <c r="B8" s="196">
        <v>919226</v>
      </c>
      <c r="C8" s="196">
        <v>1001466.7783305716</v>
      </c>
      <c r="D8" s="196">
        <v>1920692.7783305715</v>
      </c>
    </row>
    <row r="9" spans="1:15" x14ac:dyDescent="0.25">
      <c r="A9" s="194" t="s">
        <v>286</v>
      </c>
      <c r="B9" s="196">
        <v>812828</v>
      </c>
      <c r="C9" s="196">
        <v>421943.70849509723</v>
      </c>
      <c r="D9" s="196">
        <v>1234771.7084950972</v>
      </c>
    </row>
    <row r="10" spans="1:15" x14ac:dyDescent="0.25">
      <c r="A10" s="194" t="s">
        <v>287</v>
      </c>
      <c r="B10" s="196">
        <v>901347</v>
      </c>
      <c r="C10" s="196">
        <v>380584.45238954062</v>
      </c>
      <c r="D10" s="196">
        <v>1281931.4523895406</v>
      </c>
    </row>
    <row r="11" spans="1:15" x14ac:dyDescent="0.25">
      <c r="A11" s="194" t="s">
        <v>288</v>
      </c>
      <c r="B11" s="196">
        <v>863274</v>
      </c>
      <c r="C11" s="196">
        <v>281886.04927741125</v>
      </c>
      <c r="D11" s="196">
        <v>1145160.0492774113</v>
      </c>
    </row>
    <row r="12" spans="1:15" x14ac:dyDescent="0.25">
      <c r="A12" s="194" t="s">
        <v>289</v>
      </c>
      <c r="B12" s="196">
        <v>882987</v>
      </c>
      <c r="C12" s="196">
        <v>286397.46114000783</v>
      </c>
      <c r="D12" s="196">
        <v>1169384.4611400077</v>
      </c>
    </row>
    <row r="13" spans="1:15" x14ac:dyDescent="0.25">
      <c r="A13" s="194" t="s">
        <v>290</v>
      </c>
      <c r="B13" s="196">
        <v>531212</v>
      </c>
      <c r="C13" s="196">
        <v>0</v>
      </c>
      <c r="D13" s="196">
        <v>531212</v>
      </c>
    </row>
    <row r="14" spans="1:15" x14ac:dyDescent="0.25">
      <c r="A14" s="194" t="s">
        <v>291</v>
      </c>
      <c r="B14" s="196">
        <v>0</v>
      </c>
      <c r="C14" s="196">
        <v>0</v>
      </c>
      <c r="D14" s="196">
        <v>0</v>
      </c>
    </row>
    <row r="15" spans="1:15" x14ac:dyDescent="0.25">
      <c r="A15" s="194" t="s">
        <v>292</v>
      </c>
      <c r="B15" s="196">
        <v>0</v>
      </c>
      <c r="C15" s="196">
        <v>0</v>
      </c>
      <c r="D15" s="196">
        <v>0</v>
      </c>
    </row>
    <row r="16" spans="1:15" x14ac:dyDescent="0.25">
      <c r="A16" s="194" t="s">
        <v>293</v>
      </c>
      <c r="B16" s="196">
        <v>0</v>
      </c>
      <c r="C16" s="196">
        <v>0</v>
      </c>
      <c r="D16" s="196">
        <v>0</v>
      </c>
    </row>
    <row r="17" spans="1:17" x14ac:dyDescent="0.25">
      <c r="A17" s="194" t="s">
        <v>294</v>
      </c>
      <c r="B17" s="196">
        <v>0</v>
      </c>
      <c r="C17" s="196">
        <v>0</v>
      </c>
      <c r="D17" s="196">
        <v>0</v>
      </c>
    </row>
    <row r="18" spans="1:17" x14ac:dyDescent="0.25">
      <c r="A18" s="194" t="s">
        <v>114</v>
      </c>
      <c r="B18" s="196">
        <v>6601918</v>
      </c>
      <c r="C18" s="196">
        <v>4598455.4212930473</v>
      </c>
      <c r="D18" s="196">
        <v>11200373.421293046</v>
      </c>
    </row>
    <row r="23" spans="1:17" ht="15.75" thickBot="1" x14ac:dyDescent="0.3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59"/>
      <c r="Q23" s="259"/>
    </row>
    <row r="24" spans="1:17" x14ac:dyDescent="0.25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</row>
    <row r="26" spans="1:17" x14ac:dyDescent="0.25">
      <c r="A26" s="193" t="s">
        <v>140</v>
      </c>
      <c r="B26" s="193" t="s">
        <v>139</v>
      </c>
    </row>
    <row r="27" spans="1:17" x14ac:dyDescent="0.25">
      <c r="A27" s="193" t="s">
        <v>113</v>
      </c>
      <c r="B27" t="s">
        <v>131</v>
      </c>
      <c r="C27" t="s">
        <v>132</v>
      </c>
      <c r="D27" t="s">
        <v>133</v>
      </c>
      <c r="E27" t="s">
        <v>114</v>
      </c>
    </row>
    <row r="28" spans="1:17" x14ac:dyDescent="0.25">
      <c r="A28" s="194" t="s">
        <v>283</v>
      </c>
      <c r="B28" s="196">
        <v>73516.605479999998</v>
      </c>
      <c r="C28" s="196">
        <v>39517.18</v>
      </c>
      <c r="D28" s="196">
        <v>913.17399999999998</v>
      </c>
      <c r="E28" s="196">
        <v>113946.95947999999</v>
      </c>
    </row>
    <row r="29" spans="1:17" x14ac:dyDescent="0.25">
      <c r="A29" s="194" t="s">
        <v>284</v>
      </c>
      <c r="B29" s="196">
        <v>67867.485360000006</v>
      </c>
      <c r="C29" s="196">
        <v>42980</v>
      </c>
      <c r="D29" s="196">
        <v>843.61800000000005</v>
      </c>
      <c r="E29" s="196">
        <v>111691.10336000001</v>
      </c>
    </row>
    <row r="30" spans="1:17" x14ac:dyDescent="0.25">
      <c r="A30" s="194" t="s">
        <v>285</v>
      </c>
      <c r="B30" s="196">
        <v>75603.466539999994</v>
      </c>
      <c r="C30" s="196">
        <v>36811.86</v>
      </c>
      <c r="D30" s="196">
        <v>1033.8847008</v>
      </c>
      <c r="E30" s="196">
        <v>113449.2112408</v>
      </c>
    </row>
    <row r="31" spans="1:17" x14ac:dyDescent="0.25">
      <c r="A31" s="194" t="s">
        <v>286</v>
      </c>
      <c r="B31" s="196">
        <v>64500.344519999991</v>
      </c>
      <c r="C31" s="196">
        <v>16198.529999999999</v>
      </c>
      <c r="D31" s="196">
        <v>984.35200000000009</v>
      </c>
      <c r="E31" s="196">
        <v>81683.226519999982</v>
      </c>
    </row>
    <row r="32" spans="1:17" x14ac:dyDescent="0.25">
      <c r="A32" s="194" t="s">
        <v>287</v>
      </c>
      <c r="B32" s="196">
        <v>70503.15569</v>
      </c>
      <c r="C32" s="196">
        <v>16381.800000000001</v>
      </c>
      <c r="D32" s="196">
        <v>926.2804000000001</v>
      </c>
      <c r="E32" s="196">
        <v>87811.236090000006</v>
      </c>
    </row>
    <row r="33" spans="1:15" x14ac:dyDescent="0.25">
      <c r="A33" s="194" t="s">
        <v>288</v>
      </c>
      <c r="B33" s="196">
        <v>68557.039420000001</v>
      </c>
      <c r="C33" s="196">
        <v>15570.85</v>
      </c>
      <c r="D33" s="196">
        <v>786.90879999999993</v>
      </c>
      <c r="E33" s="196">
        <v>84914.798220000011</v>
      </c>
    </row>
    <row r="34" spans="1:15" x14ac:dyDescent="0.25">
      <c r="A34" s="194" t="s">
        <v>289</v>
      </c>
      <c r="B34" s="196">
        <v>79084.661749999999</v>
      </c>
      <c r="C34" s="196">
        <v>15934.350000000002</v>
      </c>
      <c r="D34" s="196">
        <v>944.72799999999995</v>
      </c>
      <c r="E34" s="196">
        <v>95963.739750000008</v>
      </c>
    </row>
    <row r="35" spans="1:15" x14ac:dyDescent="0.25">
      <c r="A35" s="194" t="s">
        <v>290</v>
      </c>
      <c r="B35" s="196">
        <v>53229.184679999998</v>
      </c>
      <c r="C35" s="196">
        <v>0</v>
      </c>
      <c r="D35" s="196">
        <v>926.27800000000002</v>
      </c>
      <c r="E35" s="196">
        <v>54155.462679999997</v>
      </c>
    </row>
    <row r="36" spans="1:15" x14ac:dyDescent="0.25">
      <c r="A36" s="194" t="s">
        <v>291</v>
      </c>
      <c r="B36" s="196">
        <v>0</v>
      </c>
      <c r="C36" s="196">
        <v>0</v>
      </c>
      <c r="D36" s="196">
        <v>0</v>
      </c>
      <c r="E36" s="196">
        <v>0</v>
      </c>
    </row>
    <row r="37" spans="1:15" x14ac:dyDescent="0.25">
      <c r="A37" s="194" t="s">
        <v>292</v>
      </c>
      <c r="B37" s="196">
        <v>0</v>
      </c>
      <c r="C37" s="196">
        <v>0</v>
      </c>
      <c r="D37" s="196">
        <v>0</v>
      </c>
      <c r="E37" s="196">
        <v>0</v>
      </c>
    </row>
    <row r="38" spans="1:15" x14ac:dyDescent="0.25">
      <c r="A38" s="194" t="s">
        <v>293</v>
      </c>
      <c r="B38" s="196">
        <v>0</v>
      </c>
      <c r="C38" s="196">
        <v>0</v>
      </c>
      <c r="D38" s="196">
        <v>0</v>
      </c>
      <c r="E38" s="196">
        <v>0</v>
      </c>
    </row>
    <row r="39" spans="1:15" x14ac:dyDescent="0.25">
      <c r="A39" s="194" t="s">
        <v>294</v>
      </c>
      <c r="B39" s="196">
        <v>0</v>
      </c>
      <c r="C39" s="196">
        <v>0</v>
      </c>
      <c r="D39" s="196">
        <v>0</v>
      </c>
      <c r="E39" s="196">
        <v>0</v>
      </c>
    </row>
    <row r="40" spans="1:15" x14ac:dyDescent="0.25">
      <c r="A40" s="194" t="s">
        <v>114</v>
      </c>
      <c r="B40" s="196">
        <v>552861.94343999994</v>
      </c>
      <c r="C40" s="196">
        <v>183394.57</v>
      </c>
      <c r="D40" s="196">
        <v>7359.2239007999997</v>
      </c>
      <c r="E40" s="196">
        <v>743615.73734080011</v>
      </c>
    </row>
    <row r="45" spans="1:15" ht="15.75" thickBot="1" x14ac:dyDescent="0.3">
      <c r="A45" s="260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</row>
    <row r="48" spans="1:15" x14ac:dyDescent="0.25">
      <c r="A48" s="193" t="s">
        <v>142</v>
      </c>
      <c r="B48" s="193" t="s">
        <v>139</v>
      </c>
    </row>
    <row r="49" spans="1:18" x14ac:dyDescent="0.25">
      <c r="A49" s="193" t="s">
        <v>113</v>
      </c>
      <c r="B49" t="s">
        <v>131</v>
      </c>
      <c r="C49" t="s">
        <v>132</v>
      </c>
      <c r="D49" t="s">
        <v>114</v>
      </c>
    </row>
    <row r="50" spans="1:18" x14ac:dyDescent="0.25">
      <c r="A50" s="194" t="s">
        <v>283</v>
      </c>
      <c r="B50" s="195">
        <v>8.252615036797227E-2</v>
      </c>
      <c r="C50" s="195">
        <v>3.9126713641954261E-2</v>
      </c>
      <c r="D50" s="195">
        <v>6.0826432004963266E-2</v>
      </c>
    </row>
    <row r="51" spans="1:18" x14ac:dyDescent="0.25">
      <c r="A51" s="194" t="s">
        <v>284</v>
      </c>
      <c r="B51" s="195">
        <v>8.4811457606446261E-2</v>
      </c>
      <c r="C51" s="195">
        <v>3.5339656752358686E-2</v>
      </c>
      <c r="D51" s="195">
        <v>6.0075557179402474E-2</v>
      </c>
    </row>
    <row r="52" spans="1:18" x14ac:dyDescent="0.25">
      <c r="A52" s="194" t="s">
        <v>285</v>
      </c>
      <c r="B52" s="195">
        <v>8.2246875675840325E-2</v>
      </c>
      <c r="C52" s="195">
        <v>3.675794424390668E-2</v>
      </c>
      <c r="D52" s="195">
        <v>5.9502409959873506E-2</v>
      </c>
    </row>
    <row r="53" spans="1:18" x14ac:dyDescent="0.25">
      <c r="A53" s="194" t="s">
        <v>286</v>
      </c>
      <c r="B53" s="195">
        <v>7.9353005211434638E-2</v>
      </c>
      <c r="C53" s="195">
        <v>3.8390263141435649E-2</v>
      </c>
      <c r="D53" s="195">
        <v>5.8871634176435143E-2</v>
      </c>
    </row>
    <row r="54" spans="1:18" x14ac:dyDescent="0.25">
      <c r="A54" s="194" t="s">
        <v>287</v>
      </c>
      <c r="B54" s="195">
        <v>7.8219770732026628E-2</v>
      </c>
      <c r="C54" s="195">
        <v>4.3043797236448043E-2</v>
      </c>
      <c r="D54" s="195">
        <v>6.0631783984237339E-2</v>
      </c>
    </row>
    <row r="55" spans="1:18" x14ac:dyDescent="0.25">
      <c r="A55" s="194" t="s">
        <v>288</v>
      </c>
      <c r="B55" s="195">
        <v>7.9415156045473403E-2</v>
      </c>
      <c r="C55" s="195">
        <v>5.5238100785457211E-2</v>
      </c>
      <c r="D55" s="195">
        <v>6.7326628415465301E-2</v>
      </c>
    </row>
    <row r="56" spans="1:18" x14ac:dyDescent="0.25">
      <c r="A56" s="194" t="s">
        <v>289</v>
      </c>
      <c r="B56" s="195">
        <v>8.9564921963743521E-2</v>
      </c>
      <c r="C56" s="195">
        <v>5.5637190136299287E-2</v>
      </c>
      <c r="D56" s="195">
        <v>7.2601056050021401E-2</v>
      </c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</row>
    <row r="57" spans="1:18" x14ac:dyDescent="0.25">
      <c r="A57" s="194" t="s">
        <v>290</v>
      </c>
      <c r="B57" s="195">
        <v>0.10020327982048598</v>
      </c>
      <c r="C57" s="195" t="e">
        <v>#DIV/0!</v>
      </c>
      <c r="D57" s="195" t="e">
        <v>#DIV/0!</v>
      </c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</row>
    <row r="58" spans="1:18" x14ac:dyDescent="0.25">
      <c r="A58" s="194" t="s">
        <v>291</v>
      </c>
      <c r="B58" s="195" t="e">
        <v>#DIV/0!</v>
      </c>
      <c r="C58" s="195" t="e">
        <v>#DIV/0!</v>
      </c>
      <c r="D58" s="195" t="e">
        <v>#DIV/0!</v>
      </c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</row>
    <row r="59" spans="1:18" x14ac:dyDescent="0.25">
      <c r="A59" s="194" t="s">
        <v>292</v>
      </c>
      <c r="B59" s="195" t="e">
        <v>#DIV/0!</v>
      </c>
      <c r="C59" s="195" t="e">
        <v>#DIV/0!</v>
      </c>
      <c r="D59" s="195" t="e">
        <v>#DIV/0!</v>
      </c>
    </row>
    <row r="60" spans="1:18" x14ac:dyDescent="0.25">
      <c r="A60" s="194" t="s">
        <v>293</v>
      </c>
      <c r="B60" s="195" t="e">
        <v>#DIV/0!</v>
      </c>
      <c r="C60" s="195" t="e">
        <v>#DIV/0!</v>
      </c>
      <c r="D60" s="195" t="e">
        <v>#DIV/0!</v>
      </c>
    </row>
    <row r="61" spans="1:18" x14ac:dyDescent="0.25">
      <c r="A61" s="194" t="s">
        <v>294</v>
      </c>
      <c r="B61" s="195" t="e">
        <v>#DIV/0!</v>
      </c>
      <c r="C61" s="195" t="e">
        <v>#DIV/0!</v>
      </c>
      <c r="D61" s="195" t="e">
        <v>#DIV/0!</v>
      </c>
    </row>
    <row r="62" spans="1:18" x14ac:dyDescent="0.25">
      <c r="A62" s="194" t="s">
        <v>114</v>
      </c>
      <c r="B62" s="195" t="e">
        <v>#DIV/0!</v>
      </c>
      <c r="C62" s="195" t="e">
        <v>#DIV/0!</v>
      </c>
      <c r="D62" s="195" t="e">
        <v>#DIV/0!</v>
      </c>
    </row>
    <row r="67" spans="1:15" ht="15.75" thickBot="1" x14ac:dyDescent="0.3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</row>
    <row r="82" spans="1:17" x14ac:dyDescent="0.25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</row>
    <row r="83" spans="1:17" x14ac:dyDescent="0.25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</row>
    <row r="84" spans="1:17" x14ac:dyDescent="0.25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</row>
    <row r="85" spans="1:17" x14ac:dyDescent="0.25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</row>
  </sheetData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B16"/>
  <sheetViews>
    <sheetView zoomScaleNormal="100" workbookViewId="0">
      <selection activeCell="A9" sqref="A9"/>
    </sheetView>
  </sheetViews>
  <sheetFormatPr defaultRowHeight="15" x14ac:dyDescent="0.25"/>
  <cols>
    <col min="1" max="1" width="15" bestFit="1" customWidth="1"/>
    <col min="2" max="2" width="24" bestFit="1" customWidth="1"/>
    <col min="3" max="3" width="9.140625" customWidth="1"/>
    <col min="4" max="5" width="30.5703125" customWidth="1"/>
    <col min="6" max="9" width="23.28515625" customWidth="1"/>
    <col min="10" max="10" width="23.28515625" bestFit="1" customWidth="1"/>
  </cols>
  <sheetData>
    <row r="3" spans="1:2" x14ac:dyDescent="0.25">
      <c r="A3" s="193" t="s">
        <v>113</v>
      </c>
      <c r="B3" s="196" t="s">
        <v>115</v>
      </c>
    </row>
    <row r="4" spans="1:2" x14ac:dyDescent="0.25">
      <c r="A4" s="194" t="s">
        <v>283</v>
      </c>
      <c r="B4" s="196">
        <v>890828</v>
      </c>
    </row>
    <row r="5" spans="1:2" x14ac:dyDescent="0.25">
      <c r="A5" s="194" t="s">
        <v>284</v>
      </c>
      <c r="B5" s="196">
        <v>800216</v>
      </c>
    </row>
    <row r="6" spans="1:2" x14ac:dyDescent="0.25">
      <c r="A6" s="194" t="s">
        <v>285</v>
      </c>
      <c r="B6" s="196">
        <v>919226</v>
      </c>
    </row>
    <row r="7" spans="1:2" x14ac:dyDescent="0.25">
      <c r="A7" s="194" t="s">
        <v>286</v>
      </c>
      <c r="B7" s="196">
        <v>812828</v>
      </c>
    </row>
    <row r="8" spans="1:2" x14ac:dyDescent="0.25">
      <c r="A8" s="194" t="s">
        <v>287</v>
      </c>
      <c r="B8" s="196">
        <v>901347</v>
      </c>
    </row>
    <row r="9" spans="1:2" x14ac:dyDescent="0.25">
      <c r="A9" s="194" t="s">
        <v>288</v>
      </c>
      <c r="B9" s="196">
        <v>863274</v>
      </c>
    </row>
    <row r="10" spans="1:2" x14ac:dyDescent="0.25">
      <c r="A10" s="194" t="s">
        <v>289</v>
      </c>
      <c r="B10" s="196">
        <v>882987</v>
      </c>
    </row>
    <row r="11" spans="1:2" x14ac:dyDescent="0.25">
      <c r="A11" s="194" t="s">
        <v>290</v>
      </c>
      <c r="B11" s="196">
        <v>531212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6601918</v>
      </c>
    </row>
  </sheetData>
  <pageMargins left="0.7" right="0.7" top="0.75" bottom="0.75" header="0.3" footer="0.3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E16"/>
  <sheetViews>
    <sheetView workbookViewId="0">
      <selection activeCell="E26" sqref="E26"/>
    </sheetView>
  </sheetViews>
  <sheetFormatPr defaultRowHeight="15" x14ac:dyDescent="0.25"/>
  <cols>
    <col min="1" max="1" width="15" bestFit="1" customWidth="1"/>
    <col min="2" max="2" width="22.28515625" bestFit="1" customWidth="1"/>
    <col min="3" max="3" width="45.42578125" bestFit="1" customWidth="1"/>
    <col min="4" max="4" width="19.140625" bestFit="1" customWidth="1"/>
    <col min="5" max="5" width="23.5703125" bestFit="1" customWidth="1"/>
  </cols>
  <sheetData>
    <row r="3" spans="1:5" x14ac:dyDescent="0.25">
      <c r="A3" s="193" t="s">
        <v>113</v>
      </c>
      <c r="B3" t="s">
        <v>119</v>
      </c>
      <c r="C3" t="s">
        <v>116</v>
      </c>
      <c r="D3" t="s">
        <v>117</v>
      </c>
      <c r="E3" s="198" t="s">
        <v>122</v>
      </c>
    </row>
    <row r="4" spans="1:5" x14ac:dyDescent="0.25">
      <c r="A4" s="197" t="s">
        <v>283</v>
      </c>
      <c r="B4" s="196">
        <v>58615.455479999997</v>
      </c>
      <c r="C4" s="196">
        <v>11985.42</v>
      </c>
      <c r="D4" s="196">
        <v>14901.15</v>
      </c>
      <c r="E4" s="196">
        <f>SUM(B4:D4)</f>
        <v>85502.025479999997</v>
      </c>
    </row>
    <row r="5" spans="1:5" x14ac:dyDescent="0.25">
      <c r="A5" s="197" t="s">
        <v>284</v>
      </c>
      <c r="B5" s="196">
        <v>53557.45536</v>
      </c>
      <c r="C5" s="196">
        <v>11834.25</v>
      </c>
      <c r="D5" s="196">
        <v>14310.03</v>
      </c>
      <c r="E5" s="196">
        <f t="shared" ref="E5:E15" si="0">SUM(B5:D5)</f>
        <v>79701.735360000006</v>
      </c>
    </row>
    <row r="6" spans="1:5" x14ac:dyDescent="0.25">
      <c r="A6" s="197" t="s">
        <v>285</v>
      </c>
      <c r="B6" s="196">
        <v>60403.216539999994</v>
      </c>
      <c r="C6" s="196">
        <v>12151.84</v>
      </c>
      <c r="D6" s="196">
        <v>15200.25</v>
      </c>
      <c r="E6" s="196">
        <f t="shared" si="0"/>
        <v>87755.30653999999</v>
      </c>
    </row>
    <row r="7" spans="1:5" x14ac:dyDescent="0.25">
      <c r="A7" s="197" t="s">
        <v>286</v>
      </c>
      <c r="B7" s="196">
        <v>54056.854519999993</v>
      </c>
      <c r="C7" s="196">
        <v>11863.91</v>
      </c>
      <c r="D7" s="196">
        <v>10443.49</v>
      </c>
      <c r="E7" s="196">
        <f t="shared" si="0"/>
        <v>76364.254520000002</v>
      </c>
    </row>
    <row r="8" spans="1:5" x14ac:dyDescent="0.25">
      <c r="A8" s="197" t="s">
        <v>287</v>
      </c>
      <c r="B8" s="196">
        <v>59419.715690000005</v>
      </c>
      <c r="C8" s="196">
        <v>12359.96</v>
      </c>
      <c r="D8" s="196">
        <v>11083.44</v>
      </c>
      <c r="E8" s="196">
        <f t="shared" si="0"/>
        <v>82863.115690000006</v>
      </c>
    </row>
    <row r="9" spans="1:5" x14ac:dyDescent="0.25">
      <c r="A9" s="197" t="s">
        <v>288</v>
      </c>
      <c r="B9" s="196">
        <v>57526.309420000005</v>
      </c>
      <c r="C9" s="196">
        <v>12475.39</v>
      </c>
      <c r="D9" s="196">
        <v>11030.73</v>
      </c>
      <c r="E9" s="196">
        <f t="shared" si="0"/>
        <v>81032.42942</v>
      </c>
    </row>
    <row r="10" spans="1:5" x14ac:dyDescent="0.25">
      <c r="A10" s="197" t="s">
        <v>289</v>
      </c>
      <c r="B10" s="196">
        <v>68169.371750000006</v>
      </c>
      <c r="C10" s="196">
        <v>12167.78</v>
      </c>
      <c r="D10" s="196">
        <v>10915.29</v>
      </c>
      <c r="E10" s="196">
        <f t="shared" si="0"/>
        <v>91252.441749999998</v>
      </c>
    </row>
    <row r="11" spans="1:5" x14ac:dyDescent="0.25">
      <c r="A11" s="197" t="s">
        <v>290</v>
      </c>
      <c r="B11" s="196">
        <v>42436.824679999998</v>
      </c>
      <c r="C11" s="196">
        <v>8834.74</v>
      </c>
      <c r="D11" s="196">
        <v>10792.36</v>
      </c>
      <c r="E11" s="196">
        <f t="shared" si="0"/>
        <v>62063.924679999996</v>
      </c>
    </row>
    <row r="12" spans="1:5" x14ac:dyDescent="0.25">
      <c r="A12" s="197" t="s">
        <v>291</v>
      </c>
      <c r="B12" s="196">
        <v>0</v>
      </c>
      <c r="C12" s="196">
        <v>0</v>
      </c>
      <c r="D12" s="196">
        <v>0</v>
      </c>
      <c r="E12" s="196">
        <f t="shared" si="0"/>
        <v>0</v>
      </c>
    </row>
    <row r="13" spans="1:5" x14ac:dyDescent="0.25">
      <c r="A13" s="197" t="s">
        <v>292</v>
      </c>
      <c r="B13" s="196">
        <v>0</v>
      </c>
      <c r="C13" s="196">
        <v>0</v>
      </c>
      <c r="D13" s="196">
        <v>0</v>
      </c>
      <c r="E13" s="196">
        <f t="shared" si="0"/>
        <v>0</v>
      </c>
    </row>
    <row r="14" spans="1:5" x14ac:dyDescent="0.25">
      <c r="A14" s="197" t="s">
        <v>293</v>
      </c>
      <c r="B14" s="196">
        <v>0</v>
      </c>
      <c r="C14" s="196">
        <v>0</v>
      </c>
      <c r="D14" s="196">
        <v>0</v>
      </c>
      <c r="E14" s="196">
        <f t="shared" si="0"/>
        <v>0</v>
      </c>
    </row>
    <row r="15" spans="1:5" x14ac:dyDescent="0.25">
      <c r="A15" s="197" t="s">
        <v>294</v>
      </c>
      <c r="B15" s="196">
        <v>0</v>
      </c>
      <c r="C15" s="196">
        <v>0</v>
      </c>
      <c r="D15" s="196">
        <v>0</v>
      </c>
      <c r="E15" s="196">
        <f t="shared" si="0"/>
        <v>0</v>
      </c>
    </row>
    <row r="16" spans="1:5" x14ac:dyDescent="0.25">
      <c r="A16" s="197" t="s">
        <v>114</v>
      </c>
      <c r="B16" s="196">
        <v>454185.20344000001</v>
      </c>
      <c r="C16" s="196">
        <v>93673.29</v>
      </c>
      <c r="D16" s="196">
        <v>98676.74</v>
      </c>
      <c r="E16" s="199">
        <f>SUM(B16:D16)</f>
        <v>646535.23343999998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"/>
  <sheetViews>
    <sheetView zoomScaleNormal="100" workbookViewId="0">
      <selection activeCell="J34" sqref="J34"/>
    </sheetView>
  </sheetViews>
  <sheetFormatPr defaultRowHeight="15" x14ac:dyDescent="0.25"/>
  <cols>
    <col min="1" max="1" width="15" bestFit="1" customWidth="1"/>
    <col min="2" max="2" width="37.5703125" bestFit="1" customWidth="1"/>
    <col min="3" max="3" width="34.5703125" bestFit="1" customWidth="1"/>
  </cols>
  <sheetData>
    <row r="1" spans="1:3" x14ac:dyDescent="0.25">
      <c r="A1" s="193" t="s">
        <v>113</v>
      </c>
      <c r="B1" s="195" t="s">
        <v>120</v>
      </c>
      <c r="C1" s="195" t="s">
        <v>121</v>
      </c>
    </row>
    <row r="2" spans="1:3" x14ac:dyDescent="0.25">
      <c r="A2" s="194" t="s">
        <v>283</v>
      </c>
      <c r="B2" s="195">
        <v>6.5798847229768254E-2</v>
      </c>
      <c r="C2" s="195">
        <v>8.252615036797227E-2</v>
      </c>
    </row>
    <row r="3" spans="1:3" x14ac:dyDescent="0.25">
      <c r="A3" s="194" t="s">
        <v>284</v>
      </c>
      <c r="B3" s="195">
        <v>6.6928748437921765E-2</v>
      </c>
      <c r="C3" s="195">
        <v>8.4811457606446261E-2</v>
      </c>
    </row>
    <row r="4" spans="1:3" x14ac:dyDescent="0.25">
      <c r="A4" s="194" t="s">
        <v>285</v>
      </c>
      <c r="B4" s="195">
        <v>6.5710953062685346E-2</v>
      </c>
      <c r="C4" s="195">
        <v>8.2246875675840325E-2</v>
      </c>
    </row>
    <row r="5" spans="1:3" x14ac:dyDescent="0.25">
      <c r="A5" s="194" t="s">
        <v>286</v>
      </c>
      <c r="B5" s="195">
        <v>6.6504665833362037E-2</v>
      </c>
      <c r="C5" s="195">
        <v>7.9353005211434638E-2</v>
      </c>
    </row>
    <row r="6" spans="1:3" x14ac:dyDescent="0.25">
      <c r="A6" s="194" t="s">
        <v>287</v>
      </c>
      <c r="B6" s="195">
        <v>6.5923241204552743E-2</v>
      </c>
      <c r="C6" s="195">
        <v>7.8219770732026628E-2</v>
      </c>
    </row>
    <row r="7" spans="1:3" x14ac:dyDescent="0.25">
      <c r="A7" s="194" t="s">
        <v>288</v>
      </c>
      <c r="B7" s="195">
        <v>6.6637370545157157E-2</v>
      </c>
      <c r="C7" s="195">
        <v>7.9415156045473403E-2</v>
      </c>
    </row>
    <row r="8" spans="1:3" x14ac:dyDescent="0.25">
      <c r="A8" s="194" t="s">
        <v>289</v>
      </c>
      <c r="B8" s="195">
        <v>7.7203143138007704E-2</v>
      </c>
      <c r="C8" s="195">
        <v>8.9564921963743521E-2</v>
      </c>
    </row>
    <row r="9" spans="1:3" x14ac:dyDescent="0.25">
      <c r="A9" s="194" t="s">
        <v>290</v>
      </c>
      <c r="B9" s="195">
        <v>7.9886796006114313E-2</v>
      </c>
      <c r="C9" s="195">
        <v>0.10020327982048598</v>
      </c>
    </row>
    <row r="10" spans="1:3" x14ac:dyDescent="0.25">
      <c r="A10" s="194" t="s">
        <v>291</v>
      </c>
      <c r="B10" s="195" t="e">
        <v>#DIV/0!</v>
      </c>
      <c r="C10" s="195" t="e">
        <v>#DIV/0!</v>
      </c>
    </row>
    <row r="11" spans="1:3" x14ac:dyDescent="0.25">
      <c r="A11" s="194" t="s">
        <v>292</v>
      </c>
      <c r="B11" s="195" t="e">
        <v>#DIV/0!</v>
      </c>
      <c r="C11" s="195" t="e">
        <v>#DIV/0!</v>
      </c>
    </row>
    <row r="12" spans="1:3" x14ac:dyDescent="0.25">
      <c r="A12" s="194" t="s">
        <v>293</v>
      </c>
      <c r="B12" s="195" t="e">
        <v>#DIV/0!</v>
      </c>
      <c r="C12" s="195" t="e">
        <v>#DIV/0!</v>
      </c>
    </row>
    <row r="13" spans="1:3" x14ac:dyDescent="0.25">
      <c r="A13" s="194" t="s">
        <v>294</v>
      </c>
      <c r="B13" s="195" t="e">
        <v>#DIV/0!</v>
      </c>
      <c r="C13" s="195" t="e">
        <v>#DIV/0!</v>
      </c>
    </row>
    <row r="14" spans="1:3" x14ac:dyDescent="0.25">
      <c r="A14" s="194" t="s">
        <v>114</v>
      </c>
      <c r="B14" s="195" t="e">
        <v>#DIV/0!</v>
      </c>
      <c r="C14" s="195" t="e">
        <v>#DIV/0!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A7" sqref="A7"/>
    </sheetView>
  </sheetViews>
  <sheetFormatPr defaultRowHeight="15" x14ac:dyDescent="0.25"/>
  <cols>
    <col min="1" max="1" width="15" bestFit="1" customWidth="1"/>
    <col min="2" max="2" width="25.140625" style="196" bestFit="1" customWidth="1"/>
  </cols>
  <sheetData>
    <row r="3" spans="1:2" x14ac:dyDescent="0.25">
      <c r="A3" s="193" t="s">
        <v>113</v>
      </c>
      <c r="B3" s="196" t="s">
        <v>151</v>
      </c>
    </row>
    <row r="4" spans="1:2" x14ac:dyDescent="0.25">
      <c r="A4" s="194" t="s">
        <v>283</v>
      </c>
      <c r="B4" s="196">
        <v>106700.4170866402</v>
      </c>
    </row>
    <row r="5" spans="1:2" x14ac:dyDescent="0.25">
      <c r="A5" s="194" t="s">
        <v>284</v>
      </c>
      <c r="B5" s="196">
        <v>128486.5381485094</v>
      </c>
    </row>
    <row r="6" spans="1:2" x14ac:dyDescent="0.25">
      <c r="A6" s="194" t="s">
        <v>285</v>
      </c>
      <c r="B6" s="196">
        <v>105801.07752576721</v>
      </c>
    </row>
    <row r="7" spans="1:2" x14ac:dyDescent="0.25">
      <c r="A7" s="194" t="s">
        <v>286</v>
      </c>
      <c r="B7" s="196">
        <v>44576.714854602702</v>
      </c>
    </row>
    <row r="8" spans="1:2" x14ac:dyDescent="0.25">
      <c r="A8" s="194" t="s">
        <v>287</v>
      </c>
      <c r="B8" s="196">
        <v>40207.270000000004</v>
      </c>
    </row>
    <row r="9" spans="1:2" x14ac:dyDescent="0.25">
      <c r="A9" s="194" t="s">
        <v>288</v>
      </c>
      <c r="B9" s="196">
        <v>29780.166849615802</v>
      </c>
    </row>
    <row r="10" spans="1:2" x14ac:dyDescent="0.25">
      <c r="A10" s="194" t="s">
        <v>289</v>
      </c>
      <c r="B10" s="196">
        <v>30256.78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485808.96446513536</v>
      </c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Navodila</vt:lpstr>
      <vt:lpstr>Mesečni energetski stroški</vt:lpstr>
      <vt:lpstr>Tabela za vrtilno</vt:lpstr>
      <vt:lpstr>G&amp;E&amp;(W)</vt:lpstr>
      <vt:lpstr>G+E+(W)</vt:lpstr>
      <vt:lpstr>Poraba E</vt:lpstr>
      <vt:lpstr>Stroški E</vt:lpstr>
      <vt:lpstr>Cena E na kWh</vt:lpstr>
      <vt:lpstr>Poraba G</vt:lpstr>
      <vt:lpstr>Stroški G</vt:lpstr>
      <vt:lpstr>Cena G na m3</vt:lpstr>
      <vt:lpstr>Poraba W</vt:lpstr>
      <vt:lpstr>Stroški W</vt:lpstr>
      <vt:lpstr>Cena W na m3</vt:lpstr>
      <vt:lpstr>PO LETIH</vt:lpstr>
    </vt:vector>
  </TitlesOfParts>
  <Company>Palfinger Servicebeteiligungs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Beras Slana Marija</dc:creator>
  <cp:lastModifiedBy>Beras Slana Marija</cp:lastModifiedBy>
  <cp:lastPrinted>2016-12-15T08:55:41Z</cp:lastPrinted>
  <dcterms:created xsi:type="dcterms:W3CDTF">2015-10-09T09:51:04Z</dcterms:created>
  <dcterms:modified xsi:type="dcterms:W3CDTF">2018-11-23T09:16:06Z</dcterms:modified>
</cp:coreProperties>
</file>