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حسابات العملاء\"/>
    </mc:Choice>
  </mc:AlternateContent>
  <bookViews>
    <workbookView xWindow="0" yWindow="0" windowWidth="20490" windowHeight="7905" tabRatio="728" activeTab="1"/>
  </bookViews>
  <sheets>
    <sheet name="دليل" sheetId="2" r:id="rId1"/>
    <sheet name="حسابات صالح" sheetId="13" r:id="rId2"/>
    <sheet name="Sheet1" sheetId="17" r:id="rId3"/>
    <sheet name="جرد توزيع الوان" sheetId="16" r:id="rId4"/>
    <sheet name="M001001" sheetId="10" r:id="rId5"/>
    <sheet name="M001002" sheetId="1" r:id="rId6"/>
    <sheet name="M001003" sheetId="7" r:id="rId7"/>
    <sheet name="M001005" sheetId="14" r:id="rId8"/>
    <sheet name="M001006" sheetId="11" r:id="rId9"/>
  </sheets>
  <definedNames>
    <definedName name="_xlnm._FilterDatabase" localSheetId="7" hidden="1">'M001005'!$A$1:$T$1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3" l="1"/>
  <c r="D16" i="13" l="1"/>
  <c r="D25" i="13"/>
  <c r="D21" i="13"/>
  <c r="F64" i="14" l="1"/>
  <c r="T64" i="14" s="1"/>
  <c r="E63" i="14"/>
  <c r="F63" i="14" s="1"/>
  <c r="F62" i="14"/>
  <c r="M62" i="14" s="1"/>
  <c r="Q62" i="14" s="1"/>
  <c r="E62" i="14"/>
  <c r="E61" i="14"/>
  <c r="F61" i="14" s="1"/>
  <c r="E60" i="14"/>
  <c r="F60" i="14" s="1"/>
  <c r="M59" i="14"/>
  <c r="Q59" i="14" s="1"/>
  <c r="I59" i="14"/>
  <c r="F59" i="14"/>
  <c r="K59" i="14" s="1"/>
  <c r="O59" i="14" s="1"/>
  <c r="F58" i="14"/>
  <c r="K58" i="14" s="1"/>
  <c r="O58" i="14" s="1"/>
  <c r="I47" i="14"/>
  <c r="F47" i="14"/>
  <c r="T47" i="14" s="1"/>
  <c r="F46" i="14"/>
  <c r="I46" i="14" s="1"/>
  <c r="E46" i="14"/>
  <c r="E45" i="14"/>
  <c r="F45" i="14" s="1"/>
  <c r="I44" i="14"/>
  <c r="F44" i="14"/>
  <c r="T44" i="14" s="1"/>
  <c r="F43" i="14"/>
  <c r="I43" i="14" s="1"/>
  <c r="E43" i="14"/>
  <c r="I42" i="14"/>
  <c r="F42" i="14"/>
  <c r="K42" i="14" s="1"/>
  <c r="O42" i="14" s="1"/>
  <c r="T41" i="14"/>
  <c r="M41" i="14"/>
  <c r="Q41" i="14" s="1"/>
  <c r="G41" i="14"/>
  <c r="H41" i="14" s="1"/>
  <c r="F41" i="14"/>
  <c r="K41" i="14" s="1"/>
  <c r="O41" i="14" s="1"/>
  <c r="F22" i="14"/>
  <c r="T22" i="14" s="1"/>
  <c r="F21" i="14"/>
  <c r="I21" i="14" s="1"/>
  <c r="E21" i="14"/>
  <c r="T20" i="14"/>
  <c r="M20" i="14"/>
  <c r="Q20" i="14" s="1"/>
  <c r="I20" i="14"/>
  <c r="G20" i="14"/>
  <c r="H20" i="14" s="1"/>
  <c r="F20" i="14"/>
  <c r="K20" i="14" s="1"/>
  <c r="O20" i="14" s="1"/>
  <c r="E19" i="14"/>
  <c r="F19" i="14" s="1"/>
  <c r="F18" i="14"/>
  <c r="I18" i="14" s="1"/>
  <c r="F17" i="14"/>
  <c r="T17" i="14" s="1"/>
  <c r="I64" i="14" l="1"/>
  <c r="T59" i="14"/>
  <c r="G59" i="14"/>
  <c r="H59" i="14" s="1"/>
  <c r="I58" i="14"/>
  <c r="T60" i="14"/>
  <c r="M60" i="14"/>
  <c r="Q60" i="14" s="1"/>
  <c r="G60" i="14"/>
  <c r="H60" i="14" s="1"/>
  <c r="K60" i="14"/>
  <c r="O60" i="14" s="1"/>
  <c r="I60" i="14"/>
  <c r="T63" i="14"/>
  <c r="G63" i="14"/>
  <c r="H63" i="14" s="1"/>
  <c r="K63" i="14"/>
  <c r="O63" i="14" s="1"/>
  <c r="I63" i="14"/>
  <c r="M63" i="14"/>
  <c r="Q63" i="14" s="1"/>
  <c r="K61" i="14"/>
  <c r="O61" i="14" s="1"/>
  <c r="T61" i="14"/>
  <c r="M61" i="14"/>
  <c r="Q61" i="14" s="1"/>
  <c r="G61" i="14"/>
  <c r="H61" i="14" s="1"/>
  <c r="I61" i="14"/>
  <c r="R59" i="14"/>
  <c r="G62" i="14"/>
  <c r="H62" i="14" s="1"/>
  <c r="T62" i="14"/>
  <c r="K64" i="14"/>
  <c r="O64" i="14" s="1"/>
  <c r="G58" i="14"/>
  <c r="H58" i="14" s="1"/>
  <c r="M58" i="14"/>
  <c r="Q58" i="14" s="1"/>
  <c r="R58" i="14" s="1"/>
  <c r="T58" i="14"/>
  <c r="G64" i="14"/>
  <c r="H64" i="14" s="1"/>
  <c r="M64" i="14"/>
  <c r="Q64" i="14" s="1"/>
  <c r="I62" i="14"/>
  <c r="K62" i="14"/>
  <c r="O62" i="14" s="1"/>
  <c r="R62" i="14" s="1"/>
  <c r="R41" i="14"/>
  <c r="I45" i="14"/>
  <c r="T45" i="14"/>
  <c r="M45" i="14"/>
  <c r="Q45" i="14" s="1"/>
  <c r="R45" i="14" s="1"/>
  <c r="G45" i="14"/>
  <c r="H45" i="14" s="1"/>
  <c r="K45" i="14"/>
  <c r="O45" i="14" s="1"/>
  <c r="G46" i="14"/>
  <c r="H46" i="14" s="1"/>
  <c r="M46" i="14"/>
  <c r="Q46" i="14" s="1"/>
  <c r="R46" i="14" s="1"/>
  <c r="T46" i="14"/>
  <c r="I41" i="14"/>
  <c r="G42" i="14"/>
  <c r="H42" i="14" s="1"/>
  <c r="M42" i="14"/>
  <c r="Q42" i="14" s="1"/>
  <c r="R42" i="14" s="1"/>
  <c r="T42" i="14"/>
  <c r="K44" i="14"/>
  <c r="O44" i="14" s="1"/>
  <c r="K47" i="14"/>
  <c r="O47" i="14" s="1"/>
  <c r="K43" i="14"/>
  <c r="O43" i="14" s="1"/>
  <c r="K46" i="14"/>
  <c r="O46" i="14" s="1"/>
  <c r="G43" i="14"/>
  <c r="H43" i="14" s="1"/>
  <c r="M43" i="14"/>
  <c r="Q43" i="14" s="1"/>
  <c r="T43" i="14"/>
  <c r="G44" i="14"/>
  <c r="H44" i="14" s="1"/>
  <c r="M44" i="14"/>
  <c r="Q44" i="14" s="1"/>
  <c r="R44" i="14" s="1"/>
  <c r="G47" i="14"/>
  <c r="H47" i="14" s="1"/>
  <c r="M47" i="14"/>
  <c r="Q47" i="14" s="1"/>
  <c r="R47" i="14" s="1"/>
  <c r="K19" i="14"/>
  <c r="O19" i="14" s="1"/>
  <c r="I19" i="14"/>
  <c r="T19" i="14"/>
  <c r="M19" i="14"/>
  <c r="Q19" i="14" s="1"/>
  <c r="R19" i="14" s="1"/>
  <c r="G19" i="14"/>
  <c r="H19" i="14" s="1"/>
  <c r="R20" i="14"/>
  <c r="K21" i="14"/>
  <c r="O21" i="14" s="1"/>
  <c r="I17" i="14"/>
  <c r="G18" i="14"/>
  <c r="H18" i="14" s="1"/>
  <c r="M18" i="14"/>
  <c r="Q18" i="14" s="1"/>
  <c r="T18" i="14"/>
  <c r="G21" i="14"/>
  <c r="H21" i="14" s="1"/>
  <c r="M21" i="14"/>
  <c r="Q21" i="14" s="1"/>
  <c r="T21" i="14"/>
  <c r="I22" i="14"/>
  <c r="K18" i="14"/>
  <c r="O18" i="14" s="1"/>
  <c r="K17" i="14"/>
  <c r="O17" i="14" s="1"/>
  <c r="K22" i="14"/>
  <c r="O22" i="14" s="1"/>
  <c r="G17" i="14"/>
  <c r="H17" i="14" s="1"/>
  <c r="M17" i="14"/>
  <c r="Q17" i="14" s="1"/>
  <c r="R17" i="14" s="1"/>
  <c r="G22" i="14"/>
  <c r="H22" i="14" s="1"/>
  <c r="M22" i="14"/>
  <c r="Q22" i="14" s="1"/>
  <c r="R22" i="14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9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9" i="1"/>
  <c r="J3" i="1"/>
  <c r="J4" i="1"/>
  <c r="J5" i="1"/>
  <c r="J6" i="1"/>
  <c r="J7" i="1"/>
  <c r="J9" i="1"/>
  <c r="J10" i="1"/>
  <c r="J8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9" i="1"/>
  <c r="H8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9" i="1"/>
  <c r="R63" i="14" l="1"/>
  <c r="R60" i="14"/>
  <c r="R61" i="14"/>
  <c r="R64" i="14"/>
  <c r="R43" i="14"/>
  <c r="R18" i="14"/>
  <c r="R21" i="14"/>
  <c r="M8" i="1"/>
  <c r="C3" i="10"/>
  <c r="D37" i="13"/>
  <c r="D34" i="13"/>
  <c r="R13" i="7" l="1"/>
  <c r="D31" i="13"/>
  <c r="D28" i="13"/>
  <c r="D24" i="13"/>
  <c r="D20" i="13"/>
  <c r="D19" i="13"/>
  <c r="D15" i="13"/>
  <c r="D14" i="13"/>
  <c r="C11" i="13"/>
  <c r="D11" i="13" s="1"/>
  <c r="C8" i="13"/>
  <c r="D8" i="13" s="1"/>
  <c r="D5" i="13"/>
  <c r="D4" i="13"/>
  <c r="C17" i="1"/>
  <c r="D1" i="13" l="1"/>
  <c r="F1" i="13" s="1"/>
  <c r="P7" i="11"/>
  <c r="P9" i="11"/>
  <c r="P10" i="11"/>
  <c r="P11" i="11"/>
  <c r="C20" i="1"/>
  <c r="F20" i="1" s="1"/>
  <c r="C19" i="1"/>
  <c r="F19" i="1" s="1"/>
  <c r="C15" i="1"/>
  <c r="F15" i="1" s="1"/>
  <c r="C18" i="1"/>
  <c r="C27" i="1"/>
  <c r="F27" i="1" s="1"/>
  <c r="C28" i="1"/>
  <c r="F28" i="1" s="1"/>
  <c r="C29" i="1"/>
  <c r="C26" i="1"/>
  <c r="F26" i="1" s="1"/>
  <c r="C25" i="1"/>
  <c r="F25" i="1" s="1"/>
  <c r="C24" i="1"/>
  <c r="F24" i="1" s="1"/>
  <c r="C23" i="1"/>
  <c r="F23" i="1" s="1"/>
  <c r="C22" i="1"/>
  <c r="C14" i="1"/>
  <c r="F14" i="1" s="1"/>
  <c r="C11" i="1"/>
  <c r="F29" i="1"/>
  <c r="F22" i="1"/>
  <c r="C21" i="1"/>
  <c r="F21" i="1" s="1"/>
  <c r="F18" i="1"/>
  <c r="F17" i="1"/>
  <c r="C16" i="1"/>
  <c r="F16" i="1" s="1"/>
  <c r="C13" i="1"/>
  <c r="F13" i="1" s="1"/>
  <c r="C12" i="1"/>
  <c r="F12" i="1" s="1"/>
  <c r="F11" i="1"/>
  <c r="C10" i="1"/>
  <c r="F10" i="1" s="1"/>
  <c r="C9" i="1"/>
  <c r="F9" i="1" s="1"/>
  <c r="C7" i="1"/>
  <c r="F7" i="1" s="1"/>
  <c r="C6" i="1"/>
  <c r="F6" i="1" s="1"/>
  <c r="C5" i="1"/>
  <c r="F5" i="1" s="1"/>
  <c r="C3" i="1"/>
  <c r="C4" i="1"/>
  <c r="F4" i="1" s="1"/>
  <c r="C2" i="1"/>
  <c r="F2" i="1" s="1"/>
  <c r="L18" i="1" l="1"/>
  <c r="L29" i="1"/>
  <c r="L19" i="1"/>
  <c r="L24" i="1"/>
  <c r="L25" i="1"/>
  <c r="L20" i="1"/>
  <c r="L27" i="1"/>
  <c r="L26" i="1"/>
  <c r="L28" i="1"/>
  <c r="L15" i="1"/>
  <c r="L23" i="1"/>
  <c r="L22" i="1"/>
  <c r="L21" i="1"/>
  <c r="L17" i="1"/>
  <c r="L16" i="1"/>
  <c r="L14" i="1"/>
  <c r="L13" i="1"/>
  <c r="L12" i="1"/>
  <c r="L11" i="1"/>
  <c r="L10" i="1"/>
  <c r="L9" i="1"/>
  <c r="L7" i="1"/>
  <c r="H7" i="1"/>
  <c r="L6" i="1"/>
  <c r="H6" i="1"/>
  <c r="L5" i="1"/>
  <c r="H5" i="1"/>
  <c r="F3" i="1"/>
  <c r="L4" i="1"/>
  <c r="H4" i="1"/>
  <c r="L2" i="1"/>
  <c r="H2" i="1"/>
  <c r="P6" i="11"/>
  <c r="P5" i="11"/>
  <c r="P4" i="11"/>
  <c r="P8" i="11"/>
  <c r="P3" i="11"/>
  <c r="C19" i="10"/>
  <c r="L3" i="1" l="1"/>
  <c r="H3" i="1"/>
  <c r="F21" i="10"/>
  <c r="T21" i="10" s="1"/>
  <c r="F20" i="10"/>
  <c r="T20" i="10" s="1"/>
  <c r="F19" i="10"/>
  <c r="G19" i="10" s="1"/>
  <c r="I21" i="10" l="1"/>
  <c r="K21" i="10"/>
  <c r="O21" i="10" s="1"/>
  <c r="G21" i="10"/>
  <c r="H21" i="10" s="1"/>
  <c r="M21" i="10"/>
  <c r="Q21" i="10" s="1"/>
  <c r="K20" i="10"/>
  <c r="O20" i="10" s="1"/>
  <c r="I20" i="10"/>
  <c r="G20" i="10"/>
  <c r="H20" i="10" s="1"/>
  <c r="M20" i="10"/>
  <c r="Q20" i="10" s="1"/>
  <c r="R20" i="10" s="1"/>
  <c r="T19" i="10"/>
  <c r="M19" i="10"/>
  <c r="Q19" i="10" s="1"/>
  <c r="H19" i="10"/>
  <c r="K19" i="10"/>
  <c r="O19" i="10" s="1"/>
  <c r="I19" i="10"/>
  <c r="R21" i="10" l="1"/>
  <c r="R19" i="10"/>
  <c r="I34" i="14" l="1"/>
  <c r="I35" i="14"/>
  <c r="I36" i="14"/>
  <c r="I37" i="14"/>
  <c r="I38" i="14"/>
  <c r="I39" i="14"/>
  <c r="I33" i="14"/>
  <c r="I26" i="14"/>
  <c r="I27" i="14"/>
  <c r="I28" i="14"/>
  <c r="I29" i="14"/>
  <c r="I30" i="14"/>
  <c r="I31" i="14"/>
  <c r="I25" i="14"/>
  <c r="I11" i="14"/>
  <c r="I12" i="14"/>
  <c r="I13" i="14"/>
  <c r="I14" i="14"/>
  <c r="I15" i="14"/>
  <c r="I10" i="14"/>
  <c r="I4" i="14"/>
  <c r="I5" i="14"/>
  <c r="I6" i="14"/>
  <c r="I7" i="14"/>
  <c r="I8" i="14"/>
  <c r="I3" i="14"/>
  <c r="H34" i="14"/>
  <c r="H35" i="14"/>
  <c r="H36" i="14"/>
  <c r="H37" i="14"/>
  <c r="H38" i="14"/>
  <c r="H39" i="14"/>
  <c r="H33" i="14"/>
  <c r="H26" i="14"/>
  <c r="H27" i="14"/>
  <c r="H28" i="14"/>
  <c r="H29" i="14"/>
  <c r="H30" i="14"/>
  <c r="H31" i="14"/>
  <c r="H25" i="14"/>
  <c r="H11" i="14"/>
  <c r="H12" i="14"/>
  <c r="H13" i="14"/>
  <c r="H14" i="14"/>
  <c r="H15" i="14"/>
  <c r="H10" i="14"/>
  <c r="H4" i="14"/>
  <c r="H5" i="14"/>
  <c r="H6" i="14"/>
  <c r="H7" i="14"/>
  <c r="H8" i="14"/>
  <c r="H3" i="14"/>
  <c r="G68" i="14"/>
  <c r="G69" i="14"/>
  <c r="G70" i="14"/>
  <c r="G67" i="14"/>
  <c r="G34" i="14"/>
  <c r="G35" i="14"/>
  <c r="G36" i="14"/>
  <c r="G37" i="14"/>
  <c r="G38" i="14"/>
  <c r="G39" i="14"/>
  <c r="G33" i="14"/>
  <c r="G26" i="14"/>
  <c r="G27" i="14"/>
  <c r="G28" i="14"/>
  <c r="G29" i="14"/>
  <c r="G30" i="14"/>
  <c r="G31" i="14"/>
  <c r="G25" i="14"/>
  <c r="G11" i="14"/>
  <c r="G12" i="14"/>
  <c r="G13" i="14"/>
  <c r="G14" i="14"/>
  <c r="G15" i="14"/>
  <c r="G10" i="14"/>
  <c r="G4" i="14"/>
  <c r="G5" i="14"/>
  <c r="G6" i="14"/>
  <c r="G7" i="14"/>
  <c r="G8" i="14"/>
  <c r="G3" i="14"/>
  <c r="E54" i="14" l="1"/>
  <c r="E53" i="14"/>
  <c r="E52" i="14"/>
  <c r="E55" i="14"/>
  <c r="F39" i="14" l="1"/>
  <c r="T39" i="14" s="1"/>
  <c r="E38" i="14"/>
  <c r="F38" i="14" s="1"/>
  <c r="E37" i="14"/>
  <c r="F37" i="14" s="1"/>
  <c r="T36" i="14"/>
  <c r="M36" i="14"/>
  <c r="Q36" i="14" s="1"/>
  <c r="F36" i="14"/>
  <c r="K36" i="14" s="1"/>
  <c r="O36" i="14" s="1"/>
  <c r="E35" i="14"/>
  <c r="F35" i="14" s="1"/>
  <c r="T34" i="14"/>
  <c r="M34" i="14"/>
  <c r="Q34" i="14" s="1"/>
  <c r="R34" i="14" s="1"/>
  <c r="K34" i="14"/>
  <c r="O34" i="14" s="1"/>
  <c r="F34" i="14"/>
  <c r="F33" i="14"/>
  <c r="T33" i="14" s="1"/>
  <c r="F15" i="14"/>
  <c r="T15" i="14" s="1"/>
  <c r="E14" i="14"/>
  <c r="F14" i="14" s="1"/>
  <c r="T13" i="14"/>
  <c r="M13" i="14"/>
  <c r="Q13" i="14" s="1"/>
  <c r="R13" i="14" s="1"/>
  <c r="F13" i="14"/>
  <c r="K13" i="14" s="1"/>
  <c r="O13" i="14" s="1"/>
  <c r="E12" i="14"/>
  <c r="F12" i="14" s="1"/>
  <c r="T11" i="14"/>
  <c r="M11" i="14"/>
  <c r="Q11" i="14" s="1"/>
  <c r="F11" i="14"/>
  <c r="K11" i="14" s="1"/>
  <c r="O11" i="14" s="1"/>
  <c r="F10" i="14"/>
  <c r="T10" i="14" s="1"/>
  <c r="T35" i="14" l="1"/>
  <c r="M35" i="14"/>
  <c r="Q35" i="14" s="1"/>
  <c r="K35" i="14"/>
  <c r="O35" i="14" s="1"/>
  <c r="K37" i="14"/>
  <c r="O37" i="14" s="1"/>
  <c r="T37" i="14"/>
  <c r="M37" i="14"/>
  <c r="Q37" i="14" s="1"/>
  <c r="K38" i="14"/>
  <c r="O38" i="14" s="1"/>
  <c r="T38" i="14"/>
  <c r="M38" i="14"/>
  <c r="Q38" i="14" s="1"/>
  <c r="R36" i="14"/>
  <c r="K33" i="14"/>
  <c r="O33" i="14" s="1"/>
  <c r="M33" i="14"/>
  <c r="Q33" i="14" s="1"/>
  <c r="R33" i="14" s="1"/>
  <c r="K39" i="14"/>
  <c r="O39" i="14" s="1"/>
  <c r="M39" i="14"/>
  <c r="Q39" i="14" s="1"/>
  <c r="R39" i="14" s="1"/>
  <c r="R11" i="14"/>
  <c r="K14" i="14"/>
  <c r="O14" i="14" s="1"/>
  <c r="M14" i="14"/>
  <c r="Q14" i="14" s="1"/>
  <c r="R14" i="14" s="1"/>
  <c r="T14" i="14"/>
  <c r="T12" i="14"/>
  <c r="M12" i="14"/>
  <c r="Q12" i="14" s="1"/>
  <c r="K12" i="14"/>
  <c r="O12" i="14" s="1"/>
  <c r="M10" i="14"/>
  <c r="Q10" i="14" s="1"/>
  <c r="K15" i="14"/>
  <c r="O15" i="14" s="1"/>
  <c r="K10" i="14"/>
  <c r="O10" i="14" s="1"/>
  <c r="M15" i="14"/>
  <c r="Q15" i="14" s="1"/>
  <c r="F81" i="14"/>
  <c r="T81" i="14" s="1"/>
  <c r="F80" i="14"/>
  <c r="T80" i="14" s="1"/>
  <c r="F79" i="14"/>
  <c r="T79" i="14" s="1"/>
  <c r="F78" i="14"/>
  <c r="T78" i="14" s="1"/>
  <c r="C74" i="14"/>
  <c r="F74" i="14" s="1"/>
  <c r="F77" i="14"/>
  <c r="R10" i="14" l="1"/>
  <c r="R37" i="14"/>
  <c r="R35" i="14"/>
  <c r="R38" i="14"/>
  <c r="R15" i="14"/>
  <c r="R12" i="14"/>
  <c r="K81" i="14"/>
  <c r="O81" i="14" s="1"/>
  <c r="M81" i="14"/>
  <c r="Q81" i="14" s="1"/>
  <c r="K80" i="14"/>
  <c r="O80" i="14" s="1"/>
  <c r="M80" i="14"/>
  <c r="Q80" i="14" s="1"/>
  <c r="K79" i="14"/>
  <c r="O79" i="14" s="1"/>
  <c r="M79" i="14"/>
  <c r="Q79" i="14" s="1"/>
  <c r="K78" i="14"/>
  <c r="O78" i="14" s="1"/>
  <c r="M78" i="14"/>
  <c r="Q78" i="14" s="1"/>
  <c r="T74" i="14"/>
  <c r="M74" i="14"/>
  <c r="Q74" i="14" s="1"/>
  <c r="K74" i="14"/>
  <c r="O74" i="14" s="1"/>
  <c r="T77" i="14"/>
  <c r="K77" i="14"/>
  <c r="O77" i="14" s="1"/>
  <c r="M77" i="14"/>
  <c r="Q77" i="14" s="1"/>
  <c r="R4" i="7"/>
  <c r="R5" i="7"/>
  <c r="R6" i="7"/>
  <c r="R7" i="7"/>
  <c r="R3" i="7"/>
  <c r="R11" i="7"/>
  <c r="R12" i="7"/>
  <c r="R10" i="7"/>
  <c r="T17" i="7"/>
  <c r="T18" i="7"/>
  <c r="T19" i="7"/>
  <c r="T20" i="7"/>
  <c r="T16" i="7"/>
  <c r="T11" i="7"/>
  <c r="T12" i="7"/>
  <c r="T13" i="7"/>
  <c r="T10" i="7"/>
  <c r="T4" i="7"/>
  <c r="T5" i="7"/>
  <c r="T6" i="7"/>
  <c r="T7" i="7"/>
  <c r="T3" i="7"/>
  <c r="R78" i="14" l="1"/>
  <c r="R81" i="14"/>
  <c r="R79" i="14"/>
  <c r="R80" i="14"/>
  <c r="R74" i="14"/>
  <c r="R77" i="14"/>
  <c r="V7" i="11"/>
  <c r="V11" i="11"/>
  <c r="T8" i="11"/>
  <c r="V8" i="11" s="1"/>
  <c r="T9" i="11"/>
  <c r="V9" i="11" s="1"/>
  <c r="T10" i="11"/>
  <c r="V10" i="11" s="1"/>
  <c r="T11" i="11"/>
  <c r="T7" i="11"/>
  <c r="T4" i="11"/>
  <c r="V4" i="11" s="1"/>
  <c r="T5" i="11"/>
  <c r="V5" i="11" s="1"/>
  <c r="T6" i="11"/>
  <c r="V6" i="11" s="1"/>
  <c r="T3" i="11"/>
  <c r="V3" i="11" s="1"/>
  <c r="L49" i="16" l="1"/>
  <c r="F43" i="16"/>
  <c r="K40" i="16" l="1"/>
  <c r="L48" i="16"/>
  <c r="L41" i="16"/>
  <c r="K47" i="16"/>
  <c r="H46" i="16"/>
  <c r="F14" i="16"/>
  <c r="F10" i="16" l="1"/>
  <c r="P12" i="7"/>
  <c r="P7" i="7"/>
  <c r="F70" i="14"/>
  <c r="E68" i="14"/>
  <c r="F69" i="14"/>
  <c r="F68" i="14"/>
  <c r="F67" i="14"/>
  <c r="T67" i="14" s="1"/>
  <c r="F56" i="14"/>
  <c r="F55" i="14"/>
  <c r="F53" i="14"/>
  <c r="F52" i="14"/>
  <c r="F51" i="14"/>
  <c r="F50" i="14"/>
  <c r="C73" i="14"/>
  <c r="F73" i="14" s="1"/>
  <c r="E10" i="16"/>
  <c r="P6" i="7"/>
  <c r="N2" i="16"/>
  <c r="E47" i="16"/>
  <c r="E48" i="16"/>
  <c r="E49" i="16"/>
  <c r="E50" i="16"/>
  <c r="E51" i="16"/>
  <c r="E46" i="16"/>
  <c r="E40" i="16"/>
  <c r="E41" i="16"/>
  <c r="E42" i="16"/>
  <c r="E43" i="16"/>
  <c r="E39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24" i="16"/>
  <c r="E19" i="16"/>
  <c r="E20" i="16"/>
  <c r="E21" i="16"/>
  <c r="E18" i="16"/>
  <c r="E14" i="16"/>
  <c r="E15" i="16"/>
  <c r="E13" i="16"/>
  <c r="E9" i="16"/>
  <c r="E5" i="16"/>
  <c r="E6" i="16"/>
  <c r="E4" i="16"/>
  <c r="M2" i="16"/>
  <c r="G2" i="16"/>
  <c r="H2" i="16"/>
  <c r="I2" i="16"/>
  <c r="J2" i="16"/>
  <c r="L2" i="16"/>
  <c r="D2" i="16"/>
  <c r="E30" i="14"/>
  <c r="E29" i="14"/>
  <c r="F31" i="14"/>
  <c r="F28" i="14"/>
  <c r="E27" i="14"/>
  <c r="F26" i="14"/>
  <c r="K26" i="14" s="1"/>
  <c r="O26" i="14" s="1"/>
  <c r="F25" i="14"/>
  <c r="K25" i="14" s="1"/>
  <c r="O25" i="14" s="1"/>
  <c r="F3" i="14"/>
  <c r="F4" i="14"/>
  <c r="T4" i="14" s="1"/>
  <c r="F6" i="14"/>
  <c r="T6" i="14" s="1"/>
  <c r="F8" i="14"/>
  <c r="E7" i="14"/>
  <c r="E5" i="14"/>
  <c r="C16" i="10"/>
  <c r="F16" i="10" s="1"/>
  <c r="C15" i="10"/>
  <c r="C12" i="10"/>
  <c r="C11" i="10"/>
  <c r="E16" i="10"/>
  <c r="E15" i="10"/>
  <c r="I16" i="10" l="1"/>
  <c r="G16" i="10"/>
  <c r="H16" i="10" s="1"/>
  <c r="I53" i="14"/>
  <c r="G53" i="14"/>
  <c r="H53" i="14" s="1"/>
  <c r="I55" i="14"/>
  <c r="G55" i="14"/>
  <c r="H55" i="14" s="1"/>
  <c r="I52" i="14"/>
  <c r="G52" i="14"/>
  <c r="H52" i="14" s="1"/>
  <c r="I51" i="14"/>
  <c r="G51" i="14"/>
  <c r="H51" i="14" s="1"/>
  <c r="I56" i="14"/>
  <c r="G56" i="14"/>
  <c r="H56" i="14" s="1"/>
  <c r="T50" i="14"/>
  <c r="I50" i="14"/>
  <c r="G50" i="14"/>
  <c r="H50" i="14" s="1"/>
  <c r="K70" i="14"/>
  <c r="O70" i="14" s="1"/>
  <c r="T70" i="14"/>
  <c r="M70" i="14"/>
  <c r="Q70" i="14" s="1"/>
  <c r="R70" i="14" s="1"/>
  <c r="T69" i="14"/>
  <c r="M69" i="14"/>
  <c r="Q69" i="14" s="1"/>
  <c r="K69" i="14"/>
  <c r="O69" i="14" s="1"/>
  <c r="T68" i="14"/>
  <c r="M68" i="14"/>
  <c r="Q68" i="14" s="1"/>
  <c r="K68" i="14"/>
  <c r="O68" i="14" s="1"/>
  <c r="K67" i="14"/>
  <c r="O67" i="14" s="1"/>
  <c r="M67" i="14"/>
  <c r="Q67" i="14" s="1"/>
  <c r="T56" i="14"/>
  <c r="M56" i="14"/>
  <c r="Q56" i="14" s="1"/>
  <c r="K56" i="14"/>
  <c r="O56" i="14" s="1"/>
  <c r="T55" i="14"/>
  <c r="M55" i="14"/>
  <c r="Q55" i="14" s="1"/>
  <c r="K55" i="14"/>
  <c r="O55" i="14" s="1"/>
  <c r="F54" i="14"/>
  <c r="T53" i="14"/>
  <c r="M53" i="14"/>
  <c r="Q53" i="14" s="1"/>
  <c r="K53" i="14"/>
  <c r="O53" i="14" s="1"/>
  <c r="T52" i="14"/>
  <c r="K52" i="14"/>
  <c r="O52" i="14" s="1"/>
  <c r="M52" i="14"/>
  <c r="Q52" i="14" s="1"/>
  <c r="F29" i="14"/>
  <c r="M29" i="14" s="1"/>
  <c r="Q29" i="14" s="1"/>
  <c r="K50" i="14"/>
  <c r="O50" i="14" s="1"/>
  <c r="T51" i="14"/>
  <c r="M51" i="14"/>
  <c r="Q51" i="14" s="1"/>
  <c r="K51" i="14"/>
  <c r="O51" i="14" s="1"/>
  <c r="M50" i="14"/>
  <c r="Q50" i="14" s="1"/>
  <c r="R50" i="14" s="1"/>
  <c r="K73" i="14"/>
  <c r="O73" i="14" s="1"/>
  <c r="M73" i="14"/>
  <c r="Q73" i="14" s="1"/>
  <c r="T73" i="14"/>
  <c r="F2" i="16"/>
  <c r="E2" i="16"/>
  <c r="F30" i="14"/>
  <c r="T30" i="14" s="1"/>
  <c r="F27" i="14"/>
  <c r="K27" i="14" s="1"/>
  <c r="O27" i="14" s="1"/>
  <c r="T28" i="14"/>
  <c r="M28" i="14"/>
  <c r="Q28" i="14" s="1"/>
  <c r="K28" i="14"/>
  <c r="O28" i="14" s="1"/>
  <c r="T29" i="14"/>
  <c r="T31" i="14"/>
  <c r="M31" i="14"/>
  <c r="Q31" i="14" s="1"/>
  <c r="K31" i="14"/>
  <c r="O31" i="14" s="1"/>
  <c r="M25" i="14"/>
  <c r="Q25" i="14" s="1"/>
  <c r="R25" i="14" s="1"/>
  <c r="T25" i="14"/>
  <c r="M26" i="14"/>
  <c r="Q26" i="14" s="1"/>
  <c r="R26" i="14" s="1"/>
  <c r="T26" i="14"/>
  <c r="F5" i="14"/>
  <c r="T5" i="14" s="1"/>
  <c r="T8" i="14"/>
  <c r="M8" i="14"/>
  <c r="Q8" i="14" s="1"/>
  <c r="K8" i="14"/>
  <c r="O8" i="14" s="1"/>
  <c r="F7" i="14"/>
  <c r="T7" i="14" s="1"/>
  <c r="K6" i="14"/>
  <c r="O6" i="14" s="1"/>
  <c r="M6" i="14"/>
  <c r="Q6" i="14" s="1"/>
  <c r="M4" i="14"/>
  <c r="Q4" i="14" s="1"/>
  <c r="K4" i="14"/>
  <c r="O4" i="14" s="1"/>
  <c r="K3" i="14"/>
  <c r="O3" i="14" s="1"/>
  <c r="T3" i="14"/>
  <c r="M3" i="14"/>
  <c r="Q3" i="14" s="1"/>
  <c r="F15" i="10"/>
  <c r="M15" i="10"/>
  <c r="Q15" i="10" s="1"/>
  <c r="K16" i="10"/>
  <c r="O16" i="10" s="1"/>
  <c r="T16" i="10"/>
  <c r="M16" i="10"/>
  <c r="Q16" i="10" s="1"/>
  <c r="F12" i="10"/>
  <c r="E11" i="10"/>
  <c r="F11" i="10" s="1"/>
  <c r="T11" i="10" l="1"/>
  <c r="G11" i="10"/>
  <c r="H11" i="10" s="1"/>
  <c r="I11" i="10"/>
  <c r="T12" i="10"/>
  <c r="I12" i="10"/>
  <c r="G12" i="10"/>
  <c r="H12" i="10" s="1"/>
  <c r="T15" i="10"/>
  <c r="G15" i="10"/>
  <c r="H15" i="10" s="1"/>
  <c r="I15" i="10"/>
  <c r="K15" i="10"/>
  <c r="O15" i="10" s="1"/>
  <c r="R15" i="10" s="1"/>
  <c r="T54" i="14"/>
  <c r="I54" i="14"/>
  <c r="G54" i="14"/>
  <c r="H54" i="14" s="1"/>
  <c r="M27" i="14"/>
  <c r="Q27" i="14" s="1"/>
  <c r="M5" i="14"/>
  <c r="Q5" i="14" s="1"/>
  <c r="K5" i="14"/>
  <c r="O5" i="14" s="1"/>
  <c r="R73" i="14"/>
  <c r="T27" i="14"/>
  <c r="K29" i="14"/>
  <c r="O29" i="14" s="1"/>
  <c r="R29" i="14" s="1"/>
  <c r="R27" i="14"/>
  <c r="R69" i="14"/>
  <c r="K54" i="14"/>
  <c r="O54" i="14" s="1"/>
  <c r="K30" i="14"/>
  <c r="O30" i="14" s="1"/>
  <c r="M54" i="14"/>
  <c r="Q54" i="14" s="1"/>
  <c r="R67" i="14"/>
  <c r="R68" i="14"/>
  <c r="R52" i="14"/>
  <c r="R56" i="14"/>
  <c r="R55" i="14"/>
  <c r="R53" i="14"/>
  <c r="M30" i="14"/>
  <c r="Q30" i="14" s="1"/>
  <c r="R30" i="14" s="1"/>
  <c r="M7" i="14"/>
  <c r="Q7" i="14" s="1"/>
  <c r="R51" i="14"/>
  <c r="K7" i="14"/>
  <c r="O7" i="14" s="1"/>
  <c r="R31" i="14"/>
  <c r="R28" i="14"/>
  <c r="R3" i="14"/>
  <c r="R5" i="14"/>
  <c r="R8" i="14"/>
  <c r="R6" i="14"/>
  <c r="R4" i="14"/>
  <c r="R16" i="10"/>
  <c r="K11" i="10"/>
  <c r="O11" i="10" s="1"/>
  <c r="K12" i="10"/>
  <c r="O12" i="10" s="1"/>
  <c r="M11" i="10"/>
  <c r="Q11" i="10" s="1"/>
  <c r="M12" i="10"/>
  <c r="Q12" i="10" s="1"/>
  <c r="E3" i="11"/>
  <c r="E11" i="11"/>
  <c r="E10" i="11"/>
  <c r="E9" i="11"/>
  <c r="E8" i="11"/>
  <c r="E7" i="11"/>
  <c r="R7" i="11" s="1"/>
  <c r="S7" i="11" s="1"/>
  <c r="W7" i="11" s="1"/>
  <c r="E6" i="11"/>
  <c r="R6" i="11" s="1"/>
  <c r="S6" i="11" s="1"/>
  <c r="W6" i="11" s="1"/>
  <c r="E5" i="11"/>
  <c r="R5" i="11" s="1"/>
  <c r="S5" i="11" s="1"/>
  <c r="W5" i="11" s="1"/>
  <c r="E4" i="11"/>
  <c r="R4" i="11" s="1"/>
  <c r="S4" i="11" s="1"/>
  <c r="W4" i="11" s="1"/>
  <c r="C11" i="11"/>
  <c r="C10" i="11"/>
  <c r="C9" i="11"/>
  <c r="C8" i="11"/>
  <c r="C7" i="11"/>
  <c r="C6" i="11"/>
  <c r="C5" i="11"/>
  <c r="C4" i="11"/>
  <c r="C3" i="11"/>
  <c r="F10" i="11"/>
  <c r="F5" i="11"/>
  <c r="F4" i="11"/>
  <c r="E8" i="10"/>
  <c r="F4" i="10"/>
  <c r="C8" i="10"/>
  <c r="C7" i="10"/>
  <c r="C4" i="10"/>
  <c r="F3" i="10"/>
  <c r="E7" i="10"/>
  <c r="E3" i="10"/>
  <c r="C17" i="7"/>
  <c r="E28" i="7"/>
  <c r="C28" i="7"/>
  <c r="F28" i="7" s="1"/>
  <c r="C27" i="7"/>
  <c r="F27" i="7" s="1"/>
  <c r="E26" i="7"/>
  <c r="E25" i="7"/>
  <c r="C26" i="7"/>
  <c r="C25" i="7"/>
  <c r="E24" i="7"/>
  <c r="C24" i="7"/>
  <c r="C23" i="7"/>
  <c r="F23" i="7" s="1"/>
  <c r="E17" i="7"/>
  <c r="F17" i="7"/>
  <c r="S17" i="7" s="1"/>
  <c r="E16" i="7"/>
  <c r="C20" i="7"/>
  <c r="F20" i="7" s="1"/>
  <c r="S20" i="7" s="1"/>
  <c r="E19" i="7"/>
  <c r="C19" i="7"/>
  <c r="E18" i="7"/>
  <c r="C18" i="7"/>
  <c r="F18" i="7" s="1"/>
  <c r="C16" i="7"/>
  <c r="K4" i="10" l="1"/>
  <c r="O4" i="10" s="1"/>
  <c r="G4" i="10"/>
  <c r="H4" i="10" s="1"/>
  <c r="I4" i="10"/>
  <c r="K3" i="10"/>
  <c r="O3" i="10" s="1"/>
  <c r="G3" i="10"/>
  <c r="H3" i="10" s="1"/>
  <c r="I3" i="10"/>
  <c r="F8" i="10"/>
  <c r="F7" i="10"/>
  <c r="Q18" i="7"/>
  <c r="S18" i="7"/>
  <c r="R18" i="7"/>
  <c r="R16" i="7"/>
  <c r="R19" i="7"/>
  <c r="R17" i="7"/>
  <c r="L15" i="11"/>
  <c r="R11" i="11"/>
  <c r="S11" i="11" s="1"/>
  <c r="W11" i="11" s="1"/>
  <c r="H15" i="11"/>
  <c r="R8" i="11"/>
  <c r="S8" i="11" s="1"/>
  <c r="W8" i="11" s="1"/>
  <c r="K15" i="11"/>
  <c r="R3" i="11"/>
  <c r="S3" i="11" s="1"/>
  <c r="W3" i="11" s="1"/>
  <c r="J15" i="11"/>
  <c r="R10" i="11"/>
  <c r="S10" i="11" s="1"/>
  <c r="W10" i="11" s="1"/>
  <c r="I15" i="11"/>
  <c r="R9" i="11"/>
  <c r="S9" i="11" s="1"/>
  <c r="W9" i="11" s="1"/>
  <c r="R54" i="14"/>
  <c r="R7" i="14"/>
  <c r="F16" i="7"/>
  <c r="S16" i="7" s="1"/>
  <c r="R12" i="10"/>
  <c r="R11" i="10"/>
  <c r="N15" i="11"/>
  <c r="F15" i="11"/>
  <c r="M15" i="11"/>
  <c r="C15" i="11"/>
  <c r="B15" i="11"/>
  <c r="E15" i="11"/>
  <c r="D15" i="11"/>
  <c r="F7" i="11"/>
  <c r="J7" i="11" s="1"/>
  <c r="N7" i="11" s="1"/>
  <c r="F11" i="11"/>
  <c r="Q11" i="11" s="1"/>
  <c r="F9" i="11"/>
  <c r="F8" i="11"/>
  <c r="F6" i="11"/>
  <c r="H6" i="11" s="1"/>
  <c r="L6" i="11" s="1"/>
  <c r="H11" i="11"/>
  <c r="L11" i="11" s="1"/>
  <c r="Q10" i="11"/>
  <c r="J10" i="11"/>
  <c r="N10" i="11" s="1"/>
  <c r="H10" i="11"/>
  <c r="L10" i="11" s="1"/>
  <c r="H7" i="11"/>
  <c r="L7" i="11" s="1"/>
  <c r="Q5" i="11"/>
  <c r="J5" i="11"/>
  <c r="N5" i="11" s="1"/>
  <c r="H5" i="11"/>
  <c r="L5" i="11" s="1"/>
  <c r="F3" i="11"/>
  <c r="Q3" i="11" s="1"/>
  <c r="Q4" i="11"/>
  <c r="J4" i="11"/>
  <c r="N4" i="11" s="1"/>
  <c r="H4" i="11"/>
  <c r="L4" i="11" s="1"/>
  <c r="M4" i="10"/>
  <c r="Q4" i="10" s="1"/>
  <c r="R4" i="10" s="1"/>
  <c r="T4" i="10"/>
  <c r="T3" i="10"/>
  <c r="M3" i="10"/>
  <c r="Q3" i="10" s="1"/>
  <c r="Q28" i="7"/>
  <c r="J28" i="7"/>
  <c r="H28" i="7"/>
  <c r="F26" i="7"/>
  <c r="F19" i="7"/>
  <c r="S19" i="7" s="1"/>
  <c r="Q27" i="7"/>
  <c r="J27" i="7"/>
  <c r="H27" i="7"/>
  <c r="F25" i="7"/>
  <c r="J25" i="7" s="1"/>
  <c r="Q26" i="7"/>
  <c r="J26" i="7"/>
  <c r="H26" i="7"/>
  <c r="Q25" i="7"/>
  <c r="F24" i="7"/>
  <c r="Q24" i="7" s="1"/>
  <c r="H23" i="7"/>
  <c r="Q23" i="7"/>
  <c r="J23" i="7"/>
  <c r="J17" i="7"/>
  <c r="H17" i="7"/>
  <c r="Q16" i="7"/>
  <c r="Q19" i="7"/>
  <c r="H19" i="7"/>
  <c r="Q20" i="7"/>
  <c r="J20" i="7"/>
  <c r="H20" i="7"/>
  <c r="J16" i="7"/>
  <c r="H18" i="7"/>
  <c r="J18" i="7"/>
  <c r="C13" i="7"/>
  <c r="F13" i="7" s="1"/>
  <c r="C7" i="7"/>
  <c r="F7" i="7" s="1"/>
  <c r="S7" i="7" s="1"/>
  <c r="E12" i="7"/>
  <c r="C12" i="7"/>
  <c r="F12" i="7" s="1"/>
  <c r="E11" i="7"/>
  <c r="C11" i="7"/>
  <c r="C10" i="7"/>
  <c r="F10" i="7" s="1"/>
  <c r="S10" i="7" s="1"/>
  <c r="K7" i="10" l="1"/>
  <c r="O7" i="10" s="1"/>
  <c r="G7" i="10"/>
  <c r="H7" i="10" s="1"/>
  <c r="I7" i="10"/>
  <c r="R3" i="10"/>
  <c r="M7" i="10"/>
  <c r="Q7" i="10" s="1"/>
  <c r="T8" i="10"/>
  <c r="G8" i="10"/>
  <c r="H8" i="10" s="1"/>
  <c r="I8" i="10"/>
  <c r="T7" i="10"/>
  <c r="M8" i="10"/>
  <c r="Q8" i="10" s="1"/>
  <c r="K8" i="10"/>
  <c r="O8" i="10" s="1"/>
  <c r="Q12" i="7"/>
  <c r="S12" i="7"/>
  <c r="F11" i="7"/>
  <c r="S11" i="7" s="1"/>
  <c r="H16" i="7"/>
  <c r="N16" i="7" s="1"/>
  <c r="H25" i="7"/>
  <c r="L25" i="7" s="1"/>
  <c r="Q13" i="7"/>
  <c r="S13" i="7"/>
  <c r="J19" i="7"/>
  <c r="Q8" i="11"/>
  <c r="J8" i="11"/>
  <c r="Q7" i="11"/>
  <c r="Q9" i="11"/>
  <c r="J9" i="11"/>
  <c r="N9" i="11" s="1"/>
  <c r="J6" i="11"/>
  <c r="N6" i="11" s="1"/>
  <c r="J11" i="11"/>
  <c r="N11" i="11" s="1"/>
  <c r="O11" i="11" s="1"/>
  <c r="Q6" i="11"/>
  <c r="H8" i="11"/>
  <c r="L8" i="11" s="1"/>
  <c r="H9" i="11"/>
  <c r="L9" i="11" s="1"/>
  <c r="N8" i="11"/>
  <c r="H3" i="11"/>
  <c r="L3" i="11" s="1"/>
  <c r="J3" i="11"/>
  <c r="N3" i="11" s="1"/>
  <c r="O10" i="11"/>
  <c r="O7" i="11"/>
  <c r="O5" i="11"/>
  <c r="O6" i="11"/>
  <c r="O4" i="11"/>
  <c r="R8" i="10"/>
  <c r="R7" i="10"/>
  <c r="L28" i="7"/>
  <c r="N28" i="7"/>
  <c r="H7" i="7"/>
  <c r="J7" i="7"/>
  <c r="N7" i="7" s="1"/>
  <c r="Q7" i="7"/>
  <c r="H24" i="7"/>
  <c r="L24" i="7" s="1"/>
  <c r="J24" i="7"/>
  <c r="N27" i="7"/>
  <c r="L27" i="7"/>
  <c r="L26" i="7"/>
  <c r="N26" i="7"/>
  <c r="N25" i="7"/>
  <c r="N24" i="7"/>
  <c r="N23" i="7"/>
  <c r="L23" i="7"/>
  <c r="N17" i="7"/>
  <c r="L17" i="7"/>
  <c r="L16" i="7"/>
  <c r="O16" i="7" s="1"/>
  <c r="L18" i="7"/>
  <c r="N18" i="7"/>
  <c r="N19" i="7"/>
  <c r="L19" i="7"/>
  <c r="N20" i="7"/>
  <c r="L20" i="7"/>
  <c r="Q10" i="7"/>
  <c r="J13" i="7"/>
  <c r="H13" i="7"/>
  <c r="L7" i="7"/>
  <c r="Q11" i="7"/>
  <c r="J11" i="7"/>
  <c r="H11" i="7"/>
  <c r="H12" i="7"/>
  <c r="J12" i="7"/>
  <c r="H10" i="7"/>
  <c r="J10" i="7"/>
  <c r="O25" i="7" l="1"/>
  <c r="O8" i="11"/>
  <c r="O9" i="11"/>
  <c r="O3" i="11"/>
  <c r="O28" i="7"/>
  <c r="O27" i="7"/>
  <c r="O18" i="7"/>
  <c r="O26" i="7"/>
  <c r="O24" i="7"/>
  <c r="O23" i="7"/>
  <c r="O17" i="7"/>
  <c r="O19" i="7"/>
  <c r="O20" i="7"/>
  <c r="L13" i="7"/>
  <c r="N13" i="7"/>
  <c r="O7" i="7"/>
  <c r="N11" i="7"/>
  <c r="L11" i="7"/>
  <c r="L12" i="7"/>
  <c r="N12" i="7"/>
  <c r="L10" i="7"/>
  <c r="N10" i="7"/>
  <c r="C6" i="7"/>
  <c r="C5" i="7"/>
  <c r="F5" i="7" s="1"/>
  <c r="S5" i="7" s="1"/>
  <c r="E6" i="7"/>
  <c r="E5" i="7"/>
  <c r="E4" i="7"/>
  <c r="C4" i="7"/>
  <c r="E3" i="7"/>
  <c r="C3" i="7"/>
  <c r="F3" i="7" l="1"/>
  <c r="S3" i="7" s="1"/>
  <c r="F4" i="7"/>
  <c r="J4" i="7"/>
  <c r="N4" i="7" s="1"/>
  <c r="Q4" i="7"/>
  <c r="J3" i="7"/>
  <c r="N3" i="7" s="1"/>
  <c r="H3" i="7"/>
  <c r="L3" i="7" s="1"/>
  <c r="O3" i="7" s="1"/>
  <c r="O13" i="7"/>
  <c r="H5" i="7"/>
  <c r="L5" i="7" s="1"/>
  <c r="J5" i="7"/>
  <c r="N5" i="7" s="1"/>
  <c r="Q5" i="7"/>
  <c r="O10" i="7"/>
  <c r="O12" i="7"/>
  <c r="O11" i="7"/>
  <c r="F6" i="7"/>
  <c r="S6" i="7" s="1"/>
  <c r="Q3" i="7" l="1"/>
  <c r="H4" i="7"/>
  <c r="L4" i="7" s="1"/>
  <c r="S4" i="7"/>
  <c r="O4" i="7"/>
  <c r="H6" i="7"/>
  <c r="L6" i="7" s="1"/>
  <c r="Q6" i="7"/>
  <c r="J6" i="7"/>
  <c r="N6" i="7" s="1"/>
  <c r="O5" i="7"/>
  <c r="O6" i="7" l="1"/>
</calcChain>
</file>

<file path=xl/sharedStrings.xml><?xml version="1.0" encoding="utf-8"?>
<sst xmlns="http://schemas.openxmlformats.org/spreadsheetml/2006/main" count="987" uniqueCount="263">
  <si>
    <t>#</t>
  </si>
  <si>
    <t>اللون</t>
  </si>
  <si>
    <t>A</t>
  </si>
  <si>
    <t>فضي جليتر</t>
  </si>
  <si>
    <t>برتقاني فاتح جليتر</t>
  </si>
  <si>
    <t>احمر جليتر</t>
  </si>
  <si>
    <t>تكلفة الدقيقة</t>
  </si>
  <si>
    <t>سعر الدقيقة</t>
  </si>
  <si>
    <t>إجمالي التكلفة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</si>
  <si>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</si>
  <si>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</si>
  <si>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</si>
  <si>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</si>
  <si>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</si>
  <si>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</si>
  <si>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</si>
  <si>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</si>
  <si>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</si>
  <si>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</si>
  <si>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</si>
  <si>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</si>
  <si>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</si>
  <si>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</si>
  <si>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</si>
  <si>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</si>
  <si>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</si>
  <si>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</si>
  <si>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</si>
  <si>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</si>
  <si>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</si>
  <si>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</si>
  <si>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</si>
  <si>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</si>
  <si>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</si>
  <si>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</t>
  </si>
  <si>
    <t>C</t>
  </si>
  <si>
    <t>P</t>
  </si>
  <si>
    <t>توكة ميني</t>
  </si>
  <si>
    <t>وش ميني</t>
  </si>
  <si>
    <t>الصنف</t>
  </si>
  <si>
    <t>العدد فى الشيت</t>
  </si>
  <si>
    <t>العدد المطلوب</t>
  </si>
  <si>
    <t>التكرار</t>
  </si>
  <si>
    <t>إجمالي السعر</t>
  </si>
  <si>
    <t>الفرق</t>
  </si>
  <si>
    <t>ابيض جليتر</t>
  </si>
  <si>
    <t>M001003_A</t>
  </si>
  <si>
    <t>التوكة واللسان</t>
  </si>
  <si>
    <t>الوقت الإجمالي المحسوب</t>
  </si>
  <si>
    <t>الوقت الفعلي للشيت</t>
  </si>
  <si>
    <t>الوقت المحسوب للشيت</t>
  </si>
  <si>
    <t>الوقت الإجمالي الفعلي</t>
  </si>
  <si>
    <t>كلمة Happy</t>
  </si>
  <si>
    <t>4</t>
  </si>
  <si>
    <t>كلمة Birthday</t>
  </si>
  <si>
    <t>التكرار الفعلي</t>
  </si>
  <si>
    <t>المتبقى من كامل العدد</t>
  </si>
  <si>
    <t>M001003_C</t>
  </si>
  <si>
    <t>توكة تويتي</t>
  </si>
  <si>
    <t>وش تويتي</t>
  </si>
  <si>
    <t>أصفر جليتر</t>
  </si>
  <si>
    <t>5</t>
  </si>
  <si>
    <t>البوري</t>
  </si>
  <si>
    <t>6</t>
  </si>
  <si>
    <t>7</t>
  </si>
  <si>
    <t>8</t>
  </si>
  <si>
    <t>9</t>
  </si>
  <si>
    <t>10</t>
  </si>
  <si>
    <t>11</t>
  </si>
  <si>
    <t>12</t>
  </si>
  <si>
    <t>13</t>
  </si>
  <si>
    <t>توكة كيتي</t>
  </si>
  <si>
    <t>وش كيتي</t>
  </si>
  <si>
    <t>14</t>
  </si>
  <si>
    <t>M001003_E</t>
  </si>
  <si>
    <t>M001003_D</t>
  </si>
  <si>
    <t>توكة سنه حلوة يجميل</t>
  </si>
  <si>
    <t>15</t>
  </si>
  <si>
    <t>الفراشة</t>
  </si>
  <si>
    <t>16</t>
  </si>
  <si>
    <t>سنة</t>
  </si>
  <si>
    <t>17</t>
  </si>
  <si>
    <t>18</t>
  </si>
  <si>
    <t>حلوة</t>
  </si>
  <si>
    <t>ياجميل</t>
  </si>
  <si>
    <t>19</t>
  </si>
  <si>
    <t xml:space="preserve"> </t>
  </si>
  <si>
    <t>20</t>
  </si>
  <si>
    <t>الفلوب</t>
  </si>
  <si>
    <t>M001001_A</t>
  </si>
  <si>
    <t>بدلة الولد</t>
  </si>
  <si>
    <t>البدلة</t>
  </si>
  <si>
    <t>D</t>
  </si>
  <si>
    <t>Y</t>
  </si>
  <si>
    <t>2</t>
  </si>
  <si>
    <t>3</t>
  </si>
  <si>
    <t>الحروف 10</t>
  </si>
  <si>
    <t>M001001_B</t>
  </si>
  <si>
    <t>الفستان</t>
  </si>
  <si>
    <t>الحروف 11</t>
  </si>
  <si>
    <t>فستان البنت</t>
  </si>
  <si>
    <t>M001006</t>
  </si>
  <si>
    <t>فرع Happy Birthday</t>
  </si>
  <si>
    <t>H</t>
  </si>
  <si>
    <t>I</t>
  </si>
  <si>
    <t>R</t>
  </si>
  <si>
    <t>T</t>
  </si>
  <si>
    <t>بني جليتر</t>
  </si>
  <si>
    <t>G</t>
  </si>
  <si>
    <t>توزيع الألوان</t>
  </si>
  <si>
    <t>1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</si>
  <si>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</si>
  <si>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</si>
  <si>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</si>
  <si>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</si>
  <si>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</si>
  <si>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</si>
  <si>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</si>
  <si>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</si>
  <si>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</si>
  <si>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</si>
  <si>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</si>
  <si>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</si>
  <si>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</si>
  <si>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</si>
  <si>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</si>
  <si>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</si>
  <si>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</si>
  <si>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</si>
  <si>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</si>
  <si>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</si>
  <si>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 xml:space="preserve">اصفر </t>
  </si>
  <si>
    <t xml:space="preserve">ذهبي </t>
  </si>
  <si>
    <t xml:space="preserve">فضي </t>
  </si>
  <si>
    <t xml:space="preserve">برتقاني فاتح </t>
  </si>
  <si>
    <t xml:space="preserve">بنفسجي غامق </t>
  </si>
  <si>
    <t xml:space="preserve">موف غامق </t>
  </si>
  <si>
    <t xml:space="preserve">احمر </t>
  </si>
  <si>
    <t xml:space="preserve">أرزق </t>
  </si>
  <si>
    <t xml:space="preserve">أخضر غامق </t>
  </si>
  <si>
    <t xml:space="preserve">بنفسجي فاتح </t>
  </si>
  <si>
    <t xml:space="preserve">ابيض </t>
  </si>
  <si>
    <t xml:space="preserve">بني </t>
  </si>
  <si>
    <t xml:space="preserve">لبني </t>
  </si>
  <si>
    <t xml:space="preserve">أخضر فسفوري </t>
  </si>
  <si>
    <t xml:space="preserve">بينك </t>
  </si>
  <si>
    <t xml:space="preserve">موف فاتح </t>
  </si>
  <si>
    <t>حـ/ الأحرف</t>
  </si>
  <si>
    <t>سعر التوكة</t>
  </si>
  <si>
    <t>M001005_A</t>
  </si>
  <si>
    <t>حنتي</t>
  </si>
  <si>
    <t>Welcome</t>
  </si>
  <si>
    <t>العروسة</t>
  </si>
  <si>
    <t>اقلوب الكبيرة</t>
  </si>
  <si>
    <t>To</t>
  </si>
  <si>
    <t>M001005_B</t>
  </si>
  <si>
    <t>خطوبتي</t>
  </si>
  <si>
    <t>الخاتم</t>
  </si>
  <si>
    <t>سلسلة القلوب</t>
  </si>
  <si>
    <t>القلوب</t>
  </si>
  <si>
    <t>سعر القطعة</t>
  </si>
  <si>
    <t>بوري</t>
  </si>
  <si>
    <t>أحمر</t>
  </si>
  <si>
    <t>Birthday</t>
  </si>
  <si>
    <t>بنفسجي</t>
  </si>
  <si>
    <t>بينك</t>
  </si>
  <si>
    <t>Happy</t>
  </si>
  <si>
    <t>أخضر</t>
  </si>
  <si>
    <t>لبني</t>
  </si>
  <si>
    <t>توكة سنة حلوة</t>
  </si>
  <si>
    <t>الفراشه</t>
  </si>
  <si>
    <t>أصفر</t>
  </si>
  <si>
    <t>العدد الناقص</t>
  </si>
  <si>
    <t>القلوب الكبيرة</t>
  </si>
  <si>
    <t>سلسة القلوب</t>
  </si>
  <si>
    <t>*</t>
  </si>
  <si>
    <t>موف جليتر</t>
  </si>
  <si>
    <t>أخضر تفاحي</t>
  </si>
  <si>
    <t>M001005_C</t>
  </si>
  <si>
    <t>M001005_D</t>
  </si>
  <si>
    <t>M001005_E</t>
  </si>
  <si>
    <t>Welcome Baby Boy Mickey</t>
  </si>
  <si>
    <t>Welcome Baby Girl Mini</t>
  </si>
  <si>
    <t>قراءة فتحتي</t>
  </si>
  <si>
    <t>الخواتم</t>
  </si>
  <si>
    <t>قلب كلام</t>
  </si>
  <si>
    <t>الكمية</t>
  </si>
  <si>
    <t>الإجمالي</t>
  </si>
  <si>
    <t>حـ/ البدلة</t>
  </si>
  <si>
    <t>حـ/ الفستان</t>
  </si>
  <si>
    <t>حـ/ شكل حنتي</t>
  </si>
  <si>
    <t>حـ/ شكل خطوبتي</t>
  </si>
  <si>
    <t>العدد من الحرف</t>
  </si>
  <si>
    <t>حـ/ فرع ال Happy Birthdaty</t>
  </si>
  <si>
    <t>نسبة الحرف من الفرع الكامل</t>
  </si>
  <si>
    <t>عدد الأحرف المتبقية</t>
  </si>
  <si>
    <t>تكلفة الفرع</t>
  </si>
  <si>
    <t>نسبة الحرف من التكلفة ألإجمالية</t>
  </si>
  <si>
    <t>النسبة الإجمالية لتكلفة الأحرف</t>
  </si>
  <si>
    <t>حـ/ توكة ميني</t>
  </si>
  <si>
    <t>حـ/ توكة تويتي</t>
  </si>
  <si>
    <t>العدد المعمول</t>
  </si>
  <si>
    <t>نسبة الشكل</t>
  </si>
  <si>
    <t>حـ/ توكة كيتي</t>
  </si>
  <si>
    <t>بدلة ميكي</t>
  </si>
  <si>
    <t>Baby</t>
  </si>
  <si>
    <t>Boy</t>
  </si>
  <si>
    <t>باقي جسم ميكي</t>
  </si>
  <si>
    <t>التكرار المحسوب</t>
  </si>
  <si>
    <t>المحسوب من التكرار</t>
  </si>
  <si>
    <t>المتبقى من التكرار</t>
  </si>
  <si>
    <t>M001001_N</t>
  </si>
  <si>
    <t>فرع Just Married</t>
  </si>
  <si>
    <t>كيس الذهب</t>
  </si>
  <si>
    <t>الحروف 01</t>
  </si>
  <si>
    <t>الحروف 02</t>
  </si>
  <si>
    <t>حـ/ شكل قراءة فتحتي</t>
  </si>
  <si>
    <t xml:space="preserve">أخضر تفاحي </t>
  </si>
  <si>
    <t>E</t>
  </si>
  <si>
    <t>F</t>
  </si>
  <si>
    <t>J</t>
  </si>
  <si>
    <t>K</t>
  </si>
  <si>
    <t>L</t>
  </si>
  <si>
    <t>M</t>
  </si>
  <si>
    <t>N</t>
  </si>
  <si>
    <t>O</t>
  </si>
  <si>
    <t>Q</t>
  </si>
  <si>
    <t>S</t>
  </si>
  <si>
    <t>U</t>
  </si>
  <si>
    <t>W</t>
  </si>
  <si>
    <t>Z</t>
  </si>
  <si>
    <t>الفرخ</t>
  </si>
  <si>
    <t>الفرع</t>
  </si>
  <si>
    <t>الشكل</t>
  </si>
  <si>
    <t>تكلفة الشيتات</t>
  </si>
  <si>
    <t>إجمالي  التكلفة</t>
  </si>
  <si>
    <t>إجمالي تكلفة الليزر</t>
  </si>
  <si>
    <t>تكلفة الحرف</t>
  </si>
  <si>
    <t>M05A01</t>
  </si>
  <si>
    <t>M05A02</t>
  </si>
  <si>
    <t>M05A03</t>
  </si>
  <si>
    <t>M05A04</t>
  </si>
  <si>
    <t>M05A05</t>
  </si>
  <si>
    <t>M05A06</t>
  </si>
  <si>
    <t>احمر</t>
  </si>
  <si>
    <t>M05B01</t>
  </si>
  <si>
    <t>M05B02</t>
  </si>
  <si>
    <t>M05B03</t>
  </si>
  <si>
    <t>M05B04</t>
  </si>
  <si>
    <t>M05B05</t>
  </si>
  <si>
    <t>M05B06</t>
  </si>
  <si>
    <t>M05B07</t>
  </si>
  <si>
    <t>M05C01</t>
  </si>
  <si>
    <t>M05C02</t>
  </si>
  <si>
    <t>M05C03</t>
  </si>
  <si>
    <t>M05C04</t>
  </si>
  <si>
    <t>M05C05</t>
  </si>
  <si>
    <t>M05C06</t>
  </si>
  <si>
    <t>M05C07</t>
  </si>
  <si>
    <t>ذهبي او اصفر</t>
  </si>
  <si>
    <t>Welcome to حنتي</t>
  </si>
  <si>
    <t>Welcome to خطوبتي</t>
  </si>
  <si>
    <t>Welcome to قراية فتحتي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</si>
</sst>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49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1" fillId="8" borderId="8" xfId="0" applyNumberFormat="1" applyFont="1" applyFill="1" applyBorder="1" applyAlignment="1">
      <alignment horizontal="center" vertical="center" wrapText="1"/>
    </xf>
    <xf numFmtId="2" fontId="1" fillId="8" borderId="0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 wrapText="1"/>
    </xf>
    <xf numFmtId="2" fontId="3" fillId="14" borderId="15" xfId="0" applyNumberFormat="1" applyFont="1" applyFill="1" applyBorder="1" applyAlignment="1">
      <alignment horizontal="center" vertical="center" wrapText="1"/>
    </xf>
    <xf numFmtId="2" fontId="4" fillId="14" borderId="0" xfId="0" applyNumberFormat="1" applyFont="1" applyFill="1" applyBorder="1" applyAlignment="1">
      <alignment horizontal="center" vertical="center" wrapText="1"/>
    </xf>
    <xf numFmtId="2" fontId="3" fillId="13" borderId="8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2" fontId="1" fillId="12" borderId="12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2" fontId="1" fillId="12" borderId="11" xfId="0" applyNumberFormat="1" applyFont="1" applyFill="1" applyBorder="1" applyAlignment="1">
      <alignment horizontal="center" vertical="center" wrapText="1"/>
    </xf>
    <xf numFmtId="2" fontId="1" fillId="8" borderId="11" xfId="0" applyNumberFormat="1" applyFont="1" applyFill="1" applyBorder="1" applyAlignment="1">
      <alignment horizontal="center" vertical="center" wrapText="1"/>
    </xf>
    <xf numFmtId="2" fontId="4" fillId="14" borderId="11" xfId="0" applyNumberFormat="1" applyFont="1" applyFill="1" applyBorder="1" applyAlignment="1">
      <alignment horizontal="center" vertical="center" wrapText="1"/>
    </xf>
    <xf numFmtId="2" fontId="1" fillId="4" borderId="11" xfId="0" applyNumberFormat="1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1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2" fontId="1" fillId="6" borderId="0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wrapText="1"/>
    </xf>
    <xf numFmtId="2" fontId="1" fillId="6" borderId="0" xfId="0" applyNumberFormat="1" applyFont="1" applyFill="1" applyAlignment="1">
      <alignment wrapText="1"/>
    </xf>
    <xf numFmtId="2" fontId="4" fillId="14" borderId="0" xfId="0" applyNumberFormat="1" applyFont="1" applyFill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2" fontId="1" fillId="12" borderId="3" xfId="0" applyNumberFormat="1" applyFont="1" applyFill="1" applyBorder="1" applyAlignment="1">
      <alignment horizontal="center" vertical="center" wrapText="1"/>
    </xf>
    <xf numFmtId="2" fontId="1" fillId="8" borderId="3" xfId="0" applyNumberFormat="1" applyFont="1" applyFill="1" applyBorder="1" applyAlignment="1">
      <alignment horizontal="center" vertical="center" wrapText="1"/>
    </xf>
    <xf numFmtId="2" fontId="4" fillId="14" borderId="3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1" borderId="0" xfId="0" applyFont="1" applyFill="1" applyAlignment="1">
      <alignment wrapText="1"/>
    </xf>
    <xf numFmtId="2" fontId="1" fillId="12" borderId="0" xfId="0" applyNumberFormat="1" applyFont="1" applyFill="1" applyAlignment="1">
      <alignment wrapText="1"/>
    </xf>
    <xf numFmtId="2" fontId="1" fillId="8" borderId="0" xfId="0" applyNumberFormat="1" applyFont="1" applyFill="1" applyAlignment="1">
      <alignment wrapText="1"/>
    </xf>
    <xf numFmtId="2" fontId="1" fillId="11" borderId="0" xfId="0" applyNumberFormat="1" applyFont="1" applyFill="1" applyAlignment="1">
      <alignment wrapText="1"/>
    </xf>
    <xf numFmtId="0" fontId="1" fillId="12" borderId="0" xfId="0" applyFont="1" applyFill="1" applyAlignment="1">
      <alignment wrapText="1"/>
    </xf>
    <xf numFmtId="2" fontId="1" fillId="4" borderId="0" xfId="0" applyNumberFormat="1" applyFont="1" applyFill="1" applyAlignment="1">
      <alignment wrapText="1"/>
    </xf>
    <xf numFmtId="2" fontId="1" fillId="8" borderId="1" xfId="0" applyNumberFormat="1" applyFont="1" applyFill="1" applyBorder="1" applyAlignment="1">
      <alignment horizontal="center" vertical="center" wrapText="1"/>
    </xf>
    <xf numFmtId="2" fontId="4" fillId="1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0" fillId="15" borderId="1" xfId="0" applyFill="1" applyBorder="1" applyAlignment="1">
      <alignment horizontal="center" vertical="center" wrapText="1"/>
    </xf>
    <xf numFmtId="2" fontId="0" fillId="16" borderId="12" xfId="0" applyNumberForma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2" fontId="5" fillId="0" borderId="14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2" fontId="5" fillId="8" borderId="13" xfId="0" applyNumberFormat="1" applyFont="1" applyFill="1" applyBorder="1" applyAlignment="1">
      <alignment horizontal="center" vertical="center" wrapText="1"/>
    </xf>
    <xf numFmtId="2" fontId="5" fillId="5" borderId="16" xfId="0" applyNumberFormat="1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 wrapText="1"/>
    </xf>
    <xf numFmtId="2" fontId="6" fillId="6" borderId="0" xfId="0" applyNumberFormat="1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2" fontId="1" fillId="5" borderId="8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2" fontId="4" fillId="0" borderId="0" xfId="0" applyNumberFormat="1" applyFont="1" applyFill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0" xfId="0" applyFont="1" applyFill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2" fontId="0" fillId="5" borderId="10" xfId="0" applyNumberForma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777F9"/>
      <color rgb="FFFFB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rightToLeft="1" workbookViewId="0">
      <selection activeCell="G3" sqref="G3"/>
    </sheetView>
  </sheetViews>
  <sheetFormatPr defaultRowHeight="15" x14ac:dyDescent="0.25"/>
  <cols>
    <col min="1" max="1" width="20.85546875" style="1" customWidth="1"/>
    <col min="2" max="16384" width="9.140625" style="1"/>
  </cols>
  <sheetData>
    <row r="1" spans="1:13" x14ac:dyDescent="0.25">
      <c r="A1" s="1" t="s">
        <v>131</v>
      </c>
      <c r="C1" s="1" t="s">
        <v>2</v>
      </c>
    </row>
    <row r="2" spans="1:13" x14ac:dyDescent="0.25">
      <c r="A2" s="1" t="s">
        <v>132</v>
      </c>
      <c r="C2" s="1" t="s">
        <v>9</v>
      </c>
    </row>
    <row r="3" spans="1:13" x14ac:dyDescent="0.25">
      <c r="A3" s="1" t="s">
        <v>133</v>
      </c>
      <c r="C3" s="1" t="s">
        <v>10</v>
      </c>
      <c r="H3" s="18" t="s">
        <v>2</v>
      </c>
      <c r="I3" s="156">
        <v>10</v>
      </c>
      <c r="J3" s="18" t="s">
        <v>103</v>
      </c>
      <c r="K3" s="156">
        <v>15</v>
      </c>
      <c r="L3" s="144" t="s">
        <v>226</v>
      </c>
      <c r="M3" s="1">
        <v>5</v>
      </c>
    </row>
    <row r="4" spans="1:13" x14ac:dyDescent="0.25">
      <c r="A4" s="1" t="s">
        <v>134</v>
      </c>
      <c r="C4" s="1" t="s">
        <v>11</v>
      </c>
      <c r="H4" s="18" t="s">
        <v>34</v>
      </c>
      <c r="I4" s="156">
        <v>10</v>
      </c>
      <c r="J4" s="144" t="s">
        <v>220</v>
      </c>
      <c r="K4" s="1">
        <v>5</v>
      </c>
      <c r="L4" s="144" t="s">
        <v>105</v>
      </c>
      <c r="M4" s="1">
        <v>10</v>
      </c>
    </row>
    <row r="5" spans="1:13" x14ac:dyDescent="0.25">
      <c r="A5" s="1" t="s">
        <v>135</v>
      </c>
      <c r="C5" s="1" t="s">
        <v>12</v>
      </c>
      <c r="H5" s="18" t="s">
        <v>35</v>
      </c>
      <c r="I5" s="156">
        <v>5</v>
      </c>
      <c r="J5" s="144" t="s">
        <v>221</v>
      </c>
      <c r="K5" s="1">
        <v>5</v>
      </c>
      <c r="L5" s="144" t="s">
        <v>227</v>
      </c>
      <c r="M5" s="1">
        <v>10</v>
      </c>
    </row>
    <row r="6" spans="1:13" x14ac:dyDescent="0.25">
      <c r="A6" s="1" t="s">
        <v>136</v>
      </c>
      <c r="C6" s="1" t="s">
        <v>13</v>
      </c>
      <c r="H6" s="18" t="s">
        <v>92</v>
      </c>
      <c r="I6" s="156">
        <v>5</v>
      </c>
      <c r="J6" s="144" t="s">
        <v>222</v>
      </c>
      <c r="K6" s="1">
        <v>10</v>
      </c>
      <c r="L6" s="144" t="s">
        <v>228</v>
      </c>
      <c r="M6" s="1">
        <v>5</v>
      </c>
    </row>
    <row r="7" spans="1:13" x14ac:dyDescent="0.25">
      <c r="A7" s="1" t="s">
        <v>137</v>
      </c>
      <c r="C7" s="1" t="s">
        <v>14</v>
      </c>
      <c r="H7" s="18" t="s">
        <v>218</v>
      </c>
      <c r="I7" s="156">
        <v>10</v>
      </c>
      <c r="J7" s="144" t="s">
        <v>223</v>
      </c>
      <c r="K7" s="1">
        <v>20</v>
      </c>
      <c r="L7" s="144" t="s">
        <v>229</v>
      </c>
      <c r="M7" s="1">
        <v>5</v>
      </c>
    </row>
    <row r="8" spans="1:13" x14ac:dyDescent="0.25">
      <c r="A8" s="1" t="s">
        <v>138</v>
      </c>
      <c r="C8" s="1" t="s">
        <v>15</v>
      </c>
      <c r="H8" s="18" t="s">
        <v>219</v>
      </c>
      <c r="I8" s="156">
        <v>5</v>
      </c>
      <c r="J8" s="18" t="s">
        <v>224</v>
      </c>
      <c r="K8" s="156">
        <v>15</v>
      </c>
      <c r="L8" s="144" t="s">
        <v>93</v>
      </c>
      <c r="M8" s="1">
        <v>7</v>
      </c>
    </row>
    <row r="9" spans="1:13" x14ac:dyDescent="0.25">
      <c r="A9" s="1" t="s">
        <v>139</v>
      </c>
      <c r="C9" s="1" t="s">
        <v>16</v>
      </c>
      <c r="H9" s="18" t="s">
        <v>108</v>
      </c>
      <c r="I9" s="156">
        <v>1</v>
      </c>
      <c r="J9" s="144" t="s">
        <v>225</v>
      </c>
      <c r="K9" s="1">
        <v>10</v>
      </c>
      <c r="L9" s="144" t="s">
        <v>230</v>
      </c>
      <c r="M9" s="1">
        <v>5</v>
      </c>
    </row>
    <row r="10" spans="1:13" x14ac:dyDescent="0.25">
      <c r="A10" s="1" t="s">
        <v>140</v>
      </c>
      <c r="C10" s="1" t="s">
        <v>17</v>
      </c>
    </row>
    <row r="11" spans="1:13" x14ac:dyDescent="0.25">
      <c r="A11" s="1" t="s">
        <v>141</v>
      </c>
      <c r="C11" s="1" t="s">
        <v>18</v>
      </c>
    </row>
    <row r="12" spans="1:13" x14ac:dyDescent="0.25">
      <c r="A12" s="1" t="s">
        <v>142</v>
      </c>
      <c r="C12" s="1" t="s">
        <v>19</v>
      </c>
    </row>
    <row r="13" spans="1:13" x14ac:dyDescent="0.25">
      <c r="A13" s="1" t="s">
        <v>143</v>
      </c>
      <c r="C13" s="1" t="s">
        <v>20</v>
      </c>
    </row>
    <row r="14" spans="1:13" x14ac:dyDescent="0.25">
      <c r="A14" s="1" t="s">
        <v>144</v>
      </c>
      <c r="C14" s="1" t="s">
        <v>21</v>
      </c>
    </row>
    <row r="15" spans="1:13" x14ac:dyDescent="0.25">
      <c r="A15" s="1" t="s">
        <v>145</v>
      </c>
      <c r="C15" s="1" t="s">
        <v>22</v>
      </c>
    </row>
    <row r="16" spans="1:13" x14ac:dyDescent="0.25">
      <c r="A16" s="1" t="s">
        <v>146</v>
      </c>
      <c r="C16" s="1" t="s">
        <v>23</v>
      </c>
    </row>
    <row r="17" spans="1:3" x14ac:dyDescent="0.25">
      <c r="A17" s="1" t="s">
        <v>161</v>
      </c>
      <c r="C17" s="1" t="s">
        <v>24</v>
      </c>
    </row>
    <row r="18" spans="1:3" x14ac:dyDescent="0.25">
      <c r="C18" s="1" t="s">
        <v>25</v>
      </c>
    </row>
    <row r="19" spans="1:3" x14ac:dyDescent="0.25">
      <c r="C19" s="1" t="s">
        <v>26</v>
      </c>
    </row>
    <row r="20" spans="1:3" x14ac:dyDescent="0.25">
      <c r="C20" s="1" t="s">
        <v>27</v>
      </c>
    </row>
    <row r="21" spans="1:3" x14ac:dyDescent="0.25">
      <c r="C21" s="1" t="s">
        <v>28</v>
      </c>
    </row>
    <row r="22" spans="1:3" x14ac:dyDescent="0.25">
      <c r="C22" s="1" t="s">
        <v>29</v>
      </c>
    </row>
    <row r="23" spans="1:3" x14ac:dyDescent="0.25">
      <c r="C23" s="1" t="s">
        <v>30</v>
      </c>
    </row>
    <row r="24" spans="1:3" x14ac:dyDescent="0.25">
      <c r="C24" s="1" t="s">
        <v>31</v>
      </c>
    </row>
    <row r="25" spans="1:3" x14ac:dyDescent="0.25">
      <c r="C25" s="1" t="s">
        <v>32</v>
      </c>
    </row>
    <row r="26" spans="1:3" x14ac:dyDescent="0.25">
      <c r="C26" s="1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rightToLeft="1" tabSelected="1" workbookViewId="0">
      <pane ySplit="2" topLeftCell="A3" activePane="bottomLeft" state="frozen"/>
      <selection pane="bottomLeft" activeCell="F1" sqref="F1"/>
    </sheetView>
  </sheetViews>
  <sheetFormatPr defaultRowHeight="15" x14ac:dyDescent="0.25"/>
  <cols>
    <col min="1" max="1" width="14.28515625" style="149" customWidth="1"/>
    <col min="2" max="2" width="12" style="84" customWidth="1"/>
    <col min="3" max="3" width="11.42578125" style="84" customWidth="1"/>
    <col min="4" max="4" width="12.42578125" style="147" customWidth="1"/>
    <col min="5" max="9" width="9.140625" style="84"/>
    <col min="10" max="10" width="12" style="84" customWidth="1"/>
    <col min="11" max="16384" width="9.140625" style="84"/>
  </cols>
  <sheetData>
    <row r="1" spans="1:8" ht="15.75" thickBot="1" x14ac:dyDescent="0.3">
      <c r="D1" s="154">
        <f>SUM(D4:D1002)</f>
        <v>4854</v>
      </c>
      <c r="E1" s="177">
        <f>2750+1800+300</f>
        <v>4850</v>
      </c>
      <c r="F1" s="176">
        <f>D1-E1</f>
        <v>4</v>
      </c>
      <c r="H1" s="157"/>
    </row>
    <row r="2" spans="1:8" ht="15.75" thickBot="1" x14ac:dyDescent="0.3">
      <c r="B2" s="151" t="s">
        <v>160</v>
      </c>
      <c r="C2" s="152" t="s">
        <v>186</v>
      </c>
      <c r="D2" s="153" t="s">
        <v>187</v>
      </c>
    </row>
    <row r="3" spans="1:8" x14ac:dyDescent="0.25">
      <c r="A3" s="158">
        <v>1</v>
      </c>
      <c r="B3" s="178" t="s">
        <v>147</v>
      </c>
      <c r="C3" s="178"/>
      <c r="D3" s="178"/>
    </row>
    <row r="4" spans="1:8" x14ac:dyDescent="0.25">
      <c r="A4" s="150" t="s">
        <v>231</v>
      </c>
      <c r="B4" s="85">
        <v>1.5</v>
      </c>
      <c r="C4" s="85">
        <v>59</v>
      </c>
      <c r="D4" s="148">
        <f>B4*C4</f>
        <v>88.5</v>
      </c>
    </row>
    <row r="5" spans="1:8" x14ac:dyDescent="0.25">
      <c r="A5" s="150" t="s">
        <v>231</v>
      </c>
      <c r="B5" s="85">
        <v>1.5</v>
      </c>
      <c r="C5" s="85">
        <v>178</v>
      </c>
      <c r="D5" s="148">
        <f>B5*C5</f>
        <v>267</v>
      </c>
    </row>
    <row r="6" spans="1:8" x14ac:dyDescent="0.25">
      <c r="A6" s="150"/>
    </row>
    <row r="7" spans="1:8" x14ac:dyDescent="0.25">
      <c r="A7" s="155">
        <v>2</v>
      </c>
      <c r="B7" s="179" t="s">
        <v>188</v>
      </c>
      <c r="C7" s="179"/>
      <c r="D7" s="179"/>
    </row>
    <row r="8" spans="1:8" x14ac:dyDescent="0.25">
      <c r="A8" s="149" t="s">
        <v>232</v>
      </c>
      <c r="B8" s="85">
        <v>1.75</v>
      </c>
      <c r="C8" s="85">
        <f>120+36</f>
        <v>156</v>
      </c>
      <c r="D8" s="148">
        <f>B8*C8</f>
        <v>273</v>
      </c>
    </row>
    <row r="10" spans="1:8" x14ac:dyDescent="0.25">
      <c r="A10" s="158">
        <v>3</v>
      </c>
      <c r="B10" s="179" t="s">
        <v>189</v>
      </c>
      <c r="C10" s="179"/>
      <c r="D10" s="179"/>
    </row>
    <row r="11" spans="1:8" x14ac:dyDescent="0.25">
      <c r="A11" s="149" t="s">
        <v>232</v>
      </c>
      <c r="B11" s="85">
        <v>2</v>
      </c>
      <c r="C11" s="85">
        <f>120+54</f>
        <v>174</v>
      </c>
      <c r="D11" s="148">
        <f>B11*C11</f>
        <v>348</v>
      </c>
    </row>
    <row r="13" spans="1:8" x14ac:dyDescent="0.25">
      <c r="A13" s="158">
        <v>4</v>
      </c>
      <c r="B13" s="179" t="s">
        <v>190</v>
      </c>
      <c r="C13" s="179"/>
      <c r="D13" s="179"/>
    </row>
    <row r="14" spans="1:8" x14ac:dyDescent="0.25">
      <c r="A14" s="149" t="s">
        <v>233</v>
      </c>
      <c r="B14" s="85">
        <v>2.5</v>
      </c>
      <c r="C14" s="85">
        <v>50</v>
      </c>
      <c r="D14" s="148">
        <f>B14*C14</f>
        <v>125</v>
      </c>
    </row>
    <row r="15" spans="1:8" x14ac:dyDescent="0.25">
      <c r="A15" s="149" t="s">
        <v>233</v>
      </c>
      <c r="B15" s="85">
        <v>2.5</v>
      </c>
      <c r="C15" s="85">
        <v>50</v>
      </c>
      <c r="D15" s="148">
        <f>B15*C15</f>
        <v>125</v>
      </c>
    </row>
    <row r="16" spans="1:8" x14ac:dyDescent="0.25">
      <c r="A16" s="149" t="s">
        <v>233</v>
      </c>
      <c r="B16" s="85">
        <v>2.5</v>
      </c>
      <c r="C16" s="85">
        <v>50</v>
      </c>
      <c r="D16" s="148">
        <f>B16*C16</f>
        <v>125</v>
      </c>
    </row>
    <row r="17" spans="1:4" x14ac:dyDescent="0.25">
      <c r="B17" s="149"/>
      <c r="C17" s="149"/>
      <c r="D17" s="149"/>
    </row>
    <row r="18" spans="1:4" ht="15" customHeight="1" x14ac:dyDescent="0.25">
      <c r="A18" s="158">
        <v>5</v>
      </c>
      <c r="B18" s="179" t="s">
        <v>191</v>
      </c>
      <c r="C18" s="179"/>
      <c r="D18" s="179"/>
    </row>
    <row r="19" spans="1:4" x14ac:dyDescent="0.25">
      <c r="A19" s="149" t="s">
        <v>233</v>
      </c>
      <c r="B19" s="85">
        <v>2.25</v>
      </c>
      <c r="C19" s="85">
        <v>50</v>
      </c>
      <c r="D19" s="148">
        <f>B19*C19</f>
        <v>112.5</v>
      </c>
    </row>
    <row r="20" spans="1:4" x14ac:dyDescent="0.25">
      <c r="A20" s="149" t="s">
        <v>233</v>
      </c>
      <c r="B20" s="85">
        <v>2.25</v>
      </c>
      <c r="C20" s="85">
        <v>50</v>
      </c>
      <c r="D20" s="148">
        <f>B20*C20</f>
        <v>112.5</v>
      </c>
    </row>
    <row r="21" spans="1:4" x14ac:dyDescent="0.25">
      <c r="A21" s="149" t="s">
        <v>233</v>
      </c>
      <c r="B21" s="85">
        <v>2.25</v>
      </c>
      <c r="C21" s="85">
        <v>50</v>
      </c>
      <c r="D21" s="148">
        <f>B21*C21</f>
        <v>112.5</v>
      </c>
    </row>
    <row r="22" spans="1:4" x14ac:dyDescent="0.25">
      <c r="B22" s="149"/>
      <c r="C22" s="149"/>
      <c r="D22" s="149"/>
    </row>
    <row r="23" spans="1:4" ht="15" customHeight="1" x14ac:dyDescent="0.25">
      <c r="A23" s="158">
        <v>6</v>
      </c>
      <c r="B23" s="179" t="s">
        <v>216</v>
      </c>
      <c r="C23" s="179"/>
      <c r="D23" s="179"/>
    </row>
    <row r="24" spans="1:4" x14ac:dyDescent="0.25">
      <c r="A24" s="149" t="s">
        <v>233</v>
      </c>
      <c r="B24" s="85">
        <v>2.5</v>
      </c>
      <c r="C24" s="85">
        <v>100</v>
      </c>
      <c r="D24" s="148">
        <f>B24*C24</f>
        <v>250</v>
      </c>
    </row>
    <row r="25" spans="1:4" x14ac:dyDescent="0.25">
      <c r="A25" s="149" t="s">
        <v>233</v>
      </c>
      <c r="B25" s="85">
        <v>2.5</v>
      </c>
      <c r="C25" s="85">
        <v>50</v>
      </c>
      <c r="D25" s="148">
        <f>B25*C25</f>
        <v>125</v>
      </c>
    </row>
    <row r="26" spans="1:4" x14ac:dyDescent="0.25">
      <c r="B26" s="149"/>
      <c r="C26" s="149"/>
      <c r="D26" s="149"/>
    </row>
    <row r="27" spans="1:4" ht="15" customHeight="1" x14ac:dyDescent="0.25">
      <c r="A27" s="158">
        <v>7</v>
      </c>
      <c r="B27" s="179" t="s">
        <v>193</v>
      </c>
      <c r="C27" s="179"/>
      <c r="D27" s="179"/>
    </row>
    <row r="28" spans="1:4" x14ac:dyDescent="0.25">
      <c r="A28" s="149" t="s">
        <v>231</v>
      </c>
      <c r="B28" s="85">
        <v>3</v>
      </c>
      <c r="C28" s="85">
        <v>210</v>
      </c>
      <c r="D28" s="148">
        <f>B28*C28</f>
        <v>630</v>
      </c>
    </row>
    <row r="29" spans="1:4" x14ac:dyDescent="0.25">
      <c r="B29" s="149"/>
      <c r="C29" s="149"/>
      <c r="D29" s="149"/>
    </row>
    <row r="30" spans="1:4" x14ac:dyDescent="0.25">
      <c r="A30" s="158">
        <v>8</v>
      </c>
      <c r="B30" s="179" t="s">
        <v>199</v>
      </c>
      <c r="C30" s="179"/>
      <c r="D30" s="179"/>
    </row>
    <row r="31" spans="1:4" x14ac:dyDescent="0.25">
      <c r="B31" s="85">
        <v>1.2</v>
      </c>
      <c r="C31" s="85">
        <v>600</v>
      </c>
      <c r="D31" s="148">
        <f>B31*C31</f>
        <v>720</v>
      </c>
    </row>
    <row r="32" spans="1:4" x14ac:dyDescent="0.25">
      <c r="B32" s="149"/>
      <c r="C32" s="149"/>
      <c r="D32" s="149"/>
    </row>
    <row r="33" spans="1:6" x14ac:dyDescent="0.25">
      <c r="A33" s="158">
        <v>9</v>
      </c>
      <c r="B33" s="179" t="s">
        <v>200</v>
      </c>
      <c r="C33" s="179"/>
      <c r="D33" s="179"/>
      <c r="F33" s="157"/>
    </row>
    <row r="34" spans="1:6" x14ac:dyDescent="0.25">
      <c r="B34" s="85">
        <v>1.2</v>
      </c>
      <c r="C34" s="85">
        <v>600</v>
      </c>
      <c r="D34" s="148">
        <f>B34*C34</f>
        <v>720</v>
      </c>
    </row>
    <row r="35" spans="1:6" x14ac:dyDescent="0.25">
      <c r="B35" s="149"/>
      <c r="C35" s="149"/>
      <c r="D35" s="149"/>
    </row>
    <row r="36" spans="1:6" x14ac:dyDescent="0.25">
      <c r="A36" s="158">
        <v>10</v>
      </c>
      <c r="B36" s="179" t="s">
        <v>203</v>
      </c>
      <c r="C36" s="179"/>
      <c r="D36" s="179"/>
    </row>
    <row r="37" spans="1:6" x14ac:dyDescent="0.25">
      <c r="B37" s="85">
        <v>1.2</v>
      </c>
      <c r="C37" s="85">
        <v>600</v>
      </c>
      <c r="D37" s="148">
        <f>B37*C37</f>
        <v>720</v>
      </c>
    </row>
  </sheetData>
  <mergeCells count="10">
    <mergeCell ref="B23:D23"/>
    <mergeCell ref="B27:D27"/>
    <mergeCell ref="B30:D30"/>
    <mergeCell ref="B33:D33"/>
    <mergeCell ref="B36:D36"/>
    <mergeCell ref="B3:D3"/>
    <mergeCell ref="B7:D7"/>
    <mergeCell ref="B10:D10"/>
    <mergeCell ref="B13:D13"/>
    <mergeCell ref="B18:D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rightToLeft="1" workbookViewId="0">
      <selection activeCell="F10" sqref="F10"/>
    </sheetView>
  </sheetViews>
  <sheetFormatPr defaultColWidth="17.7109375" defaultRowHeight="21.95" customHeight="1" x14ac:dyDescent="0.25"/>
  <cols>
    <col min="1" max="3" width="17.7109375" style="1"/>
    <col min="4" max="4" width="3.140625" style="1" customWidth="1"/>
    <col min="5" max="7" width="17.7109375" style="1"/>
    <col min="8" max="8" width="2.140625" style="1" customWidth="1"/>
    <col min="9" max="16384" width="17.7109375" style="1"/>
  </cols>
  <sheetData>
    <row r="1" spans="1:7" ht="21.95" customHeight="1" thickBot="1" x14ac:dyDescent="0.3">
      <c r="A1" s="180" t="s">
        <v>260</v>
      </c>
      <c r="B1" s="181"/>
      <c r="C1" s="182"/>
      <c r="E1" s="180" t="s">
        <v>261</v>
      </c>
      <c r="F1" s="181"/>
      <c r="G1" s="182"/>
    </row>
    <row r="2" spans="1:7" ht="21.95" customHeight="1" thickBot="1" x14ac:dyDescent="0.3">
      <c r="A2" s="171"/>
      <c r="B2" s="173" t="s">
        <v>42</v>
      </c>
      <c r="C2" s="172" t="s">
        <v>1</v>
      </c>
      <c r="E2" s="171"/>
      <c r="F2" s="173" t="s">
        <v>42</v>
      </c>
      <c r="G2" s="172" t="s">
        <v>1</v>
      </c>
    </row>
    <row r="3" spans="1:7" ht="21.95" customHeight="1" x14ac:dyDescent="0.25">
      <c r="A3" s="167" t="s">
        <v>238</v>
      </c>
      <c r="B3" s="174">
        <v>5</v>
      </c>
      <c r="C3" s="168"/>
      <c r="E3" s="167" t="s">
        <v>245</v>
      </c>
      <c r="F3" s="174">
        <v>5</v>
      </c>
      <c r="G3" s="168"/>
    </row>
    <row r="4" spans="1:7" ht="21.95" customHeight="1" x14ac:dyDescent="0.25">
      <c r="A4" s="167" t="s">
        <v>239</v>
      </c>
      <c r="B4" s="174">
        <v>7</v>
      </c>
      <c r="C4" s="168"/>
      <c r="E4" s="167" t="s">
        <v>246</v>
      </c>
      <c r="F4" s="174">
        <v>4</v>
      </c>
      <c r="G4" s="168"/>
    </row>
    <row r="5" spans="1:7" ht="21.95" customHeight="1" x14ac:dyDescent="0.25">
      <c r="A5" s="167" t="s">
        <v>240</v>
      </c>
      <c r="B5" s="174">
        <v>2</v>
      </c>
      <c r="C5" s="168"/>
      <c r="E5" s="167" t="s">
        <v>247</v>
      </c>
      <c r="F5" s="174">
        <v>2</v>
      </c>
      <c r="G5" s="168"/>
    </row>
    <row r="6" spans="1:7" ht="21.95" customHeight="1" x14ac:dyDescent="0.25">
      <c r="A6" s="167" t="s">
        <v>241</v>
      </c>
      <c r="B6" s="174">
        <v>4</v>
      </c>
      <c r="C6" s="168"/>
      <c r="E6" s="167" t="s">
        <v>248</v>
      </c>
      <c r="F6" s="174">
        <v>2</v>
      </c>
      <c r="G6" s="168" t="s">
        <v>259</v>
      </c>
    </row>
    <row r="7" spans="1:7" ht="21.95" customHeight="1" x14ac:dyDescent="0.25">
      <c r="A7" s="167" t="s">
        <v>242</v>
      </c>
      <c r="B7" s="174">
        <v>3</v>
      </c>
      <c r="C7" s="168" t="s">
        <v>244</v>
      </c>
      <c r="E7" s="167" t="s">
        <v>249</v>
      </c>
      <c r="F7" s="174">
        <v>1</v>
      </c>
      <c r="G7" s="168" t="s">
        <v>244</v>
      </c>
    </row>
    <row r="8" spans="1:7" ht="21.95" customHeight="1" thickBot="1" x14ac:dyDescent="0.3">
      <c r="A8" s="169" t="s">
        <v>243</v>
      </c>
      <c r="B8" s="175">
        <v>50</v>
      </c>
      <c r="C8" s="170" t="s">
        <v>161</v>
      </c>
      <c r="E8" s="167" t="s">
        <v>250</v>
      </c>
      <c r="F8" s="174">
        <v>2</v>
      </c>
      <c r="G8" s="168"/>
    </row>
    <row r="9" spans="1:7" ht="21.95" customHeight="1" thickBot="1" x14ac:dyDescent="0.3">
      <c r="A9" s="166"/>
      <c r="B9" s="166"/>
      <c r="C9" s="166"/>
      <c r="E9" s="169" t="s">
        <v>251</v>
      </c>
      <c r="F9" s="175">
        <v>50</v>
      </c>
      <c r="G9" s="170" t="s">
        <v>161</v>
      </c>
    </row>
    <row r="10" spans="1:7" ht="21.95" customHeight="1" thickBot="1" x14ac:dyDescent="0.3"/>
    <row r="11" spans="1:7" ht="21.95" customHeight="1" thickBot="1" x14ac:dyDescent="0.3">
      <c r="A11" s="180" t="s">
        <v>262</v>
      </c>
      <c r="B11" s="181"/>
      <c r="C11" s="182"/>
    </row>
    <row r="12" spans="1:7" ht="21.95" customHeight="1" thickBot="1" x14ac:dyDescent="0.3">
      <c r="A12" s="171"/>
      <c r="B12" s="173" t="s">
        <v>42</v>
      </c>
      <c r="C12" s="172" t="s">
        <v>1</v>
      </c>
    </row>
    <row r="13" spans="1:7" ht="21.95" customHeight="1" x14ac:dyDescent="0.25">
      <c r="A13" s="167" t="s">
        <v>252</v>
      </c>
      <c r="B13" s="174">
        <v>5</v>
      </c>
      <c r="C13" s="168"/>
    </row>
    <row r="14" spans="1:7" ht="21.95" customHeight="1" x14ac:dyDescent="0.25">
      <c r="A14" s="167" t="s">
        <v>253</v>
      </c>
      <c r="B14" s="174">
        <v>6</v>
      </c>
      <c r="C14" s="168"/>
    </row>
    <row r="15" spans="1:7" ht="21.95" customHeight="1" x14ac:dyDescent="0.25">
      <c r="A15" s="167" t="s">
        <v>254</v>
      </c>
      <c r="B15" s="174">
        <v>2</v>
      </c>
      <c r="C15" s="168"/>
    </row>
    <row r="16" spans="1:7" ht="21.95" customHeight="1" x14ac:dyDescent="0.25">
      <c r="A16" s="167" t="s">
        <v>255</v>
      </c>
      <c r="B16" s="174">
        <v>2</v>
      </c>
      <c r="C16" s="168" t="s">
        <v>259</v>
      </c>
    </row>
    <row r="17" spans="1:3" ht="21.95" customHeight="1" x14ac:dyDescent="0.25">
      <c r="A17" s="167" t="s">
        <v>256</v>
      </c>
      <c r="B17" s="174">
        <v>1</v>
      </c>
      <c r="C17" s="168" t="s">
        <v>244</v>
      </c>
    </row>
    <row r="18" spans="1:3" ht="21.95" customHeight="1" x14ac:dyDescent="0.25">
      <c r="A18" s="167" t="s">
        <v>257</v>
      </c>
      <c r="B18" s="174">
        <v>1</v>
      </c>
      <c r="C18" s="168"/>
    </row>
    <row r="19" spans="1:3" ht="21.95" customHeight="1" thickBot="1" x14ac:dyDescent="0.3">
      <c r="A19" s="169" t="s">
        <v>258</v>
      </c>
      <c r="B19" s="175">
        <v>50</v>
      </c>
      <c r="C19" s="170" t="s">
        <v>161</v>
      </c>
    </row>
  </sheetData>
  <mergeCells count="3">
    <mergeCell ref="A1:C1"/>
    <mergeCell ref="E1:G1"/>
    <mergeCell ref="A11:C11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1"/>
  <sheetViews>
    <sheetView rightToLeft="1" workbookViewId="0">
      <pane ySplit="2" topLeftCell="A36" activePane="bottomLeft" state="frozen"/>
      <selection pane="bottomLeft" activeCell="K42" sqref="K42"/>
    </sheetView>
  </sheetViews>
  <sheetFormatPr defaultRowHeight="15" x14ac:dyDescent="0.25"/>
  <cols>
    <col min="1" max="1" width="9.140625" style="2"/>
    <col min="2" max="2" width="9.140625" style="70"/>
    <col min="3" max="3" width="15" style="2" customWidth="1"/>
    <col min="4" max="16384" width="9.140625" style="2"/>
  </cols>
  <sheetData>
    <row r="1" spans="2:14" ht="30" x14ac:dyDescent="0.25">
      <c r="D1" s="2" t="s">
        <v>41</v>
      </c>
      <c r="E1" s="2" t="s">
        <v>172</v>
      </c>
      <c r="F1" s="2" t="s">
        <v>162</v>
      </c>
      <c r="G1" s="2" t="s">
        <v>164</v>
      </c>
      <c r="H1" s="2" t="s">
        <v>165</v>
      </c>
      <c r="I1" s="2" t="s">
        <v>45</v>
      </c>
      <c r="J1" s="2" t="s">
        <v>167</v>
      </c>
      <c r="K1" s="2" t="s">
        <v>168</v>
      </c>
      <c r="L1" s="2" t="s">
        <v>171</v>
      </c>
      <c r="M1" s="2" t="s">
        <v>176</v>
      </c>
      <c r="N1" s="2" t="s">
        <v>177</v>
      </c>
    </row>
    <row r="2" spans="2:14" x14ac:dyDescent="0.25">
      <c r="D2" s="2">
        <f>SUM(D3:D100001)</f>
        <v>256</v>
      </c>
      <c r="E2" s="2">
        <f>SUM(E3:E100001)</f>
        <v>203</v>
      </c>
      <c r="F2" s="2">
        <f>SUM(F3:F100001)</f>
        <v>21</v>
      </c>
      <c r="G2" s="2">
        <f t="shared" ref="G2:N2" si="0">SUM(G3:G100001)</f>
        <v>0</v>
      </c>
      <c r="H2" s="2">
        <f t="shared" si="0"/>
        <v>15</v>
      </c>
      <c r="I2" s="2">
        <f t="shared" si="0"/>
        <v>9</v>
      </c>
      <c r="J2" s="2">
        <f t="shared" si="0"/>
        <v>0</v>
      </c>
      <c r="K2" s="2">
        <v>13</v>
      </c>
      <c r="L2" s="2">
        <f t="shared" si="0"/>
        <v>1</v>
      </c>
      <c r="M2" s="2">
        <f t="shared" si="0"/>
        <v>0</v>
      </c>
      <c r="N2" s="2">
        <f t="shared" si="0"/>
        <v>0</v>
      </c>
    </row>
    <row r="3" spans="2:14" s="69" customFormat="1" x14ac:dyDescent="0.25">
      <c r="B3" s="71"/>
      <c r="C3" s="69" t="s">
        <v>37</v>
      </c>
    </row>
    <row r="4" spans="2:14" x14ac:dyDescent="0.25">
      <c r="B4" s="70" t="s">
        <v>175</v>
      </c>
      <c r="C4" s="2" t="s">
        <v>38</v>
      </c>
      <c r="D4" s="2">
        <v>1</v>
      </c>
      <c r="E4" s="2">
        <f>D4-(F4+G4+H4+I4+J4+K4+L4+M4+N4+O4+P4+Q4+R4+S4)</f>
        <v>0</v>
      </c>
      <c r="I4" s="72">
        <v>1</v>
      </c>
    </row>
    <row r="5" spans="2:14" x14ac:dyDescent="0.25">
      <c r="B5" s="70" t="s">
        <v>175</v>
      </c>
      <c r="C5" s="2" t="s">
        <v>47</v>
      </c>
      <c r="D5" s="2">
        <v>2</v>
      </c>
      <c r="E5" s="2">
        <f>D5-(F5+G5+H5+I5+J5+K5+L5+M5+N5+O5+P5+Q5+R5+S5)</f>
        <v>2</v>
      </c>
      <c r="F5" s="75">
        <v>0</v>
      </c>
    </row>
    <row r="6" spans="2:14" x14ac:dyDescent="0.25">
      <c r="C6" s="2" t="s">
        <v>163</v>
      </c>
      <c r="D6" s="2">
        <v>7</v>
      </c>
      <c r="E6" s="2">
        <f>D6-(F6+G6+H6+I6+J6+K6+L6+M6+N6+O6+P6+Q6+R6+S6)</f>
        <v>7</v>
      </c>
      <c r="F6" s="75">
        <v>0</v>
      </c>
      <c r="L6" s="74"/>
    </row>
    <row r="8" spans="2:14" s="69" customFormat="1" x14ac:dyDescent="0.25">
      <c r="B8" s="71"/>
      <c r="C8" s="69" t="s">
        <v>58</v>
      </c>
    </row>
    <row r="9" spans="2:14" x14ac:dyDescent="0.25">
      <c r="C9" s="2" t="s">
        <v>166</v>
      </c>
      <c r="D9" s="2">
        <v>9</v>
      </c>
      <c r="E9" s="2">
        <f>D9-(F9+G9+H9+I9+J9+K9+L9+M9+N9+O9+P9+Q9+R9+S9)</f>
        <v>9</v>
      </c>
      <c r="H9" s="77">
        <v>0</v>
      </c>
    </row>
    <row r="10" spans="2:14" x14ac:dyDescent="0.25">
      <c r="C10" s="2" t="s">
        <v>163</v>
      </c>
      <c r="D10" s="2">
        <v>25</v>
      </c>
      <c r="E10" s="2">
        <f>D10-(F10+G10+H10+I10+J10+K10+L10+M10+N10+O10+P10+Q10+R10+S10)</f>
        <v>25</v>
      </c>
      <c r="F10" s="75">
        <f>25-9-6-10</f>
        <v>0</v>
      </c>
    </row>
    <row r="12" spans="2:14" s="69" customFormat="1" x14ac:dyDescent="0.25">
      <c r="B12" s="71"/>
      <c r="C12" s="69" t="s">
        <v>71</v>
      </c>
    </row>
    <row r="13" spans="2:14" s="74" customFormat="1" x14ac:dyDescent="0.25">
      <c r="B13" s="73" t="s">
        <v>175</v>
      </c>
      <c r="C13" s="74" t="s">
        <v>72</v>
      </c>
      <c r="D13" s="74">
        <v>4</v>
      </c>
      <c r="E13" s="2">
        <f>D13-(F13+G13+H13+I13+J13+K13+L13+M13+N13+O13+P13+Q13+R13+S13)</f>
        <v>0</v>
      </c>
      <c r="I13" s="72">
        <v>4</v>
      </c>
    </row>
    <row r="14" spans="2:14" x14ac:dyDescent="0.25">
      <c r="C14" s="2" t="s">
        <v>166</v>
      </c>
      <c r="D14" s="2">
        <v>10</v>
      </c>
      <c r="E14" s="2">
        <f>D14-(F14+G14+H14+I14+J14+K14+L14+M14+N14+O14+P14+Q14+R14+S14)</f>
        <v>10</v>
      </c>
      <c r="F14" s="75">
        <f>10-7-3</f>
        <v>0</v>
      </c>
    </row>
    <row r="15" spans="2:14" x14ac:dyDescent="0.25">
      <c r="C15" s="2" t="s">
        <v>163</v>
      </c>
      <c r="D15" s="2">
        <v>25</v>
      </c>
      <c r="E15" s="2">
        <f>D15-(F15+G15+H15+I15+J15+K15+L15+M15+N15+O15+P15+Q15+R15+S15)</f>
        <v>0</v>
      </c>
      <c r="F15" s="75">
        <v>10</v>
      </c>
      <c r="H15" s="77">
        <v>15</v>
      </c>
    </row>
    <row r="17" spans="2:6" s="69" customFormat="1" x14ac:dyDescent="0.25">
      <c r="B17" s="71"/>
      <c r="C17" s="69" t="s">
        <v>169</v>
      </c>
    </row>
    <row r="18" spans="2:6" x14ac:dyDescent="0.25">
      <c r="C18" s="2" t="s">
        <v>170</v>
      </c>
      <c r="D18" s="2">
        <v>8</v>
      </c>
      <c r="E18" s="2">
        <f>D18-(F18+G18+H18+I18+J18+K18+L18+M18+N18+O18+P18+Q18+R18+S18)</f>
        <v>8</v>
      </c>
      <c r="F18" s="74"/>
    </row>
    <row r="19" spans="2:6" x14ac:dyDescent="0.25">
      <c r="C19" s="2" t="s">
        <v>80</v>
      </c>
      <c r="D19" s="2">
        <v>5</v>
      </c>
      <c r="E19" s="2">
        <f>D19-(F19+G19+H19+I19+J19+K19+L19+M19+N19+O19+P19+Q19+R19+S19)</f>
        <v>5</v>
      </c>
    </row>
    <row r="20" spans="2:6" x14ac:dyDescent="0.25">
      <c r="C20" s="2" t="s">
        <v>83</v>
      </c>
      <c r="D20" s="2">
        <v>5</v>
      </c>
      <c r="E20" s="2">
        <f>D20-(F20+G20+H20+I20+J20+K20+L20+M20+N20+O20+P20+Q20+R20+S20)</f>
        <v>5</v>
      </c>
    </row>
    <row r="21" spans="2:6" x14ac:dyDescent="0.25">
      <c r="C21" s="2" t="s">
        <v>84</v>
      </c>
      <c r="D21" s="2">
        <v>5</v>
      </c>
      <c r="E21" s="2">
        <f>D21-(F21+G21+H21+I21+J21+K21+L21+M21+N21+O21+P21+Q21+R21+S21)</f>
        <v>5</v>
      </c>
    </row>
    <row r="23" spans="2:6" s="69" customFormat="1" ht="30" x14ac:dyDescent="0.25">
      <c r="B23" s="71"/>
      <c r="C23" s="69" t="s">
        <v>102</v>
      </c>
    </row>
    <row r="24" spans="2:6" x14ac:dyDescent="0.25">
      <c r="C24" s="2" t="s">
        <v>103</v>
      </c>
      <c r="D24" s="2">
        <v>10</v>
      </c>
      <c r="E24" s="2">
        <f t="shared" ref="E24:E36" si="1">D24-(F24+G24+H24+I24+J24+K24+L24+M24+N24+O24+P24+Q24+R24+S24)</f>
        <v>10</v>
      </c>
    </row>
    <row r="25" spans="2:6" x14ac:dyDescent="0.25">
      <c r="C25" s="2" t="s">
        <v>2</v>
      </c>
      <c r="D25" s="2">
        <v>9</v>
      </c>
      <c r="E25" s="2">
        <f t="shared" si="1"/>
        <v>9</v>
      </c>
    </row>
    <row r="26" spans="2:6" x14ac:dyDescent="0.25">
      <c r="C26" s="2" t="s">
        <v>36</v>
      </c>
      <c r="D26" s="2">
        <v>9</v>
      </c>
      <c r="E26" s="2">
        <f t="shared" si="1"/>
        <v>9</v>
      </c>
    </row>
    <row r="27" spans="2:6" x14ac:dyDescent="0.25">
      <c r="C27" s="2" t="s">
        <v>36</v>
      </c>
      <c r="D27" s="2">
        <v>9</v>
      </c>
      <c r="E27" s="2">
        <f t="shared" si="1"/>
        <v>9</v>
      </c>
    </row>
    <row r="28" spans="2:6" x14ac:dyDescent="0.25">
      <c r="C28" s="2" t="s">
        <v>93</v>
      </c>
      <c r="D28" s="2">
        <v>9</v>
      </c>
      <c r="E28" s="2">
        <f t="shared" si="1"/>
        <v>9</v>
      </c>
    </row>
    <row r="29" spans="2:6" x14ac:dyDescent="0.25">
      <c r="C29" s="2" t="s">
        <v>34</v>
      </c>
      <c r="D29" s="2">
        <v>10</v>
      </c>
      <c r="E29" s="2">
        <f t="shared" si="1"/>
        <v>10</v>
      </c>
    </row>
    <row r="30" spans="2:6" x14ac:dyDescent="0.25">
      <c r="C30" s="2" t="s">
        <v>104</v>
      </c>
      <c r="D30" s="2">
        <v>5</v>
      </c>
      <c r="E30" s="2">
        <f t="shared" si="1"/>
        <v>5</v>
      </c>
    </row>
    <row r="31" spans="2:6" x14ac:dyDescent="0.25">
      <c r="C31" s="2" t="s">
        <v>105</v>
      </c>
      <c r="D31" s="2">
        <v>8</v>
      </c>
      <c r="E31" s="2">
        <f t="shared" si="1"/>
        <v>8</v>
      </c>
    </row>
    <row r="32" spans="2:6" x14ac:dyDescent="0.25">
      <c r="C32" s="2" t="s">
        <v>106</v>
      </c>
      <c r="D32" s="2">
        <v>4</v>
      </c>
      <c r="E32" s="2">
        <f t="shared" si="1"/>
        <v>4</v>
      </c>
    </row>
    <row r="33" spans="2:13" x14ac:dyDescent="0.25">
      <c r="C33" s="2" t="s">
        <v>103</v>
      </c>
      <c r="D33" s="2">
        <v>10</v>
      </c>
      <c r="E33" s="2">
        <f t="shared" si="1"/>
        <v>10</v>
      </c>
    </row>
    <row r="34" spans="2:13" x14ac:dyDescent="0.25">
      <c r="C34" s="2" t="s">
        <v>92</v>
      </c>
      <c r="D34" s="2">
        <v>12</v>
      </c>
      <c r="E34" s="2">
        <f t="shared" si="1"/>
        <v>12</v>
      </c>
    </row>
    <row r="35" spans="2:13" x14ac:dyDescent="0.25">
      <c r="C35" s="2" t="s">
        <v>2</v>
      </c>
      <c r="D35" s="2">
        <v>9</v>
      </c>
      <c r="E35" s="2">
        <f t="shared" si="1"/>
        <v>9</v>
      </c>
    </row>
    <row r="36" spans="2:13" x14ac:dyDescent="0.25">
      <c r="C36" s="2" t="s">
        <v>93</v>
      </c>
      <c r="D36" s="2">
        <v>9</v>
      </c>
      <c r="E36" s="2">
        <f t="shared" si="1"/>
        <v>9</v>
      </c>
    </row>
    <row r="38" spans="2:13" s="69" customFormat="1" ht="30" customHeight="1" x14ac:dyDescent="0.25">
      <c r="B38" s="71"/>
      <c r="C38" s="69" t="s">
        <v>150</v>
      </c>
    </row>
    <row r="39" spans="2:13" x14ac:dyDescent="0.25">
      <c r="C39" s="2" t="s">
        <v>151</v>
      </c>
      <c r="D39" s="2">
        <v>5</v>
      </c>
      <c r="E39" s="2">
        <f>D39-(F39+G39+H39+I39+J39+K39+L39+M39+N39+O39+P39+Q39+R39+S39)</f>
        <v>0</v>
      </c>
      <c r="F39" s="75">
        <v>5</v>
      </c>
      <c r="H39" s="74"/>
      <c r="M39" s="74"/>
    </row>
    <row r="40" spans="2:13" x14ac:dyDescent="0.25">
      <c r="C40" s="2" t="s">
        <v>150</v>
      </c>
      <c r="D40" s="2">
        <v>7</v>
      </c>
      <c r="E40" s="2">
        <f>D40-(F40+G40+H40+I40+J40+K40+L40+M40+N40+O40+P40+Q40+R40+S40)</f>
        <v>0</v>
      </c>
      <c r="K40" s="69">
        <f>7</f>
        <v>7</v>
      </c>
    </row>
    <row r="41" spans="2:13" x14ac:dyDescent="0.25">
      <c r="C41" s="2" t="s">
        <v>154</v>
      </c>
      <c r="D41" s="2">
        <v>2</v>
      </c>
      <c r="E41" s="2">
        <f>D41-(F41+G41+H41+I41+J41+K41+L41+M41+N41+O41+P41+Q41+R41+S41)</f>
        <v>1</v>
      </c>
      <c r="L41" s="76">
        <f>2-1</f>
        <v>1</v>
      </c>
    </row>
    <row r="42" spans="2:13" x14ac:dyDescent="0.25">
      <c r="C42" s="2" t="s">
        <v>152</v>
      </c>
      <c r="D42" s="2">
        <v>4</v>
      </c>
      <c r="E42" s="2">
        <f>D42-(F42+G42+H42+I42+J42+K42+L42+M42+N42+O42+P42+Q42+R42+S42)</f>
        <v>0</v>
      </c>
      <c r="F42" s="74"/>
      <c r="I42" s="72">
        <v>4</v>
      </c>
      <c r="L42" s="74"/>
    </row>
    <row r="43" spans="2:13" x14ac:dyDescent="0.25">
      <c r="B43" s="70" t="s">
        <v>175</v>
      </c>
      <c r="C43" s="2" t="s">
        <v>173</v>
      </c>
      <c r="D43" s="2">
        <v>3</v>
      </c>
      <c r="E43" s="2">
        <f>D43-(F43+G43+H43+I43+J43+K43+L43+M43+N43+O43+P43+Q43+R43+S43)</f>
        <v>0</v>
      </c>
      <c r="F43" s="75">
        <f>3</f>
        <v>3</v>
      </c>
    </row>
    <row r="45" spans="2:13" s="69" customFormat="1" ht="30" customHeight="1" x14ac:dyDescent="0.25">
      <c r="B45" s="71"/>
      <c r="C45" s="69" t="s">
        <v>156</v>
      </c>
    </row>
    <row r="46" spans="2:13" x14ac:dyDescent="0.25">
      <c r="C46" s="2" t="s">
        <v>151</v>
      </c>
      <c r="D46" s="2">
        <v>5</v>
      </c>
      <c r="E46" s="2">
        <f t="shared" ref="E46:E51" si="2">D46-(F46+G46+H46+I46+J46+K46+L46+M46+N46+O46+P46+Q46+R46+S46)</f>
        <v>5</v>
      </c>
      <c r="H46" s="77">
        <f>5-5</f>
        <v>0</v>
      </c>
    </row>
    <row r="47" spans="2:13" x14ac:dyDescent="0.25">
      <c r="C47" s="2" t="s">
        <v>156</v>
      </c>
      <c r="D47" s="2">
        <v>4</v>
      </c>
      <c r="E47" s="2">
        <f t="shared" si="2"/>
        <v>4</v>
      </c>
      <c r="K47" s="69">
        <f>4-4</f>
        <v>0</v>
      </c>
    </row>
    <row r="48" spans="2:13" x14ac:dyDescent="0.25">
      <c r="C48" s="2" t="s">
        <v>154</v>
      </c>
      <c r="D48" s="2">
        <v>2</v>
      </c>
      <c r="E48" s="2">
        <f t="shared" si="2"/>
        <v>2</v>
      </c>
      <c r="L48" s="76">
        <f>2-2</f>
        <v>0</v>
      </c>
    </row>
    <row r="49" spans="2:12" x14ac:dyDescent="0.25">
      <c r="C49" s="2" t="s">
        <v>157</v>
      </c>
      <c r="D49" s="2">
        <v>2</v>
      </c>
      <c r="E49" s="2">
        <f t="shared" si="2"/>
        <v>2</v>
      </c>
      <c r="L49" s="76">
        <f>1-1</f>
        <v>0</v>
      </c>
    </row>
    <row r="50" spans="2:12" x14ac:dyDescent="0.25">
      <c r="B50" s="70" t="s">
        <v>175</v>
      </c>
      <c r="C50" s="2" t="s">
        <v>174</v>
      </c>
      <c r="D50" s="2">
        <v>1</v>
      </c>
      <c r="E50" s="2">
        <f t="shared" si="2"/>
        <v>0</v>
      </c>
      <c r="F50" s="75">
        <v>1</v>
      </c>
    </row>
    <row r="51" spans="2:12" x14ac:dyDescent="0.25">
      <c r="B51" s="70" t="s">
        <v>175</v>
      </c>
      <c r="C51" s="2" t="s">
        <v>159</v>
      </c>
      <c r="D51" s="2">
        <v>2</v>
      </c>
      <c r="E51" s="2">
        <f t="shared" si="2"/>
        <v>0</v>
      </c>
      <c r="F51" s="7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rightToLeft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7109375" style="5" customWidth="1"/>
    <col min="2" max="2" width="12.42578125" style="4" customWidth="1"/>
    <col min="3" max="3" width="9.5703125" style="3" customWidth="1"/>
    <col min="4" max="4" width="15.7109375" style="3" customWidth="1"/>
    <col min="5" max="5" width="12.7109375" style="3" customWidth="1"/>
    <col min="6" max="9" width="9.140625" style="30"/>
    <col min="10" max="10" width="8.5703125" style="29" customWidth="1"/>
    <col min="11" max="11" width="11.85546875" style="31" customWidth="1"/>
    <col min="12" max="12" width="7.42578125" style="29" customWidth="1"/>
    <col min="13" max="13" width="12.7109375" style="31" customWidth="1"/>
    <col min="14" max="14" width="9.140625" style="29"/>
    <col min="15" max="15" width="10.85546875" style="31" customWidth="1"/>
    <col min="16" max="16" width="8.28515625" style="29" customWidth="1"/>
    <col min="17" max="17" width="10.42578125" style="31" bestFit="1" customWidth="1"/>
    <col min="18" max="18" width="9.140625" style="31"/>
    <col min="19" max="19" width="9.140625" style="30"/>
    <col min="20" max="20" width="9.140625" style="31"/>
    <col min="21" max="16384" width="9.140625" style="1"/>
  </cols>
  <sheetData>
    <row r="1" spans="1:23" s="2" customFormat="1" ht="45.75" thickBot="1" x14ac:dyDescent="0.3">
      <c r="A1" s="60" t="s">
        <v>0</v>
      </c>
      <c r="B1" s="61" t="s">
        <v>39</v>
      </c>
      <c r="C1" s="61" t="s">
        <v>41</v>
      </c>
      <c r="D1" s="61" t="s">
        <v>1</v>
      </c>
      <c r="E1" s="61" t="s">
        <v>40</v>
      </c>
      <c r="F1" s="65" t="s">
        <v>42</v>
      </c>
      <c r="G1" s="89" t="s">
        <v>208</v>
      </c>
      <c r="H1" s="89" t="s">
        <v>209</v>
      </c>
      <c r="I1" s="90" t="s">
        <v>210</v>
      </c>
      <c r="J1" s="66" t="s">
        <v>50</v>
      </c>
      <c r="K1" s="67" t="s">
        <v>48</v>
      </c>
      <c r="L1" s="66" t="s">
        <v>49</v>
      </c>
      <c r="M1" s="67" t="s">
        <v>51</v>
      </c>
      <c r="N1" s="66" t="s">
        <v>6</v>
      </c>
      <c r="O1" s="67" t="s">
        <v>8</v>
      </c>
      <c r="P1" s="66" t="s">
        <v>7</v>
      </c>
      <c r="Q1" s="67" t="s">
        <v>43</v>
      </c>
      <c r="R1" s="67" t="s">
        <v>44</v>
      </c>
      <c r="S1" s="65" t="s">
        <v>55</v>
      </c>
      <c r="T1" s="68" t="s">
        <v>56</v>
      </c>
    </row>
    <row r="2" spans="1:23" s="16" customFormat="1" ht="45.75" customHeight="1" thickBot="1" x14ac:dyDescent="0.3">
      <c r="A2" s="62" t="s">
        <v>89</v>
      </c>
      <c r="B2" s="59" t="s">
        <v>90</v>
      </c>
      <c r="C2" s="63">
        <v>20200813</v>
      </c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V2" s="57" t="s">
        <v>160</v>
      </c>
      <c r="W2" s="58">
        <v>1.75</v>
      </c>
    </row>
    <row r="3" spans="1:23" s="19" customFormat="1" x14ac:dyDescent="0.25">
      <c r="A3" s="17">
        <v>1</v>
      </c>
      <c r="B3" s="18" t="s">
        <v>91</v>
      </c>
      <c r="C3" s="19">
        <f>120*10</f>
        <v>1200</v>
      </c>
      <c r="D3" s="19" t="s">
        <v>45</v>
      </c>
      <c r="E3" s="19">
        <f>6*4</f>
        <v>24</v>
      </c>
      <c r="F3" s="26">
        <f>C3/E3</f>
        <v>50</v>
      </c>
      <c r="G3" s="87">
        <f>IF(AND(F3&gt;=0, F3&lt;1), 0, IF(AND(F3&gt;=1,F3&lt;2), 1, IF(AND(F3&gt;=2,F3&lt;3), 2, IF(AND(F3&gt;=3,F3&lt;4), 3,IF(AND(F3&gt;=4,F3&lt;5), 4, IF(AND(F3&gt;=5,F3&lt;6), 5,IF(AND(F3&gt;=6,F3&lt;7), 6, IF(AND(F3&gt;=7,F3&lt;8), 7, IF(AND(F3&gt;=8,F3&lt;9), 8,IF(AND(F3&gt;=9,F3&lt;10), 9, IF(AND(F3&gt;=10,F3&lt;11), 10, IF(AND(F3&gt;=11,F3&lt;12), 11, IF(AND(F3&gt;=12,F3&lt;13),12,IF(AND(F3&gt;=13,F3&lt;14), 41, 0))))))))))))))</f>
        <v>0</v>
      </c>
      <c r="H3" s="87">
        <f>IF(G3=0, E3,IF(G3=1, E3*1, IF(G3=2, E3*2, IF(G3=3, E3*3, IF(G3=4, E3*4, IF(G3=5, E3*5, IF(G3=6, E3*6, IF(G3=7, E3*7, IF(G3=8, E3*8, IF(G3=9, E3*9, IF(G3=10, E3*10, IF(G3=11, E3*11, 0))))))))))))</f>
        <v>24</v>
      </c>
      <c r="I3" s="92">
        <f>IF(AND(F3&gt;=0,F3&lt;1),0,IF(AND(F3&gt;=1,F3&lt;2),C3-(E3*1),IF(AND(F3&gt;=2,F3&lt;3),C3-(E3*2), IF(AND(F3&gt;=3,F3&lt;4),C3-(E3*3), IF(AND(F3&gt;=4,F3&lt;5),C3-(E3*4),IF(AND(F3&gt;=5,F3&lt;6),C3-(E3*5),IF(AND(F3&gt;=6,F3&lt;7),C3-(E3*6), IF(AND(F3&gt;=7,F3&lt;8),C3-(E3*7),IF(AND(F3&gt;=8,F3&lt;9),C3-(E3*8), 0 ) ) ) ) ) ) ) ) )</f>
        <v>0</v>
      </c>
      <c r="J3" s="26">
        <v>1.1000000000000001</v>
      </c>
      <c r="K3" s="26">
        <f>J3*F3</f>
        <v>55.000000000000007</v>
      </c>
      <c r="L3" s="26">
        <v>1.53</v>
      </c>
      <c r="M3" s="26">
        <f>L3*F3</f>
        <v>76.5</v>
      </c>
      <c r="N3" s="26">
        <v>0.2</v>
      </c>
      <c r="O3" s="26">
        <f>K3*N3</f>
        <v>11.000000000000002</v>
      </c>
      <c r="P3" s="26">
        <v>0.6</v>
      </c>
      <c r="Q3" s="26">
        <f>P3*M3</f>
        <v>45.9</v>
      </c>
      <c r="R3" s="26">
        <f>Q3-O3</f>
        <v>34.9</v>
      </c>
      <c r="S3" s="26">
        <v>50</v>
      </c>
      <c r="T3" s="26">
        <f>F3-S3</f>
        <v>0</v>
      </c>
    </row>
    <row r="4" spans="1:23" s="19" customFormat="1" x14ac:dyDescent="0.25">
      <c r="A4" s="17" t="s">
        <v>94</v>
      </c>
      <c r="B4" s="18" t="s">
        <v>96</v>
      </c>
      <c r="C4" s="19">
        <f>120*10</f>
        <v>1200</v>
      </c>
      <c r="D4" s="19" t="s">
        <v>45</v>
      </c>
      <c r="E4" s="19">
        <v>180</v>
      </c>
      <c r="F4" s="26">
        <f>C4/E4</f>
        <v>6.666666666666667</v>
      </c>
      <c r="G4" s="87">
        <f>IF(AND(F4&gt;=0, F4&lt;1), 0, IF(AND(F4&gt;=1,F4&lt;2), 1, IF(AND(F4&gt;=2,F4&lt;3), 2, IF(AND(F4&gt;=3,F4&lt;4), 3,IF(AND(F4&gt;=4,F4&lt;5), 4, IF(AND(F4&gt;=5,F4&lt;6), 5,IF(AND(F4&gt;=6,F4&lt;7), 6, IF(AND(F4&gt;=7,F4&lt;8), 7, IF(AND(F4&gt;=8,F4&lt;9), 8,IF(AND(F4&gt;=9,F4&lt;10), 9, IF(AND(F4&gt;=10,F4&lt;11), 10, IF(AND(F4&gt;=11,F4&lt;12), 11, IF(AND(F4&gt;=12,F4&lt;13),12,IF(AND(F4&gt;=13,F4&lt;14), 41, 0))))))))))))))</f>
        <v>6</v>
      </c>
      <c r="H4" s="87">
        <f>IF(G4=0, E4,IF(G4=1, E4*1, IF(G4=2, E4*2, IF(G4=3, E4*3, IF(G4=4, E4*4, IF(G4=5, E4*5, IF(G4=6, E4*6, IF(G4=7, E4*7, IF(G4=8, E4*8, IF(G4=9, E4*9, IF(G4=10, E4*10, IF(G4=11, E4*11, 0))))))))))))</f>
        <v>1080</v>
      </c>
      <c r="I4" s="92">
        <f>IF(AND(F4&gt;=0,F4&lt;1),0,IF(AND(F4&gt;=1,F4&lt;2),C4-(E4*1),IF(AND(F4&gt;=2,F4&lt;3),C4-(E4*2), IF(AND(F4&gt;=3,F4&lt;4),C4-(E4*3), IF(AND(F4&gt;=4,F4&lt;5),C4-(E4*4),IF(AND(F4&gt;=5,F4&lt;6),C4-(E4*5),IF(AND(F4&gt;=6,F4&lt;7),C4-(E4*6), IF(AND(F4&gt;=7,F4&lt;8),C4-(E4*7),IF(AND(F4&gt;=8,F4&lt;9),C4-(E4*8), 0 ) ) ) ) ) ) ) ) )</f>
        <v>120</v>
      </c>
      <c r="J4" s="26">
        <v>4.0199999999999996</v>
      </c>
      <c r="K4" s="26">
        <f>J4*F4</f>
        <v>26.799999999999997</v>
      </c>
      <c r="L4" s="26">
        <v>7.3</v>
      </c>
      <c r="M4" s="26">
        <f>L4*F4</f>
        <v>48.666666666666664</v>
      </c>
      <c r="N4" s="26">
        <v>0.2</v>
      </c>
      <c r="O4" s="26">
        <f>K4*N4</f>
        <v>5.3599999999999994</v>
      </c>
      <c r="P4" s="26">
        <v>0.6</v>
      </c>
      <c r="Q4" s="26">
        <f>P4*M4</f>
        <v>29.199999999999996</v>
      </c>
      <c r="R4" s="26">
        <f>Q4-O4</f>
        <v>23.839999999999996</v>
      </c>
      <c r="S4" s="26">
        <v>6.67</v>
      </c>
      <c r="T4" s="26">
        <f>F4-S4</f>
        <v>-3.3333333333329662E-3</v>
      </c>
    </row>
    <row r="5" spans="1:23" s="54" customFormat="1" ht="15.75" thickBot="1" x14ac:dyDescent="0.3">
      <c r="A5" s="52"/>
      <c r="B5" s="53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</row>
    <row r="6" spans="1:23" s="16" customFormat="1" ht="45.75" customHeight="1" thickBot="1" x14ac:dyDescent="0.3">
      <c r="A6" s="14" t="s">
        <v>97</v>
      </c>
      <c r="B6" s="15" t="s">
        <v>100</v>
      </c>
      <c r="C6" s="16">
        <v>20200813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V6" s="57" t="s">
        <v>160</v>
      </c>
      <c r="W6" s="58">
        <v>2</v>
      </c>
    </row>
    <row r="7" spans="1:23" s="19" customFormat="1" x14ac:dyDescent="0.25">
      <c r="A7" s="17" t="s">
        <v>95</v>
      </c>
      <c r="B7" s="18" t="s">
        <v>98</v>
      </c>
      <c r="C7" s="19">
        <f>120*11</f>
        <v>1320</v>
      </c>
      <c r="D7" s="19" t="s">
        <v>45</v>
      </c>
      <c r="E7" s="19">
        <f>8*4</f>
        <v>32</v>
      </c>
      <c r="F7" s="26">
        <f>C7/E7</f>
        <v>41.25</v>
      </c>
      <c r="G7" s="87">
        <f>IF(AND(F7&gt;=0, F7&lt;1), 0, IF(AND(F7&gt;=1,F7&lt;2), 1, IF(AND(F7&gt;=2,F7&lt;3), 2, IF(AND(F7&gt;=3,F7&lt;4), 3,IF(AND(F7&gt;=4,F7&lt;5), 4, IF(AND(F7&gt;=5,F7&lt;6), 5,IF(AND(F7&gt;=6,F7&lt;7), 6, IF(AND(F7&gt;=7,F7&lt;8), 7, IF(AND(F7&gt;=8,F7&lt;9), 8,IF(AND(F7&gt;=9,F7&lt;10), 9, IF(AND(F7&gt;=10,F7&lt;11), 10, IF(AND(F7&gt;=11,F7&lt;12), 11, IF(AND(F7&gt;=12,F7&lt;13),12,IF(AND(F7&gt;=13,F7&lt;14), 41, 0))))))))))))))</f>
        <v>0</v>
      </c>
      <c r="H7" s="87">
        <f>IF(G7=0, E7,IF(G7=1, E7*1, IF(G7=2, E7*2, IF(G7=3, E7*3, IF(G7=4, E7*4, IF(G7=5, E7*5, IF(G7=6, E7*6, IF(G7=7, E7*7, IF(G7=8, E7*8, IF(G7=9, E7*9, IF(G7=10, E7*10, IF(G7=11, E7*11, 0))))))))))))</f>
        <v>32</v>
      </c>
      <c r="I7" s="92">
        <f>IF(AND(F7&gt;=0,F7&lt;1),0,IF(AND(F7&gt;=1,F7&lt;2),C7-(E7*1),IF(AND(F7&gt;=2,F7&lt;3),C7-(E7*2), IF(AND(F7&gt;=3,F7&lt;4),C7-(E7*3), IF(AND(F7&gt;=4,F7&lt;5),C7-(E7*4),IF(AND(F7&gt;=5,F7&lt;6),C7-(E7*5),IF(AND(F7&gt;=6,F7&lt;7),C7-(E7*6), IF(AND(F7&gt;=7,F7&lt;8),C7-(E7*7),IF(AND(F7&gt;=8,F7&lt;9),C7-(E7*8), 0 ) ) ) ) ) ) ) ) )</f>
        <v>0</v>
      </c>
      <c r="J7" s="26">
        <v>2.13</v>
      </c>
      <c r="K7" s="26">
        <f>J7*F7</f>
        <v>87.862499999999997</v>
      </c>
      <c r="L7" s="26">
        <v>3.59</v>
      </c>
      <c r="M7" s="26">
        <f>L7*F7</f>
        <v>148.08750000000001</v>
      </c>
      <c r="N7" s="26">
        <v>0.2</v>
      </c>
      <c r="O7" s="26">
        <f>K7*N7</f>
        <v>17.572500000000002</v>
      </c>
      <c r="P7" s="26">
        <v>0.6</v>
      </c>
      <c r="Q7" s="26">
        <f>P7*M7</f>
        <v>88.852500000000006</v>
      </c>
      <c r="R7" s="26">
        <f>Q7-O7</f>
        <v>71.28</v>
      </c>
      <c r="S7" s="26">
        <v>41.25</v>
      </c>
      <c r="T7" s="26">
        <f>F7-S7</f>
        <v>0</v>
      </c>
    </row>
    <row r="8" spans="1:23" s="19" customFormat="1" x14ac:dyDescent="0.25">
      <c r="A8" s="17" t="s">
        <v>53</v>
      </c>
      <c r="B8" s="18" t="s">
        <v>99</v>
      </c>
      <c r="C8" s="19">
        <f>120*11</f>
        <v>1320</v>
      </c>
      <c r="D8" s="19" t="s">
        <v>45</v>
      </c>
      <c r="E8" s="19">
        <f>18*11</f>
        <v>198</v>
      </c>
      <c r="F8" s="26">
        <f>C8/E8</f>
        <v>6.666666666666667</v>
      </c>
      <c r="G8" s="87">
        <f>IF(AND(F8&gt;=0, F8&lt;1), 0, IF(AND(F8&gt;=1,F8&lt;2), 1, IF(AND(F8&gt;=2,F8&lt;3), 2, IF(AND(F8&gt;=3,F8&lt;4), 3,IF(AND(F8&gt;=4,F8&lt;5), 4, IF(AND(F8&gt;=5,F8&lt;6), 5,IF(AND(F8&gt;=6,F8&lt;7), 6, IF(AND(F8&gt;=7,F8&lt;8), 7, IF(AND(F8&gt;=8,F8&lt;9), 8,IF(AND(F8&gt;=9,F8&lt;10), 9, IF(AND(F8&gt;=10,F8&lt;11), 10, IF(AND(F8&gt;=11,F8&lt;12), 11, IF(AND(F8&gt;=12,F8&lt;13),12,IF(AND(F8&gt;=13,F8&lt;14), 41, 0))))))))))))))</f>
        <v>6</v>
      </c>
      <c r="H8" s="87">
        <f>IF(G8=0, E8,IF(G8=1, E8*1, IF(G8=2, E8*2, IF(G8=3, E8*3, IF(G8=4, E8*4, IF(G8=5, E8*5, IF(G8=6, E8*6, IF(G8=7, E8*7, IF(G8=8, E8*8, IF(G8=9, E8*9, IF(G8=10, E8*10, IF(G8=11, E8*11, 0))))))))))))</f>
        <v>1188</v>
      </c>
      <c r="I8" s="92">
        <f>IF(AND(F8&gt;=0,F8&lt;1),0,IF(AND(F8&gt;=1,F8&lt;2),C8-(E8*1),IF(AND(F8&gt;=2,F8&lt;3),C8-(E8*2), IF(AND(F8&gt;=3,F8&lt;4),C8-(E8*3), IF(AND(F8&gt;=4,F8&lt;5),C8-(E8*4),IF(AND(F8&gt;=5,F8&lt;6),C8-(E8*5),IF(AND(F8&gt;=6,F8&lt;7),C8-(E8*6), IF(AND(F8&gt;=7,F8&lt;8),C8-(E8*7),IF(AND(F8&gt;=8,F8&lt;9),C8-(E8*8), 0 ) ) ) ) ) ) ) ) )</f>
        <v>132</v>
      </c>
      <c r="J8" s="26">
        <v>4.1500000000000004</v>
      </c>
      <c r="K8" s="26">
        <f>J8*F8</f>
        <v>27.666666666666671</v>
      </c>
      <c r="L8" s="26">
        <v>8.6999999999999993</v>
      </c>
      <c r="M8" s="26">
        <f>L8*F8</f>
        <v>58</v>
      </c>
      <c r="N8" s="26">
        <v>0.2</v>
      </c>
      <c r="O8" s="26">
        <f>K8*N8</f>
        <v>5.533333333333335</v>
      </c>
      <c r="P8" s="26">
        <v>0.6</v>
      </c>
      <c r="Q8" s="26">
        <f>P8*M8</f>
        <v>34.799999999999997</v>
      </c>
      <c r="R8" s="26">
        <f>Q8-O8</f>
        <v>29.266666666666662</v>
      </c>
      <c r="S8" s="26">
        <v>6.67</v>
      </c>
      <c r="T8" s="26">
        <f>F8-S8</f>
        <v>-3.3333333333329662E-3</v>
      </c>
    </row>
    <row r="9" spans="1:23" s="54" customFormat="1" ht="15.75" thickBot="1" x14ac:dyDescent="0.3">
      <c r="A9" s="52"/>
      <c r="B9" s="53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</row>
    <row r="10" spans="1:23" s="16" customFormat="1" ht="45.75" customHeight="1" thickBot="1" x14ac:dyDescent="0.3">
      <c r="A10" s="14" t="s">
        <v>89</v>
      </c>
      <c r="B10" s="15" t="s">
        <v>90</v>
      </c>
      <c r="C10" s="16">
        <v>20200818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V10" s="57" t="s">
        <v>160</v>
      </c>
      <c r="W10" s="58">
        <v>1.75</v>
      </c>
    </row>
    <row r="11" spans="1:23" s="19" customFormat="1" x14ac:dyDescent="0.25">
      <c r="A11" s="17">
        <v>1</v>
      </c>
      <c r="B11" s="18" t="s">
        <v>91</v>
      </c>
      <c r="C11" s="19">
        <f>36*10</f>
        <v>360</v>
      </c>
      <c r="D11" s="19" t="s">
        <v>45</v>
      </c>
      <c r="E11" s="19">
        <f>6*4</f>
        <v>24</v>
      </c>
      <c r="F11" s="26">
        <f>C11/E11</f>
        <v>15</v>
      </c>
      <c r="G11" s="87">
        <f>IF(AND(F11&gt;=0, F11&lt;1), 0, IF(AND(F11&gt;=1,F11&lt;2), 1, IF(AND(F11&gt;=2,F11&lt;3), 2, IF(AND(F11&gt;=3,F11&lt;4), 3,IF(AND(F11&gt;=4,F11&lt;5), 4, IF(AND(F11&gt;=5,F11&lt;6), 5,IF(AND(F11&gt;=6,F11&lt;7), 6, IF(AND(F11&gt;=7,F11&lt;8), 7, IF(AND(F11&gt;=8,F11&lt;9), 8,IF(AND(F11&gt;=9,F11&lt;10), 9, IF(AND(F11&gt;=10,F11&lt;11), 10, IF(AND(F11&gt;=11,F11&lt;12), 11, IF(AND(F11&gt;=12,F11&lt;13),12,IF(AND(F11&gt;=13,F11&lt;14), 41, 0))))))))))))))</f>
        <v>0</v>
      </c>
      <c r="H11" s="87">
        <f>IF(G11=0, E11,IF(G11=1, E11*1, IF(G11=2, E11*2, IF(G11=3, E11*3, IF(G11=4, E11*4, IF(G11=5, E11*5, IF(G11=6, E11*6, IF(G11=7, E11*7, IF(G11=8, E11*8, IF(G11=9, E11*9, IF(G11=10, E11*10, IF(G11=11, E11*11, 0))))))))))))</f>
        <v>24</v>
      </c>
      <c r="I11" s="92">
        <f>IF(AND(F11&gt;=0,F11&lt;1),0,IF(AND(F11&gt;=1,F11&lt;2),C11-(E11*1),IF(AND(F11&gt;=2,F11&lt;3),C11-(E11*2), IF(AND(F11&gt;=3,F11&lt;4),C11-(E11*3), IF(AND(F11&gt;=4,F11&lt;5),C11-(E11*4),IF(AND(F11&gt;=5,F11&lt;6),C11-(E11*5),IF(AND(F11&gt;=6,F11&lt;7),C11-(E11*6), IF(AND(F11&gt;=7,F11&lt;8),C11-(E11*7),IF(AND(F11&gt;=8,F11&lt;9),C11-(E11*8), 0 ) ) ) ) ) ) ) ) )</f>
        <v>0</v>
      </c>
      <c r="J11" s="26">
        <v>1.1000000000000001</v>
      </c>
      <c r="K11" s="26">
        <f>J11*F11</f>
        <v>16.5</v>
      </c>
      <c r="L11" s="26">
        <v>1.53</v>
      </c>
      <c r="M11" s="26">
        <f>L11*F11</f>
        <v>22.95</v>
      </c>
      <c r="N11" s="26">
        <v>0.2</v>
      </c>
      <c r="O11" s="26">
        <f>K11*N11</f>
        <v>3.3000000000000003</v>
      </c>
      <c r="P11" s="26">
        <v>0.6</v>
      </c>
      <c r="Q11" s="26">
        <f>P11*M11</f>
        <v>13.77</v>
      </c>
      <c r="R11" s="26">
        <f>Q11-O11</f>
        <v>10.469999999999999</v>
      </c>
      <c r="S11" s="26">
        <v>15</v>
      </c>
      <c r="T11" s="26">
        <f>F11-S11</f>
        <v>0</v>
      </c>
    </row>
    <row r="12" spans="1:23" s="19" customFormat="1" x14ac:dyDescent="0.25">
      <c r="A12" s="17" t="s">
        <v>94</v>
      </c>
      <c r="B12" s="18" t="s">
        <v>96</v>
      </c>
      <c r="C12" s="19">
        <f>36*10</f>
        <v>360</v>
      </c>
      <c r="D12" s="19" t="s">
        <v>45</v>
      </c>
      <c r="E12" s="19">
        <v>180</v>
      </c>
      <c r="F12" s="26">
        <f>C12/E12</f>
        <v>2</v>
      </c>
      <c r="G12" s="87">
        <f>IF(AND(F12&gt;=0, F12&lt;1), 0, IF(AND(F12&gt;=1,F12&lt;2), 1, IF(AND(F12&gt;=2,F12&lt;3), 2, IF(AND(F12&gt;=3,F12&lt;4), 3,IF(AND(F12&gt;=4,F12&lt;5), 4, IF(AND(F12&gt;=5,F12&lt;6), 5,IF(AND(F12&gt;=6,F12&lt;7), 6, IF(AND(F12&gt;=7,F12&lt;8), 7, IF(AND(F12&gt;=8,F12&lt;9), 8,IF(AND(F12&gt;=9,F12&lt;10), 9, IF(AND(F12&gt;=10,F12&lt;11), 10, IF(AND(F12&gt;=11,F12&lt;12), 11, IF(AND(F12&gt;=12,F12&lt;13),12,IF(AND(F12&gt;=13,F12&lt;14), 41, 0))))))))))))))</f>
        <v>2</v>
      </c>
      <c r="H12" s="87">
        <f>IF(G12=0, E12,IF(G12=1, E12*1, IF(G12=2, E12*2, IF(G12=3, E12*3, IF(G12=4, E12*4, IF(G12=5, E12*5, IF(G12=6, E12*6, IF(G12=7, E12*7, IF(G12=8, E12*8, IF(G12=9, E12*9, IF(G12=10, E12*10, IF(G12=11, E12*11, 0))))))))))))</f>
        <v>360</v>
      </c>
      <c r="I12" s="92">
        <f>IF(AND(F12&gt;=0,F12&lt;1),0,IF(AND(F12&gt;=1,F12&lt;2),C12-(E12*1),IF(AND(F12&gt;=2,F12&lt;3),C12-(E12*2), IF(AND(F12&gt;=3,F12&lt;4),C12-(E12*3), IF(AND(F12&gt;=4,F12&lt;5),C12-(E12*4),IF(AND(F12&gt;=5,F12&lt;6),C12-(E12*5),IF(AND(F12&gt;=6,F12&lt;7),C12-(E12*6), IF(AND(F12&gt;=7,F12&lt;8),C12-(E12*7),IF(AND(F12&gt;=8,F12&lt;9),C12-(E12*8), 0 ) ) ) ) ) ) ) ) )</f>
        <v>0</v>
      </c>
      <c r="J12" s="26">
        <v>4.0199999999999996</v>
      </c>
      <c r="K12" s="26">
        <f>J12*F12</f>
        <v>8.0399999999999991</v>
      </c>
      <c r="L12" s="26">
        <v>7.3</v>
      </c>
      <c r="M12" s="26">
        <f>L12*F12</f>
        <v>14.6</v>
      </c>
      <c r="N12" s="26">
        <v>0.2</v>
      </c>
      <c r="O12" s="26">
        <f>K12*N12</f>
        <v>1.6079999999999999</v>
      </c>
      <c r="P12" s="26">
        <v>0.6</v>
      </c>
      <c r="Q12" s="26">
        <f>P12*M12</f>
        <v>8.76</v>
      </c>
      <c r="R12" s="26">
        <f>Q12-O12</f>
        <v>7.1520000000000001</v>
      </c>
      <c r="S12" s="26">
        <v>2</v>
      </c>
      <c r="T12" s="26">
        <f>F12-S12</f>
        <v>0</v>
      </c>
    </row>
    <row r="13" spans="1:23" s="54" customFormat="1" ht="15.75" thickBot="1" x14ac:dyDescent="0.3">
      <c r="A13" s="52"/>
      <c r="B13" s="53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3" s="16" customFormat="1" ht="45.75" customHeight="1" thickBot="1" x14ac:dyDescent="0.3">
      <c r="A14" s="14" t="s">
        <v>97</v>
      </c>
      <c r="B14" s="15" t="s">
        <v>100</v>
      </c>
      <c r="C14" s="16">
        <v>20200818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V14" s="57" t="s">
        <v>160</v>
      </c>
      <c r="W14" s="58">
        <v>2</v>
      </c>
    </row>
    <row r="15" spans="1:23" s="19" customFormat="1" x14ac:dyDescent="0.25">
      <c r="A15" s="17" t="s">
        <v>95</v>
      </c>
      <c r="B15" s="18" t="s">
        <v>98</v>
      </c>
      <c r="C15" s="19">
        <f>54*11</f>
        <v>594</v>
      </c>
      <c r="D15" s="19" t="s">
        <v>45</v>
      </c>
      <c r="E15" s="19">
        <f>8*4</f>
        <v>32</v>
      </c>
      <c r="F15" s="26">
        <f>C15/E15</f>
        <v>18.5625</v>
      </c>
      <c r="G15" s="87">
        <f>IF(AND(F15&gt;=0, F15&lt;1), 0, IF(AND(F15&gt;=1,F15&lt;2), 1, IF(AND(F15&gt;=2,F15&lt;3), 2, IF(AND(F15&gt;=3,F15&lt;4), 3,IF(AND(F15&gt;=4,F15&lt;5), 4, IF(AND(F15&gt;=5,F15&lt;6), 5,IF(AND(F15&gt;=6,F15&lt;7), 6, IF(AND(F15&gt;=7,F15&lt;8), 7, IF(AND(F15&gt;=8,F15&lt;9), 8,IF(AND(F15&gt;=9,F15&lt;10), 9, IF(AND(F15&gt;=10,F15&lt;11), 10, IF(AND(F15&gt;=11,F15&lt;12), 11, IF(AND(F15&gt;=12,F15&lt;13),12,IF(AND(F15&gt;=13,F15&lt;14), 41, 0))))))))))))))</f>
        <v>0</v>
      </c>
      <c r="H15" s="87">
        <f>IF(G15=0, E15,IF(G15=1, E15*1, IF(G15=2, E15*2, IF(G15=3, E15*3, IF(G15=4, E15*4, IF(G15=5, E15*5, IF(G15=6, E15*6, IF(G15=7, E15*7, IF(G15=8, E15*8, IF(G15=9, E15*9, IF(G15=10, E15*10, IF(G15=11, E15*11, 0))))))))))))</f>
        <v>32</v>
      </c>
      <c r="I15" s="92">
        <f>IF(AND(F15&gt;=0,F15&lt;1),0,IF(AND(F15&gt;=1,F15&lt;2),C15-(E15*1),IF(AND(F15&gt;=2,F15&lt;3),C15-(E15*2), IF(AND(F15&gt;=3,F15&lt;4),C15-(E15*3), IF(AND(F15&gt;=4,F15&lt;5),C15-(E15*4),IF(AND(F15&gt;=5,F15&lt;6),C15-(E15*5),IF(AND(F15&gt;=6,F15&lt;7),C15-(E15*6), IF(AND(F15&gt;=7,F15&lt;8),C15-(E15*7),IF(AND(F15&gt;=8,F15&lt;9),C15-(E15*8), 0 ) ) ) ) ) ) ) ) )</f>
        <v>0</v>
      </c>
      <c r="J15" s="26">
        <v>2.13</v>
      </c>
      <c r="K15" s="26">
        <f>J15*F15</f>
        <v>39.538125000000001</v>
      </c>
      <c r="L15" s="26">
        <v>3.59</v>
      </c>
      <c r="M15" s="26">
        <f>L15*F15</f>
        <v>66.639375000000001</v>
      </c>
      <c r="N15" s="26">
        <v>0.2</v>
      </c>
      <c r="O15" s="26">
        <f>K15*N15</f>
        <v>7.9076250000000003</v>
      </c>
      <c r="P15" s="26">
        <v>0.6</v>
      </c>
      <c r="Q15" s="26">
        <f>P15*M15</f>
        <v>39.983624999999996</v>
      </c>
      <c r="R15" s="26">
        <f>Q15-O15</f>
        <v>32.075999999999993</v>
      </c>
      <c r="S15" s="26">
        <v>8</v>
      </c>
      <c r="T15" s="26">
        <f>F15-S15</f>
        <v>10.5625</v>
      </c>
    </row>
    <row r="16" spans="1:23" s="19" customFormat="1" x14ac:dyDescent="0.25">
      <c r="A16" s="17" t="s">
        <v>53</v>
      </c>
      <c r="B16" s="18" t="s">
        <v>99</v>
      </c>
      <c r="C16" s="19">
        <f>54*11</f>
        <v>594</v>
      </c>
      <c r="D16" s="19" t="s">
        <v>45</v>
      </c>
      <c r="E16" s="19">
        <f>18*11</f>
        <v>198</v>
      </c>
      <c r="F16" s="26">
        <f>C16/E16</f>
        <v>3</v>
      </c>
      <c r="G16" s="87">
        <f>IF(AND(F16&gt;=0, F16&lt;1), 0, IF(AND(F16&gt;=1,F16&lt;2), 1, IF(AND(F16&gt;=2,F16&lt;3), 2, IF(AND(F16&gt;=3,F16&lt;4), 3,IF(AND(F16&gt;=4,F16&lt;5), 4, IF(AND(F16&gt;=5,F16&lt;6), 5,IF(AND(F16&gt;=6,F16&lt;7), 6, IF(AND(F16&gt;=7,F16&lt;8), 7, IF(AND(F16&gt;=8,F16&lt;9), 8,IF(AND(F16&gt;=9,F16&lt;10), 9, IF(AND(F16&gt;=10,F16&lt;11), 10, IF(AND(F16&gt;=11,F16&lt;12), 11, IF(AND(F16&gt;=12,F16&lt;13),12,IF(AND(F16&gt;=13,F16&lt;14), 41, 0))))))))))))))</f>
        <v>3</v>
      </c>
      <c r="H16" s="87">
        <f>IF(G16=0, E16,IF(G16=1, E16*1, IF(G16=2, E16*2, IF(G16=3, E16*3, IF(G16=4, E16*4, IF(G16=5, E16*5, IF(G16=6, E16*6, IF(G16=7, E16*7, IF(G16=8, E16*8, IF(G16=9, E16*9, IF(G16=10, E16*10, IF(G16=11, E16*11, 0))))))))))))</f>
        <v>594</v>
      </c>
      <c r="I16" s="92">
        <f>IF(AND(F16&gt;=0,F16&lt;1),0,IF(AND(F16&gt;=1,F16&lt;2),C16-(E16*1),IF(AND(F16&gt;=2,F16&lt;3),C16-(E16*2), IF(AND(F16&gt;=3,F16&lt;4),C16-(E16*3), IF(AND(F16&gt;=4,F16&lt;5),C16-(E16*4),IF(AND(F16&gt;=5,F16&lt;6),C16-(E16*5),IF(AND(F16&gt;=6,F16&lt;7),C16-(E16*6), IF(AND(F16&gt;=7,F16&lt;8),C16-(E16*7),IF(AND(F16&gt;=8,F16&lt;9),C16-(E16*8), 0 ) ) ) ) ) ) ) ) )</f>
        <v>0</v>
      </c>
      <c r="J16" s="26">
        <v>4.1500000000000004</v>
      </c>
      <c r="K16" s="26">
        <f>J16*F16</f>
        <v>12.450000000000001</v>
      </c>
      <c r="L16" s="26">
        <v>8.6999999999999993</v>
      </c>
      <c r="M16" s="26">
        <f>L16*F16</f>
        <v>26.099999999999998</v>
      </c>
      <c r="N16" s="26">
        <v>0.2</v>
      </c>
      <c r="O16" s="26">
        <f>K16*N16</f>
        <v>2.4900000000000002</v>
      </c>
      <c r="P16" s="26">
        <v>0.6</v>
      </c>
      <c r="Q16" s="26">
        <f>P16*M16</f>
        <v>15.659999999999998</v>
      </c>
      <c r="R16" s="26">
        <f>Q16-O16</f>
        <v>13.169999999999998</v>
      </c>
      <c r="S16" s="26">
        <v>3</v>
      </c>
      <c r="T16" s="26">
        <f>F16-S16</f>
        <v>0</v>
      </c>
    </row>
    <row r="17" spans="1:23" s="54" customFormat="1" ht="15.75" thickBot="1" x14ac:dyDescent="0.3">
      <c r="A17" s="52"/>
      <c r="B17" s="53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3" s="16" customFormat="1" ht="45.75" customHeight="1" thickBot="1" x14ac:dyDescent="0.3">
      <c r="A18" s="14" t="s">
        <v>211</v>
      </c>
      <c r="B18" s="15" t="s">
        <v>212</v>
      </c>
      <c r="C18" s="16">
        <v>20200818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V18" s="57" t="s">
        <v>160</v>
      </c>
      <c r="W18" s="58">
        <v>2</v>
      </c>
    </row>
    <row r="19" spans="1:23" s="19" customFormat="1" x14ac:dyDescent="0.25">
      <c r="A19" s="17" t="s">
        <v>110</v>
      </c>
      <c r="B19" s="18" t="s">
        <v>213</v>
      </c>
      <c r="C19" s="19">
        <f>12*12</f>
        <v>144</v>
      </c>
      <c r="D19" s="19" t="s">
        <v>45</v>
      </c>
      <c r="E19" s="19">
        <v>13</v>
      </c>
      <c r="F19" s="26">
        <f>C19/E19</f>
        <v>11.076923076923077</v>
      </c>
      <c r="G19" s="87">
        <f>IF(AND(F19&gt;=0, F19&lt;1), 0, IF(AND(F19&gt;=1,F19&lt;2), 1, IF(AND(F19&gt;=2,F19&lt;3), 2, IF(AND(F19&gt;=3,F19&lt;4), 3,IF(AND(F19&gt;=4,F19&lt;5), 4, IF(AND(F19&gt;=5,F19&lt;6), 5,IF(AND(F19&gt;=6,F19&lt;7), 6, IF(AND(F19&gt;=7,F19&lt;8), 7, IF(AND(F19&gt;=8,F19&lt;9), 8,IF(AND(F19&gt;=9,F19&lt;10), 9, IF(AND(F19&gt;=10,F19&lt;11), 10, IF(AND(F19&gt;=11,F19&lt;12), 11, IF(AND(F19&gt;=12,F19&lt;13),12,IF(AND(F19&gt;=13,F19&lt;14), 14, 0))))))))))))))</f>
        <v>11</v>
      </c>
      <c r="H19" s="87">
        <f>IF(G19=0, E19,IF(G19=1, E19*1, IF(G19=2, E19*2, IF(G19=3, E19*3, IF(G19=4, E19*4, IF(G19=5, E19*5, IF(G19=6, E19*6, IF(G19=7, E19*7, IF(G19=8, E19*8, IF(G19=9, E19*9, IF(G19=10, E19*10, IF(G19=11, E19*11, 0))))))))))))</f>
        <v>143</v>
      </c>
      <c r="I19" s="92">
        <f>IF(AND(F19&gt;=0,F19&lt;1),0,IF(AND(F19&gt;=1,F19&lt;2),C19-(E19*1),IF(AND(F19&gt;=2,F19&lt;3),C19-(E19*2), IF(AND(F19&gt;=3,F19&lt;4),C19-(E19*3), IF(AND(F19&gt;=4,F19&lt;5),C19-(E19*4),IF(AND(F19&gt;=5,F19&lt;6),C19-(E19*5),IF(AND(F19&gt;=6,F19&lt;7),C19-(E19*6), IF(AND(F19&gt;=7,F19&lt;8),C19-(E19*7),IF(AND(F19&gt;=8,F19&lt;9),C19-(E19*8), 0 ) ) ) ) ) ) ) ) )</f>
        <v>0</v>
      </c>
      <c r="J19" s="26">
        <v>2.13</v>
      </c>
      <c r="K19" s="26">
        <f>J19*F19</f>
        <v>23.593846153846151</v>
      </c>
      <c r="L19" s="26">
        <v>3.59</v>
      </c>
      <c r="M19" s="26">
        <f>L19*F19</f>
        <v>39.766153846153841</v>
      </c>
      <c r="N19" s="26">
        <v>0.2</v>
      </c>
      <c r="O19" s="26">
        <f>K19*N19</f>
        <v>4.7187692307692304</v>
      </c>
      <c r="P19" s="26">
        <v>0.6</v>
      </c>
      <c r="Q19" s="26">
        <f>P19*M19</f>
        <v>23.859692307692303</v>
      </c>
      <c r="R19" s="26">
        <f>Q19-O19</f>
        <v>19.140923076923073</v>
      </c>
      <c r="S19" s="26">
        <v>8</v>
      </c>
      <c r="T19" s="26">
        <f>F19-S19</f>
        <v>3.0769230769230766</v>
      </c>
    </row>
    <row r="20" spans="1:23" s="19" customFormat="1" x14ac:dyDescent="0.25">
      <c r="A20" s="17" t="s">
        <v>110</v>
      </c>
      <c r="B20" s="18" t="s">
        <v>214</v>
      </c>
      <c r="C20" s="19">
        <v>12</v>
      </c>
      <c r="D20" s="19" t="s">
        <v>45</v>
      </c>
      <c r="E20" s="19">
        <v>12</v>
      </c>
      <c r="F20" s="26">
        <f>C20/E20</f>
        <v>1</v>
      </c>
      <c r="G20" s="87">
        <f>IF(AND(F20&gt;=0, F20&lt;1), 0, IF(AND(F20&gt;=1,F20&lt;2), 1, IF(AND(F20&gt;=2,F20&lt;3), 2, IF(AND(F20&gt;=3,F20&lt;4), 3,IF(AND(F20&gt;=4,F20&lt;5), 4, IF(AND(F20&gt;=5,F20&lt;6), 5,IF(AND(F20&gt;=6,F20&lt;7), 6, IF(AND(F20&gt;=7,F20&lt;8), 7, IF(AND(F20&gt;=8,F20&lt;9), 8,IF(AND(F20&gt;=9,F20&lt;10), 9, IF(AND(F20&gt;=10,F20&lt;11), 10, IF(AND(F20&gt;=11,F20&lt;12), 11, IF(AND(F20&gt;=12,F20&lt;13),12,IF(AND(F20&gt;=13,F20&lt;14), 14, 0))))))))))))))</f>
        <v>1</v>
      </c>
      <c r="H20" s="87">
        <f>IF(G20=0, E20,IF(G20=1, E20*1, IF(G20=2, E20*2, IF(G20=3, E20*3, IF(G20=4, E20*4, IF(G20=5, E20*5, IF(G20=6, E20*6, IF(G20=7, E20*7, IF(G20=8, E20*8, IF(G20=9, E20*9, IF(G20=10, E20*10, IF(G20=11, E20*11, 0))))))))))))</f>
        <v>12</v>
      </c>
      <c r="I20" s="92">
        <f>IF(AND(F20&gt;=0,F20&lt;1),0,IF(AND(F20&gt;=1,F20&lt;2),C20-(E20*1),IF(AND(F20&gt;=2,F20&lt;3),C20-(E20*2), IF(AND(F20&gt;=3,F20&lt;4),C20-(E20*3), IF(AND(F20&gt;=4,F20&lt;5),C20-(E20*4),IF(AND(F20&gt;=5,F20&lt;6),C20-(E20*5),IF(AND(F20&gt;=6,F20&lt;7),C20-(E20*6), IF(AND(F20&gt;=7,F20&lt;8),C20-(E20*7),IF(AND(F20&gt;=8,F20&lt;9),C20-(E20*8), 0 ) ) ) ) ) ) ) ) )</f>
        <v>0</v>
      </c>
      <c r="J20" s="26">
        <v>2.13</v>
      </c>
      <c r="K20" s="26">
        <f>J20*F20</f>
        <v>2.13</v>
      </c>
      <c r="L20" s="26">
        <v>3.59</v>
      </c>
      <c r="M20" s="26">
        <f>L20*F20</f>
        <v>3.59</v>
      </c>
      <c r="N20" s="26">
        <v>0.2</v>
      </c>
      <c r="O20" s="26">
        <f>K20*N20</f>
        <v>0.42599999999999999</v>
      </c>
      <c r="P20" s="26">
        <v>0.6</v>
      </c>
      <c r="Q20" s="26">
        <f>P20*M20</f>
        <v>2.1539999999999999</v>
      </c>
      <c r="R20" s="26">
        <f>Q20-O20</f>
        <v>1.728</v>
      </c>
      <c r="S20" s="26">
        <v>8</v>
      </c>
      <c r="T20" s="26">
        <f>F20-S20</f>
        <v>-7</v>
      </c>
    </row>
    <row r="21" spans="1:23" s="19" customFormat="1" x14ac:dyDescent="0.25">
      <c r="A21" s="17" t="s">
        <v>110</v>
      </c>
      <c r="B21" s="18" t="s">
        <v>215</v>
      </c>
      <c r="C21" s="19">
        <v>12</v>
      </c>
      <c r="D21" s="19" t="s">
        <v>45</v>
      </c>
      <c r="E21" s="19">
        <v>12</v>
      </c>
      <c r="F21" s="26">
        <f>C21/E21</f>
        <v>1</v>
      </c>
      <c r="G21" s="87">
        <f>IF(AND(F21&gt;=0, F21&lt;1), 0, IF(AND(F21&gt;=1,F21&lt;2), 1, IF(AND(F21&gt;=2,F21&lt;3), 2, IF(AND(F21&gt;=3,F21&lt;4), 3,IF(AND(F21&gt;=4,F21&lt;5), 4, IF(AND(F21&gt;=5,F21&lt;6), 5,IF(AND(F21&gt;=6,F21&lt;7), 6, IF(AND(F21&gt;=7,F21&lt;8), 7, IF(AND(F21&gt;=8,F21&lt;9), 8,IF(AND(F21&gt;=9,F21&lt;10), 9, IF(AND(F21&gt;=10,F21&lt;11), 10, IF(AND(F21&gt;=11,F21&lt;12), 11, IF(AND(F21&gt;=12,F21&lt;13),12,IF(AND(F21&gt;=13,F21&lt;14), 14, 0))))))))))))))</f>
        <v>1</v>
      </c>
      <c r="H21" s="87">
        <f>IF(G21=0, E21,IF(G21=1, E21*1, IF(G21=2, E21*2, IF(G21=3, E21*3, IF(G21=4, E21*4, IF(G21=5, E21*5, IF(G21=6, E21*6, IF(G21=7, E21*7, IF(G21=8, E21*8, IF(G21=9, E21*9, IF(G21=10, E21*10, IF(G21=11, E21*11, 0))))))))))))</f>
        <v>12</v>
      </c>
      <c r="I21" s="92">
        <f>IF(AND(F21&gt;=0,F21&lt;1),0,IF(AND(F21&gt;=1,F21&lt;2),C21-(E21*1),IF(AND(F21&gt;=2,F21&lt;3),C21-(E21*2), IF(AND(F21&gt;=3,F21&lt;4),C21-(E21*3), IF(AND(F21&gt;=4,F21&lt;5),C21-(E21*4),IF(AND(F21&gt;=5,F21&lt;6),C21-(E21*5),IF(AND(F21&gt;=6,F21&lt;7),C21-(E21*6), IF(AND(F21&gt;=7,F21&lt;8),C21-(E21*7),IF(AND(F21&gt;=8,F21&lt;9),C21-(E21*8), 0 ) ) ) ) ) ) ) ) )</f>
        <v>0</v>
      </c>
      <c r="J21" s="26">
        <v>2.13</v>
      </c>
      <c r="K21" s="26">
        <f>J21*F21</f>
        <v>2.13</v>
      </c>
      <c r="L21" s="26">
        <v>3.59</v>
      </c>
      <c r="M21" s="26">
        <f>L21*F21</f>
        <v>3.59</v>
      </c>
      <c r="N21" s="26">
        <v>0.2</v>
      </c>
      <c r="O21" s="26">
        <f>K21*N21</f>
        <v>0.42599999999999999</v>
      </c>
      <c r="P21" s="26">
        <v>0.6</v>
      </c>
      <c r="Q21" s="26">
        <f>P21*M21</f>
        <v>2.1539999999999999</v>
      </c>
      <c r="R21" s="26">
        <f>Q21-O21</f>
        <v>1.728</v>
      </c>
      <c r="S21" s="26">
        <v>8</v>
      </c>
      <c r="T21" s="26">
        <f>F21-S21</f>
        <v>-7</v>
      </c>
    </row>
  </sheetData>
  <conditionalFormatting sqref="G1 I6">
    <cfRule type="containsBlanks" dxfId="69" priority="31">
      <formula>LEN(TRIM(G1))=0</formula>
    </cfRule>
    <cfRule type="cellIs" dxfId="68" priority="32" operator="equal">
      <formula>0</formula>
    </cfRule>
  </conditionalFormatting>
  <conditionalFormatting sqref="I1">
    <cfRule type="containsBlanks" dxfId="67" priority="29">
      <formula>LEN(TRIM(I1))=0</formula>
    </cfRule>
    <cfRule type="cellIs" dxfId="66" priority="30" operator="equal">
      <formula>0</formula>
    </cfRule>
  </conditionalFormatting>
  <conditionalFormatting sqref="G3:G4">
    <cfRule type="containsBlanks" dxfId="65" priority="27">
      <formula>LEN(TRIM(G3))=0</formula>
    </cfRule>
    <cfRule type="cellIs" dxfId="64" priority="28" operator="equal">
      <formula>0</formula>
    </cfRule>
  </conditionalFormatting>
  <conditionalFormatting sqref="I3:I4">
    <cfRule type="containsBlanks" dxfId="63" priority="25">
      <formula>LEN(TRIM(I3))=0</formula>
    </cfRule>
    <cfRule type="cellIs" dxfId="62" priority="26" operator="equal">
      <formula>0</formula>
    </cfRule>
  </conditionalFormatting>
  <conditionalFormatting sqref="G7:G8">
    <cfRule type="containsBlanks" dxfId="61" priority="23">
      <formula>LEN(TRIM(G7))=0</formula>
    </cfRule>
    <cfRule type="cellIs" dxfId="60" priority="24" operator="equal">
      <formula>0</formula>
    </cfRule>
  </conditionalFormatting>
  <conditionalFormatting sqref="I7:I8">
    <cfRule type="containsBlanks" dxfId="59" priority="21">
      <formula>LEN(TRIM(I7))=0</formula>
    </cfRule>
    <cfRule type="cellIs" dxfId="58" priority="22" operator="equal">
      <formula>0</formula>
    </cfRule>
  </conditionalFormatting>
  <conditionalFormatting sqref="G11:G12">
    <cfRule type="containsBlanks" dxfId="57" priority="19">
      <formula>LEN(TRIM(G11))=0</formula>
    </cfRule>
    <cfRule type="cellIs" dxfId="56" priority="20" operator="equal">
      <formula>0</formula>
    </cfRule>
  </conditionalFormatting>
  <conditionalFormatting sqref="I11:I12">
    <cfRule type="containsBlanks" dxfId="55" priority="17">
      <formula>LEN(TRIM(I11))=0</formula>
    </cfRule>
    <cfRule type="cellIs" dxfId="54" priority="18" operator="equal">
      <formula>0</formula>
    </cfRule>
  </conditionalFormatting>
  <conditionalFormatting sqref="G15:G16">
    <cfRule type="containsBlanks" dxfId="53" priority="15">
      <formula>LEN(TRIM(G15))=0</formula>
    </cfRule>
    <cfRule type="cellIs" dxfId="52" priority="16" operator="equal">
      <formula>0</formula>
    </cfRule>
  </conditionalFormatting>
  <conditionalFormatting sqref="I15:I16">
    <cfRule type="containsBlanks" dxfId="51" priority="13">
      <formula>LEN(TRIM(I15))=0</formula>
    </cfRule>
    <cfRule type="cellIs" dxfId="50" priority="14" operator="equal">
      <formula>0</formula>
    </cfRule>
  </conditionalFormatting>
  <conditionalFormatting sqref="I21">
    <cfRule type="containsBlanks" dxfId="49" priority="1">
      <formula>LEN(TRIM(I21))=0</formula>
    </cfRule>
    <cfRule type="cellIs" dxfId="48" priority="2" operator="equal">
      <formula>0</formula>
    </cfRule>
  </conditionalFormatting>
  <conditionalFormatting sqref="G19">
    <cfRule type="containsBlanks" dxfId="47" priority="11">
      <formula>LEN(TRIM(G19))=0</formula>
    </cfRule>
    <cfRule type="cellIs" dxfId="46" priority="12" operator="equal">
      <formula>0</formula>
    </cfRule>
  </conditionalFormatting>
  <conditionalFormatting sqref="I19">
    <cfRule type="containsBlanks" dxfId="45" priority="9">
      <formula>LEN(TRIM(I19))=0</formula>
    </cfRule>
    <cfRule type="cellIs" dxfId="44" priority="10" operator="equal">
      <formula>0</formula>
    </cfRule>
  </conditionalFormatting>
  <conditionalFormatting sqref="G20">
    <cfRule type="containsBlanks" dxfId="43" priority="7">
      <formula>LEN(TRIM(G20))=0</formula>
    </cfRule>
    <cfRule type="cellIs" dxfId="42" priority="8" operator="equal">
      <formula>0</formula>
    </cfRule>
  </conditionalFormatting>
  <conditionalFormatting sqref="I20">
    <cfRule type="containsBlanks" dxfId="41" priority="5">
      <formula>LEN(TRIM(I20))=0</formula>
    </cfRule>
    <cfRule type="cellIs" dxfId="40" priority="6" operator="equal">
      <formula>0</formula>
    </cfRule>
  </conditionalFormatting>
  <conditionalFormatting sqref="G21">
    <cfRule type="containsBlanks" dxfId="39" priority="3">
      <formula>LEN(TRIM(G21))=0</formula>
    </cfRule>
    <cfRule type="cellIs" dxfId="38" priority="4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دليل!$A$1:$A$50</xm:f>
          </x14:formula1>
          <xm:sqref>D11:D12 D15:D16 D7:D8 D3:D4 D19:D21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rightToLeft="1" zoomScale="85" zoomScaleNormal="85" workbookViewId="0">
      <pane ySplit="1" topLeftCell="A2" activePane="bottomLeft" state="frozen"/>
      <selection pane="bottomLeft" activeCell="F7" sqref="F2:F7"/>
    </sheetView>
  </sheetViews>
  <sheetFormatPr defaultRowHeight="15" x14ac:dyDescent="0.25"/>
  <cols>
    <col min="1" max="3" width="9.140625" style="2"/>
    <col min="4" max="4" width="13.42578125" style="2" customWidth="1"/>
    <col min="5" max="5" width="8.28515625" style="2" customWidth="1"/>
    <col min="6" max="6" width="10.7109375" style="146" customWidth="1"/>
    <col min="7" max="7" width="8.7109375" style="2" customWidth="1"/>
    <col min="8" max="8" width="9.140625" style="2"/>
    <col min="9" max="9" width="8.85546875" style="2" customWidth="1"/>
    <col min="10" max="10" width="10.7109375" style="2" customWidth="1"/>
    <col min="11" max="11" width="8.85546875" style="146" bestFit="1" customWidth="1"/>
    <col min="12" max="12" width="9.85546875" style="2" customWidth="1"/>
    <col min="13" max="13" width="8.42578125" style="56" bestFit="1" customWidth="1"/>
    <col min="14" max="14" width="7.7109375" style="56" bestFit="1" customWidth="1"/>
    <col min="15" max="15" width="9.140625" style="56"/>
    <col min="16" max="16" width="2" style="2" bestFit="1" customWidth="1"/>
    <col min="17" max="17" width="5.140625" style="2" bestFit="1" customWidth="1"/>
    <col min="18" max="18" width="14.5703125" style="2" bestFit="1" customWidth="1"/>
    <col min="19" max="19" width="3" style="2" bestFit="1" customWidth="1"/>
    <col min="20" max="21" width="8.85546875" style="2" bestFit="1" customWidth="1"/>
    <col min="22" max="22" width="6.140625" style="2" bestFit="1" customWidth="1"/>
    <col min="23" max="23" width="8.42578125" style="2" bestFit="1" customWidth="1"/>
    <col min="24" max="24" width="8.7109375" style="2" bestFit="1" customWidth="1"/>
    <col min="25" max="25" width="9.140625" style="2"/>
    <col min="26" max="26" width="3" style="2" bestFit="1" customWidth="1"/>
    <col min="27" max="27" width="5.140625" style="2" bestFit="1" customWidth="1"/>
    <col min="28" max="28" width="14.5703125" style="2" bestFit="1" customWidth="1"/>
    <col min="29" max="29" width="3" style="2" bestFit="1" customWidth="1"/>
    <col min="30" max="31" width="8.85546875" style="2" bestFit="1" customWidth="1"/>
    <col min="32" max="32" width="6.140625" style="2" bestFit="1" customWidth="1"/>
    <col min="33" max="33" width="8.42578125" style="2" bestFit="1" customWidth="1"/>
    <col min="34" max="34" width="8.7109375" style="2" bestFit="1" customWidth="1"/>
    <col min="35" max="35" width="9.140625" style="2"/>
    <col min="36" max="36" width="3" style="2" bestFit="1" customWidth="1"/>
    <col min="37" max="37" width="5.140625" style="2" bestFit="1" customWidth="1"/>
    <col min="38" max="38" width="14.5703125" style="2" bestFit="1" customWidth="1"/>
    <col min="39" max="39" width="3" style="2" bestFit="1" customWidth="1"/>
    <col min="40" max="41" width="8.85546875" style="2" bestFit="1" customWidth="1"/>
    <col min="42" max="42" width="6.140625" style="2" bestFit="1" customWidth="1"/>
    <col min="43" max="43" width="8.42578125" style="2" bestFit="1" customWidth="1"/>
    <col min="44" max="44" width="8.7109375" style="2" bestFit="1" customWidth="1"/>
    <col min="45" max="45" width="9.140625" style="2"/>
    <col min="46" max="46" width="3" style="2" bestFit="1" customWidth="1"/>
    <col min="47" max="47" width="10.7109375" style="2" customWidth="1"/>
    <col min="48" max="48" width="14.5703125" style="2" bestFit="1" customWidth="1"/>
    <col min="49" max="49" width="3" style="2" bestFit="1" customWidth="1"/>
    <col min="50" max="51" width="8.85546875" style="2" bestFit="1" customWidth="1"/>
    <col min="52" max="52" width="6.140625" style="2" bestFit="1" customWidth="1"/>
    <col min="53" max="53" width="8.42578125" style="2" bestFit="1" customWidth="1"/>
    <col min="54" max="54" width="8.7109375" style="2" bestFit="1" customWidth="1"/>
    <col min="55" max="16384" width="9.140625" style="2"/>
  </cols>
  <sheetData>
    <row r="1" spans="1:15" ht="45.75" thickBot="1" x14ac:dyDescent="0.3">
      <c r="A1" s="60" t="s">
        <v>0</v>
      </c>
      <c r="B1" s="61" t="s">
        <v>39</v>
      </c>
      <c r="C1" s="61" t="s">
        <v>41</v>
      </c>
      <c r="D1" s="61" t="s">
        <v>1</v>
      </c>
      <c r="E1" s="61" t="s">
        <v>40</v>
      </c>
      <c r="F1" s="145" t="s">
        <v>42</v>
      </c>
      <c r="G1" s="66" t="s">
        <v>49</v>
      </c>
      <c r="H1" s="67" t="s">
        <v>51</v>
      </c>
      <c r="I1" s="66" t="s">
        <v>6</v>
      </c>
      <c r="J1" s="67" t="s">
        <v>236</v>
      </c>
      <c r="K1" s="145" t="s">
        <v>55</v>
      </c>
      <c r="L1" s="68" t="s">
        <v>56</v>
      </c>
      <c r="M1" s="56" t="s">
        <v>234</v>
      </c>
      <c r="N1" s="56" t="s">
        <v>235</v>
      </c>
      <c r="O1" s="56" t="s">
        <v>237</v>
      </c>
    </row>
    <row r="2" spans="1:15" s="19" customFormat="1" x14ac:dyDescent="0.25">
      <c r="A2" s="17" t="s">
        <v>110</v>
      </c>
      <c r="B2" s="18" t="s">
        <v>2</v>
      </c>
      <c r="C2" s="19">
        <f>18*15</f>
        <v>270</v>
      </c>
      <c r="D2" s="19" t="s">
        <v>45</v>
      </c>
      <c r="E2" s="19">
        <v>18</v>
      </c>
      <c r="F2" s="26">
        <f t="shared" ref="F2:F7" si="0">C2/E2</f>
        <v>15</v>
      </c>
      <c r="G2" s="26">
        <v>3.59</v>
      </c>
      <c r="H2" s="26">
        <f t="shared" ref="H2:H7" si="1">G2*F2</f>
        <v>53.849999999999994</v>
      </c>
      <c r="I2" s="26">
        <v>0.45</v>
      </c>
      <c r="J2" s="26">
        <f t="shared" ref="J2:J7" si="2">H2*I2</f>
        <v>24.232499999999998</v>
      </c>
      <c r="K2" s="26">
        <v>15</v>
      </c>
      <c r="L2" s="26">
        <f t="shared" ref="L2:L7" si="3">F2-K2</f>
        <v>0</v>
      </c>
      <c r="M2" s="26"/>
      <c r="N2" s="26"/>
      <c r="O2" s="26"/>
    </row>
    <row r="3" spans="1:15" s="19" customFormat="1" x14ac:dyDescent="0.25">
      <c r="A3" s="17" t="s">
        <v>94</v>
      </c>
      <c r="B3" s="18" t="s">
        <v>34</v>
      </c>
      <c r="C3" s="19">
        <f>15*10</f>
        <v>150</v>
      </c>
      <c r="D3" s="19" t="s">
        <v>45</v>
      </c>
      <c r="E3" s="19">
        <v>15</v>
      </c>
      <c r="F3" s="26">
        <f t="shared" si="0"/>
        <v>10</v>
      </c>
      <c r="G3" s="26">
        <v>3.59</v>
      </c>
      <c r="H3" s="26">
        <f t="shared" si="1"/>
        <v>35.9</v>
      </c>
      <c r="I3" s="26">
        <v>0.45</v>
      </c>
      <c r="J3" s="26">
        <f t="shared" si="2"/>
        <v>16.155000000000001</v>
      </c>
      <c r="K3" s="26">
        <v>10</v>
      </c>
      <c r="L3" s="26">
        <f t="shared" si="3"/>
        <v>0</v>
      </c>
      <c r="M3" s="26"/>
      <c r="N3" s="26"/>
      <c r="O3" s="26"/>
    </row>
    <row r="4" spans="1:15" s="19" customFormat="1" x14ac:dyDescent="0.25">
      <c r="A4" s="17" t="s">
        <v>94</v>
      </c>
      <c r="B4" s="18" t="s">
        <v>35</v>
      </c>
      <c r="C4" s="19">
        <f>18*3</f>
        <v>54</v>
      </c>
      <c r="D4" s="19" t="s">
        <v>45</v>
      </c>
      <c r="E4" s="19">
        <v>18</v>
      </c>
      <c r="F4" s="26">
        <f t="shared" si="0"/>
        <v>3</v>
      </c>
      <c r="G4" s="26">
        <v>3.59</v>
      </c>
      <c r="H4" s="26">
        <f t="shared" si="1"/>
        <v>10.77</v>
      </c>
      <c r="I4" s="26">
        <v>0.45</v>
      </c>
      <c r="J4" s="26">
        <f t="shared" si="2"/>
        <v>4.8464999999999998</v>
      </c>
      <c r="K4" s="26">
        <v>3</v>
      </c>
      <c r="L4" s="26">
        <f t="shared" si="3"/>
        <v>0</v>
      </c>
      <c r="M4" s="26"/>
      <c r="N4" s="26"/>
      <c r="O4" s="26"/>
    </row>
    <row r="5" spans="1:15" s="19" customFormat="1" x14ac:dyDescent="0.25">
      <c r="A5" s="17" t="s">
        <v>94</v>
      </c>
      <c r="B5" s="18" t="s">
        <v>92</v>
      </c>
      <c r="C5" s="19">
        <f>15*10</f>
        <v>150</v>
      </c>
      <c r="D5" s="19" t="s">
        <v>45</v>
      </c>
      <c r="E5" s="19">
        <v>15</v>
      </c>
      <c r="F5" s="26">
        <f t="shared" si="0"/>
        <v>10</v>
      </c>
      <c r="G5" s="26">
        <v>3.59</v>
      </c>
      <c r="H5" s="26">
        <f t="shared" si="1"/>
        <v>35.9</v>
      </c>
      <c r="I5" s="26">
        <v>0.45</v>
      </c>
      <c r="J5" s="26">
        <f t="shared" si="2"/>
        <v>16.155000000000001</v>
      </c>
      <c r="K5" s="26">
        <v>10</v>
      </c>
      <c r="L5" s="26">
        <f t="shared" si="3"/>
        <v>0</v>
      </c>
      <c r="M5" s="26"/>
      <c r="N5" s="26"/>
      <c r="O5" s="26"/>
    </row>
    <row r="6" spans="1:15" s="19" customFormat="1" x14ac:dyDescent="0.25">
      <c r="A6" s="17" t="s">
        <v>94</v>
      </c>
      <c r="B6" s="18" t="s">
        <v>108</v>
      </c>
      <c r="C6" s="19">
        <f>18*10</f>
        <v>180</v>
      </c>
      <c r="D6" s="19" t="s">
        <v>45</v>
      </c>
      <c r="E6" s="19">
        <v>18</v>
      </c>
      <c r="F6" s="26">
        <f t="shared" si="0"/>
        <v>10</v>
      </c>
      <c r="G6" s="26">
        <v>3.59</v>
      </c>
      <c r="H6" s="26">
        <f t="shared" si="1"/>
        <v>35.9</v>
      </c>
      <c r="I6" s="26">
        <v>0.45</v>
      </c>
      <c r="J6" s="26">
        <f t="shared" si="2"/>
        <v>16.155000000000001</v>
      </c>
      <c r="K6" s="26">
        <v>10</v>
      </c>
      <c r="L6" s="26">
        <f t="shared" si="3"/>
        <v>0</v>
      </c>
      <c r="M6" s="26"/>
      <c r="N6" s="26"/>
      <c r="O6" s="26"/>
    </row>
    <row r="7" spans="1:15" s="19" customFormat="1" x14ac:dyDescent="0.25">
      <c r="A7" s="17" t="s">
        <v>94</v>
      </c>
      <c r="B7" s="18" t="s">
        <v>36</v>
      </c>
      <c r="C7" s="19">
        <f>11*15</f>
        <v>165</v>
      </c>
      <c r="D7" s="19" t="s">
        <v>45</v>
      </c>
      <c r="E7" s="19">
        <v>15</v>
      </c>
      <c r="F7" s="26">
        <f t="shared" si="0"/>
        <v>11</v>
      </c>
      <c r="G7" s="26">
        <v>3.59</v>
      </c>
      <c r="H7" s="26">
        <f t="shared" si="1"/>
        <v>39.489999999999995</v>
      </c>
      <c r="I7" s="26">
        <v>0.45</v>
      </c>
      <c r="J7" s="26">
        <f t="shared" si="2"/>
        <v>17.770499999999998</v>
      </c>
      <c r="K7" s="26">
        <v>11</v>
      </c>
      <c r="L7" s="26">
        <f t="shared" si="3"/>
        <v>0</v>
      </c>
      <c r="M7" s="26"/>
      <c r="N7" s="26"/>
      <c r="O7" s="26"/>
    </row>
    <row r="8" spans="1:15" s="53" customFormat="1" x14ac:dyDescent="0.25">
      <c r="H8" s="159">
        <f>SUM(H9:H29)</f>
        <v>235.59999999999997</v>
      </c>
      <c r="J8" s="159">
        <f>SUM(J9:J29)</f>
        <v>50.495000000000019</v>
      </c>
      <c r="M8" s="159">
        <f>SUM(M9:M29)</f>
        <v>1246</v>
      </c>
      <c r="N8" s="159">
        <f>SUM(N9:N29)</f>
        <v>1296.4949999999999</v>
      </c>
      <c r="O8" s="160"/>
    </row>
    <row r="9" spans="1:15" s="19" customFormat="1" x14ac:dyDescent="0.25">
      <c r="A9" s="17" t="s">
        <v>110</v>
      </c>
      <c r="B9" s="18" t="s">
        <v>2</v>
      </c>
      <c r="C9" s="19">
        <f>18*10</f>
        <v>180</v>
      </c>
      <c r="D9" s="19" t="s">
        <v>45</v>
      </c>
      <c r="E9" s="19">
        <v>18</v>
      </c>
      <c r="F9" s="26">
        <f t="shared" ref="F9:F29" si="4">C9/E9</f>
        <v>10</v>
      </c>
      <c r="G9" s="26">
        <v>1.35</v>
      </c>
      <c r="H9" s="26">
        <f t="shared" ref="H9:H29" si="5">G9*K9</f>
        <v>13.5</v>
      </c>
      <c r="I9" s="26">
        <v>0.45</v>
      </c>
      <c r="J9" s="26">
        <f>H9*I9</f>
        <v>6.0750000000000002</v>
      </c>
      <c r="K9" s="26">
        <v>10</v>
      </c>
      <c r="L9" s="26">
        <f t="shared" ref="L9:L29" si="6">F9-K9</f>
        <v>0</v>
      </c>
      <c r="M9" s="26">
        <f>K9*7</f>
        <v>70</v>
      </c>
      <c r="N9" s="26">
        <f>M9+J9</f>
        <v>76.075000000000003</v>
      </c>
      <c r="O9" s="26">
        <f>N9/C9</f>
        <v>0.4226388888888889</v>
      </c>
    </row>
    <row r="10" spans="1:15" s="19" customFormat="1" x14ac:dyDescent="0.25">
      <c r="A10" s="17" t="s">
        <v>94</v>
      </c>
      <c r="B10" s="18" t="s">
        <v>34</v>
      </c>
      <c r="C10" s="19">
        <f>10*15</f>
        <v>150</v>
      </c>
      <c r="D10" s="19" t="s">
        <v>45</v>
      </c>
      <c r="E10" s="19">
        <v>15</v>
      </c>
      <c r="F10" s="26">
        <f t="shared" si="4"/>
        <v>10</v>
      </c>
      <c r="G10" s="26">
        <v>1.26</v>
      </c>
      <c r="H10" s="26">
        <f t="shared" si="5"/>
        <v>12.6</v>
      </c>
      <c r="I10" s="26">
        <v>0.2</v>
      </c>
      <c r="J10" s="26">
        <f t="shared" ref="J10:J29" si="7">H10*I10</f>
        <v>2.52</v>
      </c>
      <c r="K10" s="26">
        <v>10</v>
      </c>
      <c r="L10" s="26">
        <f t="shared" si="6"/>
        <v>0</v>
      </c>
      <c r="M10" s="26">
        <f t="shared" ref="M10:M29" si="8">K10*7</f>
        <v>70</v>
      </c>
      <c r="N10" s="26">
        <f t="shared" ref="N10:N29" si="9">M10+J10</f>
        <v>72.52</v>
      </c>
      <c r="O10" s="26">
        <f t="shared" ref="O10:O29" si="10">N10/C10</f>
        <v>0.48346666666666666</v>
      </c>
    </row>
    <row r="11" spans="1:15" s="19" customFormat="1" x14ac:dyDescent="0.25">
      <c r="A11" s="17" t="s">
        <v>95</v>
      </c>
      <c r="B11" s="18" t="s">
        <v>35</v>
      </c>
      <c r="C11" s="19">
        <f>5*15</f>
        <v>75</v>
      </c>
      <c r="D11" s="19" t="s">
        <v>45</v>
      </c>
      <c r="E11" s="19">
        <v>15</v>
      </c>
      <c r="F11" s="26">
        <f t="shared" si="4"/>
        <v>5</v>
      </c>
      <c r="G11" s="26">
        <v>1.4</v>
      </c>
      <c r="H11" s="26">
        <f t="shared" si="5"/>
        <v>7</v>
      </c>
      <c r="I11" s="26">
        <v>0.2</v>
      </c>
      <c r="J11" s="26">
        <f t="shared" si="7"/>
        <v>1.4000000000000001</v>
      </c>
      <c r="K11" s="26">
        <v>5</v>
      </c>
      <c r="L11" s="26">
        <f t="shared" si="6"/>
        <v>0</v>
      </c>
      <c r="M11" s="26">
        <f t="shared" si="8"/>
        <v>35</v>
      </c>
      <c r="N11" s="26">
        <f t="shared" si="9"/>
        <v>36.4</v>
      </c>
      <c r="O11" s="26">
        <f t="shared" si="10"/>
        <v>0.48533333333333334</v>
      </c>
    </row>
    <row r="12" spans="1:15" s="19" customFormat="1" x14ac:dyDescent="0.25">
      <c r="A12" s="17" t="s">
        <v>53</v>
      </c>
      <c r="B12" s="18" t="s">
        <v>92</v>
      </c>
      <c r="C12" s="19">
        <f>5*15</f>
        <v>75</v>
      </c>
      <c r="D12" s="19" t="s">
        <v>45</v>
      </c>
      <c r="E12" s="19">
        <v>15</v>
      </c>
      <c r="F12" s="26">
        <f t="shared" si="4"/>
        <v>5</v>
      </c>
      <c r="G12" s="26">
        <v>1.18</v>
      </c>
      <c r="H12" s="26">
        <f t="shared" si="5"/>
        <v>5.8999999999999995</v>
      </c>
      <c r="I12" s="26">
        <v>0.2</v>
      </c>
      <c r="J12" s="26">
        <f t="shared" si="7"/>
        <v>1.18</v>
      </c>
      <c r="K12" s="26">
        <v>5</v>
      </c>
      <c r="L12" s="26">
        <f t="shared" si="6"/>
        <v>0</v>
      </c>
      <c r="M12" s="26">
        <f t="shared" si="8"/>
        <v>35</v>
      </c>
      <c r="N12" s="26">
        <f t="shared" si="9"/>
        <v>36.18</v>
      </c>
      <c r="O12" s="26">
        <f t="shared" si="10"/>
        <v>0.4824</v>
      </c>
    </row>
    <row r="13" spans="1:15" s="19" customFormat="1" x14ac:dyDescent="0.25">
      <c r="A13" s="17" t="s">
        <v>61</v>
      </c>
      <c r="B13" s="18" t="s">
        <v>218</v>
      </c>
      <c r="C13" s="19">
        <f>10*18</f>
        <v>180</v>
      </c>
      <c r="D13" s="19" t="s">
        <v>45</v>
      </c>
      <c r="E13" s="19">
        <v>18</v>
      </c>
      <c r="F13" s="26">
        <f t="shared" si="4"/>
        <v>10</v>
      </c>
      <c r="G13" s="26">
        <v>1.37</v>
      </c>
      <c r="H13" s="26">
        <f t="shared" si="5"/>
        <v>13.700000000000001</v>
      </c>
      <c r="I13" s="26">
        <v>0.2</v>
      </c>
      <c r="J13" s="26">
        <f t="shared" si="7"/>
        <v>2.74</v>
      </c>
      <c r="K13" s="26">
        <v>10</v>
      </c>
      <c r="L13" s="26">
        <f t="shared" si="6"/>
        <v>0</v>
      </c>
      <c r="M13" s="26">
        <f t="shared" si="8"/>
        <v>70</v>
      </c>
      <c r="N13" s="26">
        <f t="shared" si="9"/>
        <v>72.739999999999995</v>
      </c>
      <c r="O13" s="26">
        <f t="shared" si="10"/>
        <v>0.40411111111111109</v>
      </c>
    </row>
    <row r="14" spans="1:15" s="19" customFormat="1" x14ac:dyDescent="0.25">
      <c r="A14" s="17" t="s">
        <v>63</v>
      </c>
      <c r="B14" s="18" t="s">
        <v>219</v>
      </c>
      <c r="C14" s="19">
        <f>24*5</f>
        <v>120</v>
      </c>
      <c r="D14" s="19" t="s">
        <v>45</v>
      </c>
      <c r="E14" s="19">
        <v>24</v>
      </c>
      <c r="F14" s="26">
        <f t="shared" si="4"/>
        <v>5</v>
      </c>
      <c r="G14" s="26">
        <v>1.45</v>
      </c>
      <c r="H14" s="26">
        <f t="shared" si="5"/>
        <v>7.25</v>
      </c>
      <c r="I14" s="26">
        <v>0.2</v>
      </c>
      <c r="J14" s="26">
        <f t="shared" si="7"/>
        <v>1.4500000000000002</v>
      </c>
      <c r="K14" s="26">
        <v>5</v>
      </c>
      <c r="L14" s="26">
        <f t="shared" si="6"/>
        <v>0</v>
      </c>
      <c r="M14" s="26">
        <f t="shared" si="8"/>
        <v>35</v>
      </c>
      <c r="N14" s="26">
        <f t="shared" si="9"/>
        <v>36.450000000000003</v>
      </c>
      <c r="O14" s="26">
        <f t="shared" si="10"/>
        <v>0.30375000000000002</v>
      </c>
    </row>
    <row r="15" spans="1:15" s="19" customFormat="1" x14ac:dyDescent="0.25">
      <c r="A15" s="17" t="s">
        <v>64</v>
      </c>
      <c r="B15" s="18" t="s">
        <v>108</v>
      </c>
      <c r="C15" s="19">
        <f>1*18</f>
        <v>18</v>
      </c>
      <c r="D15" s="19" t="s">
        <v>45</v>
      </c>
      <c r="E15" s="19">
        <v>18</v>
      </c>
      <c r="F15" s="26">
        <f t="shared" si="4"/>
        <v>1</v>
      </c>
      <c r="G15" s="26">
        <v>1.4</v>
      </c>
      <c r="H15" s="26">
        <f t="shared" si="5"/>
        <v>1.4</v>
      </c>
      <c r="I15" s="26">
        <v>0.2</v>
      </c>
      <c r="J15" s="26">
        <f t="shared" si="7"/>
        <v>0.27999999999999997</v>
      </c>
      <c r="K15" s="26">
        <v>1</v>
      </c>
      <c r="L15" s="26">
        <f t="shared" si="6"/>
        <v>0</v>
      </c>
      <c r="M15" s="26">
        <f t="shared" si="8"/>
        <v>7</v>
      </c>
      <c r="N15" s="26">
        <f t="shared" si="9"/>
        <v>7.28</v>
      </c>
      <c r="O15" s="26">
        <f t="shared" si="10"/>
        <v>0.40444444444444444</v>
      </c>
    </row>
    <row r="16" spans="1:15" s="19" customFormat="1" x14ac:dyDescent="0.25">
      <c r="A16" s="17" t="s">
        <v>65</v>
      </c>
      <c r="B16" s="18" t="s">
        <v>103</v>
      </c>
      <c r="C16" s="19">
        <f>15*15</f>
        <v>225</v>
      </c>
      <c r="D16" s="19" t="s">
        <v>45</v>
      </c>
      <c r="E16" s="19">
        <v>15</v>
      </c>
      <c r="F16" s="26">
        <f t="shared" si="4"/>
        <v>15</v>
      </c>
      <c r="G16" s="26">
        <v>1.4</v>
      </c>
      <c r="H16" s="26">
        <f t="shared" si="5"/>
        <v>21</v>
      </c>
      <c r="I16" s="26">
        <v>0.2</v>
      </c>
      <c r="J16" s="26">
        <f t="shared" si="7"/>
        <v>4.2</v>
      </c>
      <c r="K16" s="26">
        <v>15</v>
      </c>
      <c r="L16" s="26">
        <f t="shared" si="6"/>
        <v>0</v>
      </c>
      <c r="M16" s="26">
        <f t="shared" si="8"/>
        <v>105</v>
      </c>
      <c r="N16" s="26">
        <f t="shared" si="9"/>
        <v>109.2</v>
      </c>
      <c r="O16" s="26">
        <f t="shared" si="10"/>
        <v>0.48533333333333334</v>
      </c>
    </row>
    <row r="17" spans="1:15" s="19" customFormat="1" x14ac:dyDescent="0.25">
      <c r="A17" s="17" t="s">
        <v>66</v>
      </c>
      <c r="B17" s="18" t="s">
        <v>220</v>
      </c>
      <c r="C17" s="19">
        <f>24*10</f>
        <v>240</v>
      </c>
      <c r="D17" s="19" t="s">
        <v>45</v>
      </c>
      <c r="E17" s="19">
        <v>24</v>
      </c>
      <c r="F17" s="26">
        <f t="shared" si="4"/>
        <v>10</v>
      </c>
      <c r="G17" s="26">
        <v>1.26</v>
      </c>
      <c r="H17" s="26">
        <f t="shared" si="5"/>
        <v>12.6</v>
      </c>
      <c r="I17" s="26">
        <v>0.2</v>
      </c>
      <c r="J17" s="26">
        <f t="shared" si="7"/>
        <v>2.52</v>
      </c>
      <c r="K17" s="26">
        <v>10</v>
      </c>
      <c r="L17" s="26">
        <f t="shared" si="6"/>
        <v>0</v>
      </c>
      <c r="M17" s="26">
        <f t="shared" si="8"/>
        <v>70</v>
      </c>
      <c r="N17" s="26">
        <f t="shared" si="9"/>
        <v>72.52</v>
      </c>
      <c r="O17" s="26">
        <f t="shared" si="10"/>
        <v>0.30216666666666664</v>
      </c>
    </row>
    <row r="18" spans="1:15" s="19" customFormat="1" x14ac:dyDescent="0.25">
      <c r="A18" s="17" t="s">
        <v>67</v>
      </c>
      <c r="B18" s="18" t="s">
        <v>221</v>
      </c>
      <c r="C18" s="19">
        <f>15*5</f>
        <v>75</v>
      </c>
      <c r="D18" s="19" t="s">
        <v>45</v>
      </c>
      <c r="E18" s="19">
        <v>15</v>
      </c>
      <c r="F18" s="26">
        <f t="shared" si="4"/>
        <v>5</v>
      </c>
      <c r="G18" s="26">
        <v>1.35</v>
      </c>
      <c r="H18" s="26">
        <f t="shared" si="5"/>
        <v>6.75</v>
      </c>
      <c r="I18" s="26">
        <v>0.2</v>
      </c>
      <c r="J18" s="26">
        <f t="shared" si="7"/>
        <v>1.35</v>
      </c>
      <c r="K18" s="26">
        <v>5</v>
      </c>
      <c r="L18" s="26">
        <f t="shared" si="6"/>
        <v>0</v>
      </c>
      <c r="M18" s="26">
        <f t="shared" si="8"/>
        <v>35</v>
      </c>
      <c r="N18" s="26">
        <f t="shared" si="9"/>
        <v>36.35</v>
      </c>
      <c r="O18" s="26">
        <f t="shared" si="10"/>
        <v>0.48466666666666669</v>
      </c>
    </row>
    <row r="19" spans="1:15" s="19" customFormat="1" x14ac:dyDescent="0.25">
      <c r="A19" s="17" t="s">
        <v>68</v>
      </c>
      <c r="B19" s="18" t="s">
        <v>222</v>
      </c>
      <c r="C19" s="19">
        <f>21*10</f>
        <v>210</v>
      </c>
      <c r="D19" s="19" t="s">
        <v>45</v>
      </c>
      <c r="E19" s="19">
        <v>21</v>
      </c>
      <c r="F19" s="26">
        <f t="shared" si="4"/>
        <v>10</v>
      </c>
      <c r="G19" s="26">
        <v>1.35</v>
      </c>
      <c r="H19" s="26">
        <f t="shared" si="5"/>
        <v>13.5</v>
      </c>
      <c r="I19" s="26">
        <v>0.2</v>
      </c>
      <c r="J19" s="26">
        <f t="shared" si="7"/>
        <v>2.7</v>
      </c>
      <c r="K19" s="26">
        <v>10</v>
      </c>
      <c r="L19" s="26">
        <f t="shared" si="6"/>
        <v>0</v>
      </c>
      <c r="M19" s="26">
        <f t="shared" si="8"/>
        <v>70</v>
      </c>
      <c r="N19" s="26">
        <f t="shared" si="9"/>
        <v>72.7</v>
      </c>
      <c r="O19" s="26">
        <f t="shared" si="10"/>
        <v>0.34619047619047622</v>
      </c>
    </row>
    <row r="20" spans="1:15" s="19" customFormat="1" x14ac:dyDescent="0.25">
      <c r="A20" s="17" t="s">
        <v>69</v>
      </c>
      <c r="B20" s="18" t="s">
        <v>223</v>
      </c>
      <c r="C20" s="19">
        <f>12*20</f>
        <v>240</v>
      </c>
      <c r="D20" s="19" t="s">
        <v>45</v>
      </c>
      <c r="E20" s="19">
        <v>12</v>
      </c>
      <c r="F20" s="26">
        <f t="shared" si="4"/>
        <v>20</v>
      </c>
      <c r="G20" s="26">
        <v>1.35</v>
      </c>
      <c r="H20" s="26">
        <f t="shared" si="5"/>
        <v>27</v>
      </c>
      <c r="I20" s="26">
        <v>0.2</v>
      </c>
      <c r="J20" s="26">
        <f t="shared" si="7"/>
        <v>5.4</v>
      </c>
      <c r="K20" s="26">
        <v>20</v>
      </c>
      <c r="L20" s="26">
        <f t="shared" si="6"/>
        <v>0</v>
      </c>
      <c r="M20" s="26">
        <f t="shared" si="8"/>
        <v>140</v>
      </c>
      <c r="N20" s="26">
        <f t="shared" si="9"/>
        <v>145.4</v>
      </c>
      <c r="O20" s="26">
        <f t="shared" si="10"/>
        <v>0.60583333333333333</v>
      </c>
    </row>
    <row r="21" spans="1:15" s="19" customFormat="1" x14ac:dyDescent="0.25">
      <c r="A21" s="17" t="s">
        <v>70</v>
      </c>
      <c r="B21" s="18" t="s">
        <v>224</v>
      </c>
      <c r="C21" s="19">
        <f>15*15</f>
        <v>225</v>
      </c>
      <c r="D21" s="19" t="s">
        <v>45</v>
      </c>
      <c r="E21" s="19">
        <v>15</v>
      </c>
      <c r="F21" s="26">
        <f t="shared" si="4"/>
        <v>15</v>
      </c>
      <c r="G21" s="26">
        <v>1.34</v>
      </c>
      <c r="H21" s="26">
        <f t="shared" si="5"/>
        <v>20.100000000000001</v>
      </c>
      <c r="I21" s="26">
        <v>0.2</v>
      </c>
      <c r="J21" s="26">
        <f t="shared" si="7"/>
        <v>4.0200000000000005</v>
      </c>
      <c r="K21" s="26">
        <v>15</v>
      </c>
      <c r="L21" s="26">
        <f t="shared" si="6"/>
        <v>0</v>
      </c>
      <c r="M21" s="26">
        <f t="shared" si="8"/>
        <v>105</v>
      </c>
      <c r="N21" s="26">
        <f t="shared" si="9"/>
        <v>109.02</v>
      </c>
      <c r="O21" s="26">
        <f t="shared" si="10"/>
        <v>0.48453333333333332</v>
      </c>
    </row>
    <row r="22" spans="1:15" s="19" customFormat="1" x14ac:dyDescent="0.25">
      <c r="A22" s="17" t="s">
        <v>73</v>
      </c>
      <c r="B22" s="18" t="s">
        <v>225</v>
      </c>
      <c r="C22" s="19">
        <f>18*10</f>
        <v>180</v>
      </c>
      <c r="D22" s="19" t="s">
        <v>45</v>
      </c>
      <c r="E22" s="19">
        <v>18</v>
      </c>
      <c r="F22" s="26">
        <f t="shared" si="4"/>
        <v>10</v>
      </c>
      <c r="G22" s="26">
        <v>1.1399999999999999</v>
      </c>
      <c r="H22" s="26">
        <f t="shared" si="5"/>
        <v>11.399999999999999</v>
      </c>
      <c r="I22" s="26">
        <v>0.2</v>
      </c>
      <c r="J22" s="26">
        <f t="shared" si="7"/>
        <v>2.2799999999999998</v>
      </c>
      <c r="K22" s="26">
        <v>10</v>
      </c>
      <c r="L22" s="26">
        <f t="shared" si="6"/>
        <v>0</v>
      </c>
      <c r="M22" s="26">
        <f t="shared" si="8"/>
        <v>70</v>
      </c>
      <c r="N22" s="26">
        <f t="shared" si="9"/>
        <v>72.28</v>
      </c>
      <c r="O22" s="26">
        <f t="shared" si="10"/>
        <v>0.40155555555555555</v>
      </c>
    </row>
    <row r="23" spans="1:15" s="19" customFormat="1" x14ac:dyDescent="0.25">
      <c r="A23" s="17" t="s">
        <v>77</v>
      </c>
      <c r="B23" s="18" t="s">
        <v>226</v>
      </c>
      <c r="C23" s="19">
        <f>21*5</f>
        <v>105</v>
      </c>
      <c r="D23" s="19" t="s">
        <v>45</v>
      </c>
      <c r="E23" s="19">
        <v>21</v>
      </c>
      <c r="F23" s="26">
        <f t="shared" si="4"/>
        <v>5</v>
      </c>
      <c r="G23" s="26">
        <v>1.35</v>
      </c>
      <c r="H23" s="26">
        <f t="shared" si="5"/>
        <v>6.75</v>
      </c>
      <c r="I23" s="26">
        <v>0.2</v>
      </c>
      <c r="J23" s="26">
        <f t="shared" si="7"/>
        <v>1.35</v>
      </c>
      <c r="K23" s="26">
        <v>5</v>
      </c>
      <c r="L23" s="26">
        <f t="shared" si="6"/>
        <v>0</v>
      </c>
      <c r="M23" s="26">
        <f t="shared" si="8"/>
        <v>35</v>
      </c>
      <c r="N23" s="26">
        <f t="shared" si="9"/>
        <v>36.35</v>
      </c>
      <c r="O23" s="26">
        <f t="shared" si="10"/>
        <v>0.34619047619047622</v>
      </c>
    </row>
    <row r="24" spans="1:15" s="19" customFormat="1" x14ac:dyDescent="0.25">
      <c r="A24" s="17" t="s">
        <v>79</v>
      </c>
      <c r="B24" s="18" t="s">
        <v>105</v>
      </c>
      <c r="C24" s="19">
        <f>15*10</f>
        <v>150</v>
      </c>
      <c r="D24" s="19" t="s">
        <v>45</v>
      </c>
      <c r="E24" s="19">
        <v>15</v>
      </c>
      <c r="F24" s="26">
        <f t="shared" si="4"/>
        <v>10</v>
      </c>
      <c r="G24" s="26">
        <v>1.35</v>
      </c>
      <c r="H24" s="26">
        <f t="shared" si="5"/>
        <v>13.5</v>
      </c>
      <c r="I24" s="26">
        <v>0.2</v>
      </c>
      <c r="J24" s="26">
        <f t="shared" si="7"/>
        <v>2.7</v>
      </c>
      <c r="K24" s="26">
        <v>10</v>
      </c>
      <c r="L24" s="26">
        <f t="shared" si="6"/>
        <v>0</v>
      </c>
      <c r="M24" s="26">
        <f t="shared" si="8"/>
        <v>70</v>
      </c>
      <c r="N24" s="26">
        <f t="shared" si="9"/>
        <v>72.7</v>
      </c>
      <c r="O24" s="26">
        <f t="shared" si="10"/>
        <v>0.48466666666666669</v>
      </c>
    </row>
    <row r="25" spans="1:15" s="19" customFormat="1" x14ac:dyDescent="0.25">
      <c r="A25" s="17" t="s">
        <v>81</v>
      </c>
      <c r="B25" s="18" t="s">
        <v>227</v>
      </c>
      <c r="C25" s="19">
        <f>18*10</f>
        <v>180</v>
      </c>
      <c r="D25" s="19" t="s">
        <v>45</v>
      </c>
      <c r="E25" s="19">
        <v>18</v>
      </c>
      <c r="F25" s="26">
        <f t="shared" si="4"/>
        <v>10</v>
      </c>
      <c r="G25" s="26">
        <v>1.35</v>
      </c>
      <c r="H25" s="26">
        <f t="shared" si="5"/>
        <v>13.5</v>
      </c>
      <c r="I25" s="26">
        <v>0.2</v>
      </c>
      <c r="J25" s="26">
        <f t="shared" si="7"/>
        <v>2.7</v>
      </c>
      <c r="K25" s="26">
        <v>10</v>
      </c>
      <c r="L25" s="26">
        <f t="shared" si="6"/>
        <v>0</v>
      </c>
      <c r="M25" s="26">
        <f t="shared" si="8"/>
        <v>70</v>
      </c>
      <c r="N25" s="26">
        <f t="shared" si="9"/>
        <v>72.7</v>
      </c>
      <c r="O25" s="26">
        <f t="shared" si="10"/>
        <v>0.40388888888888891</v>
      </c>
    </row>
    <row r="26" spans="1:15" s="19" customFormat="1" x14ac:dyDescent="0.25">
      <c r="A26" s="17" t="s">
        <v>82</v>
      </c>
      <c r="B26" s="18" t="s">
        <v>228</v>
      </c>
      <c r="C26" s="19">
        <f>18*5</f>
        <v>90</v>
      </c>
      <c r="D26" s="19" t="s">
        <v>45</v>
      </c>
      <c r="E26" s="19">
        <v>18</v>
      </c>
      <c r="F26" s="26">
        <f t="shared" si="4"/>
        <v>5</v>
      </c>
      <c r="G26" s="26">
        <v>1.35</v>
      </c>
      <c r="H26" s="26">
        <f t="shared" si="5"/>
        <v>6.75</v>
      </c>
      <c r="I26" s="26">
        <v>0.2</v>
      </c>
      <c r="J26" s="26">
        <f t="shared" si="7"/>
        <v>1.35</v>
      </c>
      <c r="K26" s="26">
        <v>5</v>
      </c>
      <c r="L26" s="26">
        <f t="shared" si="6"/>
        <v>0</v>
      </c>
      <c r="M26" s="26">
        <f t="shared" si="8"/>
        <v>35</v>
      </c>
      <c r="N26" s="26">
        <f t="shared" si="9"/>
        <v>36.35</v>
      </c>
      <c r="O26" s="26">
        <f t="shared" si="10"/>
        <v>0.40388888888888891</v>
      </c>
    </row>
    <row r="27" spans="1:15" s="19" customFormat="1" x14ac:dyDescent="0.25">
      <c r="A27" s="17" t="s">
        <v>85</v>
      </c>
      <c r="B27" s="18" t="s">
        <v>229</v>
      </c>
      <c r="C27" s="19">
        <f>12*5</f>
        <v>60</v>
      </c>
      <c r="D27" s="19" t="s">
        <v>45</v>
      </c>
      <c r="E27" s="19">
        <v>12</v>
      </c>
      <c r="F27" s="26">
        <f t="shared" si="4"/>
        <v>5</v>
      </c>
      <c r="G27" s="26">
        <v>1.19</v>
      </c>
      <c r="H27" s="26">
        <f t="shared" si="5"/>
        <v>5.9499999999999993</v>
      </c>
      <c r="I27" s="26">
        <v>0.2</v>
      </c>
      <c r="J27" s="26">
        <f t="shared" si="7"/>
        <v>1.19</v>
      </c>
      <c r="K27" s="26">
        <v>5</v>
      </c>
      <c r="L27" s="26">
        <f t="shared" si="6"/>
        <v>0</v>
      </c>
      <c r="M27" s="26">
        <f t="shared" si="8"/>
        <v>35</v>
      </c>
      <c r="N27" s="26">
        <f t="shared" si="9"/>
        <v>36.19</v>
      </c>
      <c r="O27" s="26">
        <f t="shared" si="10"/>
        <v>0.60316666666666663</v>
      </c>
    </row>
    <row r="28" spans="1:15" s="19" customFormat="1" x14ac:dyDescent="0.25">
      <c r="A28" s="17" t="s">
        <v>87</v>
      </c>
      <c r="B28" s="18" t="s">
        <v>93</v>
      </c>
      <c r="C28" s="19">
        <f>21*5</f>
        <v>105</v>
      </c>
      <c r="D28" s="19" t="s">
        <v>45</v>
      </c>
      <c r="E28" s="19">
        <v>15</v>
      </c>
      <c r="F28" s="26">
        <f t="shared" si="4"/>
        <v>7</v>
      </c>
      <c r="G28" s="26">
        <v>1.3</v>
      </c>
      <c r="H28" s="26">
        <f t="shared" si="5"/>
        <v>9.1</v>
      </c>
      <c r="I28" s="26">
        <v>0.2</v>
      </c>
      <c r="J28" s="26">
        <f t="shared" si="7"/>
        <v>1.82</v>
      </c>
      <c r="K28" s="26">
        <v>7</v>
      </c>
      <c r="L28" s="26">
        <f t="shared" si="6"/>
        <v>0</v>
      </c>
      <c r="M28" s="26">
        <f t="shared" si="8"/>
        <v>49</v>
      </c>
      <c r="N28" s="26">
        <f t="shared" si="9"/>
        <v>50.82</v>
      </c>
      <c r="O28" s="26">
        <f t="shared" si="10"/>
        <v>0.48399999999999999</v>
      </c>
    </row>
    <row r="29" spans="1:15" s="19" customFormat="1" x14ac:dyDescent="0.25">
      <c r="A29" s="17" t="s">
        <v>111</v>
      </c>
      <c r="B29" s="18" t="s">
        <v>230</v>
      </c>
      <c r="C29" s="19">
        <f>18*5</f>
        <v>90</v>
      </c>
      <c r="D29" s="19" t="s">
        <v>45</v>
      </c>
      <c r="E29" s="19">
        <v>18</v>
      </c>
      <c r="F29" s="26">
        <f t="shared" si="4"/>
        <v>5</v>
      </c>
      <c r="G29" s="26">
        <v>1.27</v>
      </c>
      <c r="H29" s="26">
        <f t="shared" si="5"/>
        <v>6.35</v>
      </c>
      <c r="I29" s="26">
        <v>0.2</v>
      </c>
      <c r="J29" s="26">
        <f t="shared" si="7"/>
        <v>1.27</v>
      </c>
      <c r="K29" s="26">
        <v>5</v>
      </c>
      <c r="L29" s="26">
        <f t="shared" si="6"/>
        <v>0</v>
      </c>
      <c r="M29" s="26">
        <f t="shared" si="8"/>
        <v>35</v>
      </c>
      <c r="N29" s="26">
        <f t="shared" si="9"/>
        <v>36.270000000000003</v>
      </c>
      <c r="O29" s="26">
        <f t="shared" si="10"/>
        <v>0.40300000000000002</v>
      </c>
    </row>
    <row r="30" spans="1:15" s="53" customFormat="1" x14ac:dyDescent="0.25">
      <c r="M30" s="160"/>
      <c r="N30" s="160"/>
      <c r="O30" s="160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دليل!$A$1:$A$50</xm:f>
          </x14:formula1>
          <xm:sqref>D2:D7 D9:D29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zoomScale="85" zoomScaleNormal="85" workbookViewId="0">
      <pane ySplit="1" topLeftCell="A2" activePane="bottomLeft" state="frozen"/>
      <selection pane="bottomLeft" activeCell="A13" sqref="A13:XFD13"/>
    </sheetView>
  </sheetViews>
  <sheetFormatPr defaultRowHeight="15" x14ac:dyDescent="0.25"/>
  <cols>
    <col min="1" max="1" width="15.5703125" style="5" customWidth="1"/>
    <col min="2" max="2" width="12.42578125" style="4" customWidth="1"/>
    <col min="3" max="3" width="9.5703125" style="3" customWidth="1"/>
    <col min="4" max="4" width="15.7109375" style="3" customWidth="1"/>
    <col min="5" max="5" width="12.7109375" style="3" customWidth="1"/>
    <col min="6" max="6" width="9.140625" style="30"/>
    <col min="7" max="7" width="8.5703125" style="29" customWidth="1"/>
    <col min="8" max="8" width="11.85546875" style="31" customWidth="1"/>
    <col min="9" max="9" width="7.42578125" style="29" customWidth="1"/>
    <col min="10" max="10" width="12.7109375" style="31" customWidth="1"/>
    <col min="11" max="11" width="9.140625" style="29"/>
    <col min="12" max="12" width="10.85546875" style="31" customWidth="1"/>
    <col min="13" max="13" width="8.28515625" style="29" customWidth="1"/>
    <col min="14" max="14" width="10.42578125" style="31" bestFit="1" customWidth="1"/>
    <col min="15" max="15" width="9.140625" style="31"/>
    <col min="16" max="16" width="9.140625" style="30"/>
    <col min="17" max="17" width="9.140625" style="31"/>
    <col min="18" max="16384" width="9.140625" style="1"/>
  </cols>
  <sheetData>
    <row r="1" spans="1:27" s="2" customFormat="1" ht="45.75" thickBot="1" x14ac:dyDescent="0.3">
      <c r="A1" s="60" t="s">
        <v>0</v>
      </c>
      <c r="B1" s="61" t="s">
        <v>39</v>
      </c>
      <c r="C1" s="61" t="s">
        <v>41</v>
      </c>
      <c r="D1" s="61" t="s">
        <v>1</v>
      </c>
      <c r="E1" s="61" t="s">
        <v>40</v>
      </c>
      <c r="F1" s="65" t="s">
        <v>42</v>
      </c>
      <c r="G1" s="66" t="s">
        <v>50</v>
      </c>
      <c r="H1" s="67" t="s">
        <v>48</v>
      </c>
      <c r="I1" s="66" t="s">
        <v>49</v>
      </c>
      <c r="J1" s="67" t="s">
        <v>51</v>
      </c>
      <c r="K1" s="66" t="s">
        <v>6</v>
      </c>
      <c r="L1" s="67" t="s">
        <v>8</v>
      </c>
      <c r="M1" s="66" t="s">
        <v>7</v>
      </c>
      <c r="N1" s="67" t="s">
        <v>43</v>
      </c>
      <c r="O1" s="67" t="s">
        <v>44</v>
      </c>
      <c r="P1" s="65" t="s">
        <v>55</v>
      </c>
      <c r="Q1" s="68" t="s">
        <v>56</v>
      </c>
      <c r="R1" s="2" t="s">
        <v>201</v>
      </c>
      <c r="S1" s="38" t="s">
        <v>56</v>
      </c>
      <c r="T1" s="86" t="s">
        <v>202</v>
      </c>
      <c r="U1" s="86" t="s">
        <v>148</v>
      </c>
      <c r="V1" s="86"/>
      <c r="W1" s="86"/>
      <c r="X1" s="86"/>
    </row>
    <row r="2" spans="1:27" s="16" customFormat="1" ht="45.75" customHeight="1" thickBot="1" x14ac:dyDescent="0.3">
      <c r="A2" s="62" t="s">
        <v>46</v>
      </c>
      <c r="B2" s="59" t="s">
        <v>37</v>
      </c>
      <c r="C2" s="63">
        <v>20200813</v>
      </c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S2" s="63"/>
      <c r="T2" s="63"/>
      <c r="U2" s="63">
        <v>1.2</v>
      </c>
      <c r="V2" s="63"/>
      <c r="W2" s="63"/>
      <c r="X2" s="63"/>
      <c r="Y2" s="63"/>
      <c r="Z2" s="57" t="s">
        <v>160</v>
      </c>
      <c r="AA2" s="58">
        <v>1.2</v>
      </c>
    </row>
    <row r="3" spans="1:27" s="19" customFormat="1" x14ac:dyDescent="0.25">
      <c r="A3" s="17">
        <v>1</v>
      </c>
      <c r="B3" s="18" t="s">
        <v>38</v>
      </c>
      <c r="C3" s="19">
        <f>50*12</f>
        <v>600</v>
      </c>
      <c r="D3" s="19" t="s">
        <v>45</v>
      </c>
      <c r="E3" s="19">
        <f>14*10</f>
        <v>140</v>
      </c>
      <c r="F3" s="26">
        <f>C3/E3</f>
        <v>4.2857142857142856</v>
      </c>
      <c r="G3" s="26">
        <v>14</v>
      </c>
      <c r="H3" s="26">
        <f>G3*F3</f>
        <v>60</v>
      </c>
      <c r="I3" s="26">
        <v>20</v>
      </c>
      <c r="J3" s="26">
        <f>I3*F3</f>
        <v>85.714285714285708</v>
      </c>
      <c r="K3" s="26">
        <v>0.2</v>
      </c>
      <c r="L3" s="26">
        <f>H3*K3</f>
        <v>12</v>
      </c>
      <c r="M3" s="26">
        <v>0.6</v>
      </c>
      <c r="N3" s="26">
        <f>M3*J3</f>
        <v>51.428571428571423</v>
      </c>
      <c r="O3" s="26">
        <f>N3-L3</f>
        <v>39.428571428571423</v>
      </c>
      <c r="P3" s="26">
        <v>4.29</v>
      </c>
      <c r="Q3" s="26">
        <f>F3-P3</f>
        <v>-4.2857142857144481E-3</v>
      </c>
      <c r="R3" s="9">
        <f>(P3*E3)-600</f>
        <v>0.60000000000002274</v>
      </c>
      <c r="S3" s="26">
        <f>F3-P3</f>
        <v>-4.2857142857144481E-3</v>
      </c>
      <c r="T3" s="19">
        <f>1/5</f>
        <v>0.2</v>
      </c>
    </row>
    <row r="4" spans="1:27" s="19" customFormat="1" x14ac:dyDescent="0.25">
      <c r="A4" s="17">
        <v>2</v>
      </c>
      <c r="B4" s="18" t="s">
        <v>47</v>
      </c>
      <c r="C4" s="19">
        <f>50*12</f>
        <v>600</v>
      </c>
      <c r="D4" s="19" t="s">
        <v>5</v>
      </c>
      <c r="E4" s="19">
        <f>13*9</f>
        <v>117</v>
      </c>
      <c r="F4" s="26">
        <f>C4/E4</f>
        <v>5.1282051282051286</v>
      </c>
      <c r="G4" s="26">
        <v>17</v>
      </c>
      <c r="H4" s="26">
        <f>G4*F4</f>
        <v>87.179487179487182</v>
      </c>
      <c r="I4" s="26">
        <v>24</v>
      </c>
      <c r="J4" s="26">
        <f>I4*F4</f>
        <v>123.07692307692309</v>
      </c>
      <c r="K4" s="26">
        <v>0.2</v>
      </c>
      <c r="L4" s="26">
        <f>H4*K4</f>
        <v>17.435897435897438</v>
      </c>
      <c r="M4" s="26">
        <v>0.2</v>
      </c>
      <c r="N4" s="26">
        <f>M4*J4</f>
        <v>24.61538461538462</v>
      </c>
      <c r="O4" s="26">
        <f>N4-L4</f>
        <v>7.1794871794871824</v>
      </c>
      <c r="P4" s="26">
        <v>5.13</v>
      </c>
      <c r="Q4" s="26">
        <f>F4-P4</f>
        <v>-1.7948717948712556E-3</v>
      </c>
      <c r="R4" s="9">
        <f>(P4*E4)-600</f>
        <v>0.21000000000003638</v>
      </c>
      <c r="S4" s="26">
        <f>F4-P4</f>
        <v>-1.7948717948712556E-3</v>
      </c>
      <c r="T4" s="19">
        <f>1/5</f>
        <v>0.2</v>
      </c>
    </row>
    <row r="5" spans="1:27" s="19" customFormat="1" x14ac:dyDescent="0.25">
      <c r="A5" s="17">
        <v>3</v>
      </c>
      <c r="B5" s="18" t="s">
        <v>52</v>
      </c>
      <c r="C5" s="19">
        <f>50*12</f>
        <v>600</v>
      </c>
      <c r="D5" s="19" t="s">
        <v>3</v>
      </c>
      <c r="E5" s="19">
        <f>6*10</f>
        <v>60</v>
      </c>
      <c r="F5" s="26">
        <f>C5/E5</f>
        <v>10</v>
      </c>
      <c r="G5" s="26">
        <v>7.12</v>
      </c>
      <c r="H5" s="26">
        <f>G5*F5</f>
        <v>71.2</v>
      </c>
      <c r="I5" s="26">
        <v>8</v>
      </c>
      <c r="J5" s="26">
        <f>I5*F5</f>
        <v>80</v>
      </c>
      <c r="K5" s="26">
        <v>0.2</v>
      </c>
      <c r="L5" s="26">
        <f>H5*K5</f>
        <v>14.240000000000002</v>
      </c>
      <c r="M5" s="26">
        <v>0.6</v>
      </c>
      <c r="N5" s="26">
        <f>M5*J5</f>
        <v>48</v>
      </c>
      <c r="O5" s="26">
        <f>N5-L5</f>
        <v>33.76</v>
      </c>
      <c r="P5" s="26">
        <v>10</v>
      </c>
      <c r="Q5" s="26">
        <f>F5-P5</f>
        <v>0</v>
      </c>
      <c r="R5" s="9">
        <f>(P5*E5)-600</f>
        <v>0</v>
      </c>
      <c r="S5" s="26">
        <f>F5-P5</f>
        <v>0</v>
      </c>
      <c r="T5" s="19">
        <f>1/5</f>
        <v>0.2</v>
      </c>
    </row>
    <row r="6" spans="1:27" s="19" customFormat="1" x14ac:dyDescent="0.25">
      <c r="A6" s="17" t="s">
        <v>53</v>
      </c>
      <c r="B6" s="18" t="s">
        <v>54</v>
      </c>
      <c r="C6" s="19">
        <f>50*12</f>
        <v>600</v>
      </c>
      <c r="D6" s="19" t="s">
        <v>5</v>
      </c>
      <c r="E6" s="19">
        <f>4*6</f>
        <v>24</v>
      </c>
      <c r="F6" s="26">
        <f>C6/E6</f>
        <v>25</v>
      </c>
      <c r="G6" s="26">
        <v>8.4</v>
      </c>
      <c r="H6" s="26">
        <f>G6*F6</f>
        <v>210</v>
      </c>
      <c r="I6" s="26">
        <v>8.1</v>
      </c>
      <c r="J6" s="26">
        <f>I6*F6</f>
        <v>202.5</v>
      </c>
      <c r="K6" s="26">
        <v>0.2</v>
      </c>
      <c r="L6" s="26">
        <f>H6*K6</f>
        <v>42</v>
      </c>
      <c r="M6" s="26">
        <v>0.6</v>
      </c>
      <c r="N6" s="26">
        <f>M6*J6</f>
        <v>121.5</v>
      </c>
      <c r="O6" s="26">
        <f>N6-L6</f>
        <v>79.5</v>
      </c>
      <c r="P6" s="26">
        <f>19+6</f>
        <v>25</v>
      </c>
      <c r="Q6" s="26">
        <f>F6-P6</f>
        <v>0</v>
      </c>
      <c r="R6" s="9">
        <f>(P6*E6)-600</f>
        <v>0</v>
      </c>
      <c r="S6" s="26">
        <f>F6-P6</f>
        <v>0</v>
      </c>
      <c r="T6" s="19">
        <f>1/5</f>
        <v>0.2</v>
      </c>
    </row>
    <row r="7" spans="1:27" s="83" customFormat="1" x14ac:dyDescent="0.25">
      <c r="A7" s="81" t="s">
        <v>61</v>
      </c>
      <c r="B7" s="82" t="s">
        <v>62</v>
      </c>
      <c r="C7" s="19">
        <f>50*12</f>
        <v>600</v>
      </c>
      <c r="E7" s="83">
        <v>1</v>
      </c>
      <c r="F7" s="26">
        <f>C7/E7</f>
        <v>600</v>
      </c>
      <c r="G7" s="26">
        <v>0.25</v>
      </c>
      <c r="H7" s="26">
        <f>G7*F7</f>
        <v>150</v>
      </c>
      <c r="I7" s="26">
        <v>0.24</v>
      </c>
      <c r="J7" s="26">
        <f>I7*F7</f>
        <v>144</v>
      </c>
      <c r="K7" s="26">
        <v>0.2</v>
      </c>
      <c r="L7" s="26">
        <f>H7*K7</f>
        <v>30</v>
      </c>
      <c r="M7" s="26">
        <v>0.6</v>
      </c>
      <c r="N7" s="26">
        <f>M7*J7</f>
        <v>86.399999999999991</v>
      </c>
      <c r="O7" s="26">
        <f>N7-L7</f>
        <v>56.399999999999991</v>
      </c>
      <c r="P7" s="26">
        <f>(12*20)+(14*12)+180+12</f>
        <v>600</v>
      </c>
      <c r="Q7" s="26">
        <f>F7-P7</f>
        <v>0</v>
      </c>
      <c r="R7" s="9">
        <f>(P7*E7)-600</f>
        <v>0</v>
      </c>
      <c r="S7" s="26">
        <f>F7-P7</f>
        <v>0</v>
      </c>
      <c r="T7" s="19">
        <f>1/5</f>
        <v>0.2</v>
      </c>
    </row>
    <row r="8" spans="1:27" s="23" customFormat="1" ht="15.75" thickBot="1" x14ac:dyDescent="0.3">
      <c r="A8" s="20"/>
      <c r="B8" s="21"/>
      <c r="C8" s="22"/>
      <c r="D8" s="22"/>
      <c r="E8" s="22"/>
      <c r="F8" s="78"/>
      <c r="G8" s="79"/>
      <c r="H8" s="80"/>
      <c r="I8" s="79"/>
      <c r="J8" s="80"/>
      <c r="K8" s="79"/>
      <c r="L8" s="80"/>
      <c r="M8" s="79"/>
      <c r="N8" s="80"/>
      <c r="O8" s="80"/>
      <c r="P8" s="78"/>
      <c r="Q8" s="80"/>
    </row>
    <row r="9" spans="1:27" s="16" customFormat="1" ht="45.75" customHeight="1" thickBot="1" x14ac:dyDescent="0.3">
      <c r="A9" s="14" t="s">
        <v>57</v>
      </c>
      <c r="B9" s="15" t="s">
        <v>58</v>
      </c>
      <c r="C9" s="16">
        <v>20200813</v>
      </c>
      <c r="D9" s="16" t="s">
        <v>86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S9" s="63"/>
      <c r="T9" s="63"/>
      <c r="U9" s="63"/>
      <c r="V9" s="63"/>
      <c r="W9" s="63"/>
      <c r="X9" s="63"/>
      <c r="Y9" s="63"/>
      <c r="Z9" s="57" t="s">
        <v>160</v>
      </c>
      <c r="AA9" s="58">
        <v>1.2</v>
      </c>
    </row>
    <row r="10" spans="1:27" s="19" customFormat="1" x14ac:dyDescent="0.25">
      <c r="A10" s="17" t="s">
        <v>63</v>
      </c>
      <c r="B10" s="18" t="s">
        <v>59</v>
      </c>
      <c r="C10" s="19">
        <f>50*12</f>
        <v>600</v>
      </c>
      <c r="D10" s="19" t="s">
        <v>60</v>
      </c>
      <c r="E10" s="19">
        <v>60</v>
      </c>
      <c r="F10" s="26">
        <f>C10/E10</f>
        <v>10</v>
      </c>
      <c r="G10" s="26">
        <v>4.24</v>
      </c>
      <c r="H10" s="26">
        <f>G10*F10</f>
        <v>42.400000000000006</v>
      </c>
      <c r="I10" s="26">
        <v>12.8</v>
      </c>
      <c r="J10" s="26">
        <f>I10*F10</f>
        <v>128</v>
      </c>
      <c r="K10" s="26">
        <v>0.2</v>
      </c>
      <c r="L10" s="26">
        <f>H10*K10</f>
        <v>8.4800000000000022</v>
      </c>
      <c r="M10" s="26">
        <v>0.6</v>
      </c>
      <c r="N10" s="26">
        <f>M10*H10</f>
        <v>25.44</v>
      </c>
      <c r="O10" s="26">
        <f>N10-L10</f>
        <v>16.96</v>
      </c>
      <c r="P10" s="26">
        <v>10</v>
      </c>
      <c r="Q10" s="26">
        <f>F10-P10</f>
        <v>0</v>
      </c>
      <c r="R10" s="9">
        <f>(P10*E10)-178</f>
        <v>422</v>
      </c>
      <c r="S10" s="26">
        <f>F10-P10</f>
        <v>0</v>
      </c>
      <c r="T10" s="19">
        <f>1/4</f>
        <v>0.25</v>
      </c>
    </row>
    <row r="11" spans="1:27" s="19" customFormat="1" x14ac:dyDescent="0.25">
      <c r="A11" s="17" t="s">
        <v>64</v>
      </c>
      <c r="B11" s="18" t="s">
        <v>52</v>
      </c>
      <c r="C11" s="19">
        <f>50*12</f>
        <v>600</v>
      </c>
      <c r="D11" s="19" t="s">
        <v>4</v>
      </c>
      <c r="E11" s="19">
        <f>6*10</f>
        <v>60</v>
      </c>
      <c r="F11" s="26">
        <f>C11/E11</f>
        <v>10</v>
      </c>
      <c r="G11" s="26">
        <v>7.12</v>
      </c>
      <c r="H11" s="26">
        <f>G11*F11</f>
        <v>71.2</v>
      </c>
      <c r="I11" s="26">
        <v>8</v>
      </c>
      <c r="J11" s="26">
        <f>I11*F11</f>
        <v>80</v>
      </c>
      <c r="K11" s="26">
        <v>0.2</v>
      </c>
      <c r="L11" s="26">
        <f>H11*K11</f>
        <v>14.240000000000002</v>
      </c>
      <c r="M11" s="26">
        <v>0.6</v>
      </c>
      <c r="N11" s="26">
        <f>M11*H11</f>
        <v>42.72</v>
      </c>
      <c r="O11" s="26">
        <f>N11-L11</f>
        <v>28.479999999999997</v>
      </c>
      <c r="P11" s="26">
        <v>10</v>
      </c>
      <c r="Q11" s="26">
        <f>F11-P11</f>
        <v>0</v>
      </c>
      <c r="R11" s="9">
        <f>(P11*E11)-178</f>
        <v>422</v>
      </c>
      <c r="S11" s="26">
        <f>F11-P11</f>
        <v>0</v>
      </c>
      <c r="T11" s="19">
        <f>1/4</f>
        <v>0.25</v>
      </c>
    </row>
    <row r="12" spans="1:27" s="19" customFormat="1" x14ac:dyDescent="0.25">
      <c r="A12" s="17" t="s">
        <v>65</v>
      </c>
      <c r="B12" s="18" t="s">
        <v>54</v>
      </c>
      <c r="C12" s="19">
        <f>50*12</f>
        <v>600</v>
      </c>
      <c r="D12" s="19" t="s">
        <v>5</v>
      </c>
      <c r="E12" s="19">
        <f>4*6</f>
        <v>24</v>
      </c>
      <c r="F12" s="26">
        <f>C12/E12</f>
        <v>25</v>
      </c>
      <c r="G12" s="26">
        <v>8.4</v>
      </c>
      <c r="H12" s="26">
        <f>G12*F12</f>
        <v>210</v>
      </c>
      <c r="I12" s="26">
        <v>8.1</v>
      </c>
      <c r="J12" s="26">
        <f>I12*F12</f>
        <v>202.5</v>
      </c>
      <c r="K12" s="26">
        <v>0.2</v>
      </c>
      <c r="L12" s="26">
        <f>H12*K12</f>
        <v>42</v>
      </c>
      <c r="M12" s="26">
        <v>0.6</v>
      </c>
      <c r="N12" s="26">
        <f>M12*H12</f>
        <v>126</v>
      </c>
      <c r="O12" s="26">
        <f>N12-L12</f>
        <v>84</v>
      </c>
      <c r="P12" s="26">
        <f>9+6+10</f>
        <v>25</v>
      </c>
      <c r="Q12" s="26">
        <f>F12-P12</f>
        <v>0</v>
      </c>
      <c r="R12" s="9">
        <f>(P12*E12)-178</f>
        <v>422</v>
      </c>
      <c r="S12" s="26">
        <f>F12-P12</f>
        <v>0</v>
      </c>
      <c r="T12" s="19">
        <f>1/4</f>
        <v>0.25</v>
      </c>
    </row>
    <row r="13" spans="1:27" s="83" customFormat="1" x14ac:dyDescent="0.25">
      <c r="A13" s="81" t="s">
        <v>66</v>
      </c>
      <c r="B13" s="82" t="s">
        <v>62</v>
      </c>
      <c r="C13" s="19">
        <f>50*12</f>
        <v>600</v>
      </c>
      <c r="E13" s="83">
        <v>1</v>
      </c>
      <c r="F13" s="26">
        <f>C13/E13</f>
        <v>600</v>
      </c>
      <c r="G13" s="26"/>
      <c r="H13" s="26">
        <f>G13*F13</f>
        <v>0</v>
      </c>
      <c r="I13" s="26">
        <v>0</v>
      </c>
      <c r="J13" s="26">
        <f>I13*F13</f>
        <v>0</v>
      </c>
      <c r="K13" s="26">
        <v>0.2</v>
      </c>
      <c r="L13" s="26">
        <f>H13*K13</f>
        <v>0</v>
      </c>
      <c r="M13" s="26">
        <v>0.6</v>
      </c>
      <c r="N13" s="26">
        <f>M13*H13</f>
        <v>0</v>
      </c>
      <c r="O13" s="26">
        <f>N13-L13</f>
        <v>0</v>
      </c>
      <c r="P13" s="26">
        <v>600</v>
      </c>
      <c r="Q13" s="26">
        <f>F13-P13</f>
        <v>0</v>
      </c>
      <c r="R13" s="19">
        <f>(P13*E13)-178</f>
        <v>422</v>
      </c>
      <c r="S13" s="26">
        <f>F13-P13</f>
        <v>0</v>
      </c>
      <c r="T13" s="19">
        <f>1/4</f>
        <v>0.25</v>
      </c>
    </row>
    <row r="14" spans="1:27" ht="15.75" thickBot="1" x14ac:dyDescent="0.3"/>
    <row r="15" spans="1:27" s="16" customFormat="1" ht="45.75" customHeight="1" thickBot="1" x14ac:dyDescent="0.3">
      <c r="A15" s="14" t="s">
        <v>74</v>
      </c>
      <c r="B15" s="15" t="s">
        <v>71</v>
      </c>
      <c r="C15" s="16">
        <v>20200813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S15" s="63"/>
      <c r="T15" s="63"/>
      <c r="U15" s="63"/>
      <c r="V15" s="63"/>
      <c r="W15" s="63"/>
      <c r="X15" s="63"/>
      <c r="Y15" s="63"/>
      <c r="Z15" s="57" t="s">
        <v>160</v>
      </c>
      <c r="AA15" s="58">
        <v>1.2</v>
      </c>
    </row>
    <row r="16" spans="1:27" s="9" customFormat="1" x14ac:dyDescent="0.25">
      <c r="A16" s="6" t="s">
        <v>67</v>
      </c>
      <c r="B16" s="7" t="s">
        <v>72</v>
      </c>
      <c r="C16" s="8">
        <f>50*12</f>
        <v>600</v>
      </c>
      <c r="D16" s="8" t="s">
        <v>45</v>
      </c>
      <c r="E16" s="8">
        <f>9*8</f>
        <v>72</v>
      </c>
      <c r="F16" s="25">
        <f>C16/E16</f>
        <v>8.3333333333333339</v>
      </c>
      <c r="G16" s="28">
        <v>3.56</v>
      </c>
      <c r="H16" s="27">
        <f>G16*F16</f>
        <v>29.666666666666668</v>
      </c>
      <c r="I16" s="28">
        <v>8.4600000000000009</v>
      </c>
      <c r="J16" s="27">
        <f>I16*F16</f>
        <v>70.500000000000014</v>
      </c>
      <c r="K16" s="28">
        <v>0.2</v>
      </c>
      <c r="L16" s="27">
        <f>H16*K16</f>
        <v>5.9333333333333336</v>
      </c>
      <c r="M16" s="28">
        <v>0.6</v>
      </c>
      <c r="N16" s="27">
        <f>M16*H16</f>
        <v>17.8</v>
      </c>
      <c r="O16" s="27">
        <f>N16-L16</f>
        <v>11.866666666666667</v>
      </c>
      <c r="P16" s="25">
        <v>5</v>
      </c>
      <c r="Q16" s="27">
        <f>F16-P16</f>
        <v>3.3333333333333339</v>
      </c>
      <c r="R16" s="9">
        <f>P16*E16</f>
        <v>360</v>
      </c>
      <c r="S16" s="26">
        <f>F16-P16</f>
        <v>3.3333333333333339</v>
      </c>
      <c r="T16" s="19">
        <f>1/5</f>
        <v>0.2</v>
      </c>
    </row>
    <row r="17" spans="1:27" s="19" customFormat="1" x14ac:dyDescent="0.25">
      <c r="A17" s="17" t="s">
        <v>68</v>
      </c>
      <c r="B17" s="18" t="s">
        <v>71</v>
      </c>
      <c r="C17" s="19">
        <f>50*12</f>
        <v>600</v>
      </c>
      <c r="D17" s="19" t="s">
        <v>60</v>
      </c>
      <c r="E17" s="19">
        <f>18*26</f>
        <v>468</v>
      </c>
      <c r="F17" s="26">
        <f>C17/E17</f>
        <v>1.2820512820512822</v>
      </c>
      <c r="G17" s="26">
        <v>7</v>
      </c>
      <c r="H17" s="26">
        <f>G17*F17</f>
        <v>8.9743589743589745</v>
      </c>
      <c r="I17" s="26">
        <v>20</v>
      </c>
      <c r="J17" s="26">
        <f>I17*F17</f>
        <v>25.641025641025642</v>
      </c>
      <c r="K17" s="26">
        <v>0.2</v>
      </c>
      <c r="L17" s="26">
        <f>H17*K17</f>
        <v>1.7948717948717949</v>
      </c>
      <c r="M17" s="26">
        <v>0.6</v>
      </c>
      <c r="N17" s="26">
        <f>M17*H17</f>
        <v>5.3846153846153841</v>
      </c>
      <c r="O17" s="26">
        <f>N17-L17</f>
        <v>3.5897435897435894</v>
      </c>
      <c r="P17" s="26">
        <v>1.28</v>
      </c>
      <c r="Q17" s="26">
        <v>0</v>
      </c>
      <c r="R17" s="9">
        <f>P17*E17</f>
        <v>599.04</v>
      </c>
      <c r="S17" s="26">
        <f>F17-P17</f>
        <v>2.0512820512821328E-3</v>
      </c>
      <c r="T17" s="19">
        <f>1/5</f>
        <v>0.2</v>
      </c>
    </row>
    <row r="18" spans="1:27" s="19" customFormat="1" x14ac:dyDescent="0.25">
      <c r="A18" s="17" t="s">
        <v>69</v>
      </c>
      <c r="B18" s="18" t="s">
        <v>52</v>
      </c>
      <c r="C18" s="19">
        <f>50*12</f>
        <v>600</v>
      </c>
      <c r="D18" s="19" t="s">
        <v>3</v>
      </c>
      <c r="E18" s="19">
        <f>6*10</f>
        <v>60</v>
      </c>
      <c r="F18" s="26">
        <f>C18/E18</f>
        <v>10</v>
      </c>
      <c r="G18" s="26">
        <v>7.12</v>
      </c>
      <c r="H18" s="26">
        <f>G18*F18</f>
        <v>71.2</v>
      </c>
      <c r="I18" s="26">
        <v>8</v>
      </c>
      <c r="J18" s="26">
        <f>I18*F18</f>
        <v>80</v>
      </c>
      <c r="K18" s="26">
        <v>0.2</v>
      </c>
      <c r="L18" s="26">
        <f>H18*K18</f>
        <v>14.240000000000002</v>
      </c>
      <c r="M18" s="26">
        <v>0.6</v>
      </c>
      <c r="N18" s="26">
        <f>M18*H18</f>
        <v>42.72</v>
      </c>
      <c r="O18" s="26">
        <f>N18-L18</f>
        <v>28.479999999999997</v>
      </c>
      <c r="P18" s="26">
        <v>10</v>
      </c>
      <c r="Q18" s="26">
        <f>F18-P18</f>
        <v>0</v>
      </c>
      <c r="R18" s="9">
        <f>P18*E18</f>
        <v>600</v>
      </c>
      <c r="S18" s="26">
        <f>F18-P18</f>
        <v>0</v>
      </c>
      <c r="T18" s="19">
        <f>1/5</f>
        <v>0.2</v>
      </c>
    </row>
    <row r="19" spans="1:27" s="9" customFormat="1" x14ac:dyDescent="0.25">
      <c r="A19" s="6" t="s">
        <v>70</v>
      </c>
      <c r="B19" s="7" t="s">
        <v>54</v>
      </c>
      <c r="C19" s="8">
        <f>50*12</f>
        <v>600</v>
      </c>
      <c r="D19" s="8" t="s">
        <v>5</v>
      </c>
      <c r="E19" s="8">
        <f>4*6</f>
        <v>24</v>
      </c>
      <c r="F19" s="25">
        <f>C19/E19</f>
        <v>25</v>
      </c>
      <c r="G19" s="28">
        <v>8.4</v>
      </c>
      <c r="H19" s="27">
        <f>G19*F19</f>
        <v>210</v>
      </c>
      <c r="I19" s="28">
        <v>8.1</v>
      </c>
      <c r="J19" s="27">
        <f>I19*F19</f>
        <v>202.5</v>
      </c>
      <c r="K19" s="28">
        <v>0.2</v>
      </c>
      <c r="L19" s="27">
        <f>H19*K19</f>
        <v>42</v>
      </c>
      <c r="M19" s="28">
        <v>0.6</v>
      </c>
      <c r="N19" s="27">
        <f>M19*H19</f>
        <v>126</v>
      </c>
      <c r="O19" s="27">
        <f>N19-L19</f>
        <v>84</v>
      </c>
      <c r="P19" s="25">
        <v>0</v>
      </c>
      <c r="Q19" s="27">
        <f>F19-P19</f>
        <v>25</v>
      </c>
      <c r="R19" s="9">
        <f>P19*E19</f>
        <v>0</v>
      </c>
      <c r="S19" s="26">
        <f>F19-P19</f>
        <v>25</v>
      </c>
      <c r="T19" s="19">
        <f>1/5</f>
        <v>0.2</v>
      </c>
    </row>
    <row r="20" spans="1:27" s="13" customFormat="1" x14ac:dyDescent="0.25">
      <c r="A20" s="10" t="s">
        <v>73</v>
      </c>
      <c r="B20" s="11" t="s">
        <v>62</v>
      </c>
      <c r="C20" s="8">
        <f>50*12</f>
        <v>600</v>
      </c>
      <c r="D20" s="12"/>
      <c r="E20" s="12">
        <v>1</v>
      </c>
      <c r="F20" s="25">
        <f>C20/E20</f>
        <v>600</v>
      </c>
      <c r="G20" s="28"/>
      <c r="H20" s="27">
        <f>G20*F20</f>
        <v>0</v>
      </c>
      <c r="I20" s="28">
        <v>0.24</v>
      </c>
      <c r="J20" s="27">
        <f>I20*F20</f>
        <v>144</v>
      </c>
      <c r="K20" s="28">
        <v>0.2</v>
      </c>
      <c r="L20" s="27">
        <f>H20*K20</f>
        <v>0</v>
      </c>
      <c r="M20" s="28">
        <v>0.6</v>
      </c>
      <c r="N20" s="27">
        <f>M20*H20</f>
        <v>0</v>
      </c>
      <c r="O20" s="27">
        <f>N20-L20</f>
        <v>0</v>
      </c>
      <c r="P20" s="25">
        <v>0</v>
      </c>
      <c r="Q20" s="27">
        <f>F20-P20</f>
        <v>600</v>
      </c>
      <c r="S20" s="26">
        <f>F20-P20</f>
        <v>600</v>
      </c>
      <c r="T20" s="19">
        <f>1/5</f>
        <v>0.2</v>
      </c>
    </row>
    <row r="21" spans="1:27" ht="15.75" thickBot="1" x14ac:dyDescent="0.3"/>
    <row r="22" spans="1:27" s="16" customFormat="1" ht="45.75" customHeight="1" thickBot="1" x14ac:dyDescent="0.3">
      <c r="A22" s="14" t="s">
        <v>75</v>
      </c>
      <c r="B22" s="15" t="s">
        <v>76</v>
      </c>
      <c r="C22" s="16">
        <v>20200813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S22" s="63"/>
      <c r="T22" s="63"/>
      <c r="U22" s="63"/>
      <c r="V22" s="63"/>
      <c r="W22" s="63"/>
      <c r="X22" s="63"/>
      <c r="Y22" s="63"/>
      <c r="Z22" s="57" t="s">
        <v>160</v>
      </c>
      <c r="AA22" s="58">
        <v>1.2</v>
      </c>
    </row>
    <row r="23" spans="1:27" s="9" customFormat="1" x14ac:dyDescent="0.25">
      <c r="A23" s="6" t="s">
        <v>77</v>
      </c>
      <c r="B23" s="7" t="s">
        <v>78</v>
      </c>
      <c r="C23" s="8">
        <f t="shared" ref="C23:C28" si="0">50*12</f>
        <v>600</v>
      </c>
      <c r="D23" s="8" t="s">
        <v>5</v>
      </c>
      <c r="E23" s="8">
        <v>80</v>
      </c>
      <c r="F23" s="25">
        <f t="shared" ref="F23:F28" si="1">C23/E23</f>
        <v>7.5</v>
      </c>
      <c r="G23" s="28">
        <v>4.18</v>
      </c>
      <c r="H23" s="27">
        <f t="shared" ref="H23:H28" si="2">G23*F23</f>
        <v>31.349999999999998</v>
      </c>
      <c r="I23" s="28">
        <v>0</v>
      </c>
      <c r="J23" s="27">
        <f t="shared" ref="J23:J28" si="3">I23*F23</f>
        <v>0</v>
      </c>
      <c r="K23" s="28">
        <v>0.2</v>
      </c>
      <c r="L23" s="27">
        <f t="shared" ref="L23:L28" si="4">H23*K23</f>
        <v>6.27</v>
      </c>
      <c r="M23" s="28">
        <v>0.6</v>
      </c>
      <c r="N23" s="27">
        <f t="shared" ref="N23:N28" si="5">M23*H23</f>
        <v>18.809999999999999</v>
      </c>
      <c r="O23" s="27">
        <f t="shared" ref="O23:O28" si="6">N23-L23</f>
        <v>12.54</v>
      </c>
      <c r="P23" s="25">
        <v>0</v>
      </c>
      <c r="Q23" s="27">
        <f t="shared" ref="Q23:Q28" si="7">F23-P23</f>
        <v>7.5</v>
      </c>
    </row>
    <row r="24" spans="1:27" s="9" customFormat="1" x14ac:dyDescent="0.25">
      <c r="A24" s="6" t="s">
        <v>79</v>
      </c>
      <c r="B24" s="7" t="s">
        <v>80</v>
      </c>
      <c r="C24" s="8">
        <f t="shared" si="0"/>
        <v>600</v>
      </c>
      <c r="D24" s="8" t="s">
        <v>5</v>
      </c>
      <c r="E24" s="8">
        <f>15*8</f>
        <v>120</v>
      </c>
      <c r="F24" s="25">
        <f t="shared" si="1"/>
        <v>5</v>
      </c>
      <c r="G24" s="28">
        <v>5.0599999999999996</v>
      </c>
      <c r="H24" s="27">
        <f t="shared" si="2"/>
        <v>25.299999999999997</v>
      </c>
      <c r="I24" s="28">
        <v>0</v>
      </c>
      <c r="J24" s="27">
        <f t="shared" si="3"/>
        <v>0</v>
      </c>
      <c r="K24" s="28">
        <v>0.2</v>
      </c>
      <c r="L24" s="27">
        <f t="shared" si="4"/>
        <v>5.0599999999999996</v>
      </c>
      <c r="M24" s="28">
        <v>0.6</v>
      </c>
      <c r="N24" s="27">
        <f t="shared" si="5"/>
        <v>15.179999999999998</v>
      </c>
      <c r="O24" s="27">
        <f t="shared" si="6"/>
        <v>10.119999999999997</v>
      </c>
      <c r="P24" s="25">
        <v>0</v>
      </c>
      <c r="Q24" s="27">
        <f t="shared" si="7"/>
        <v>5</v>
      </c>
    </row>
    <row r="25" spans="1:27" s="9" customFormat="1" x14ac:dyDescent="0.25">
      <c r="A25" s="6" t="s">
        <v>81</v>
      </c>
      <c r="B25" s="7" t="s">
        <v>83</v>
      </c>
      <c r="C25" s="8">
        <f t="shared" si="0"/>
        <v>600</v>
      </c>
      <c r="D25" s="8" t="s">
        <v>5</v>
      </c>
      <c r="E25" s="8">
        <f>16*9</f>
        <v>144</v>
      </c>
      <c r="F25" s="25">
        <f t="shared" si="1"/>
        <v>4.166666666666667</v>
      </c>
      <c r="G25" s="28">
        <v>6.22</v>
      </c>
      <c r="H25" s="27">
        <f t="shared" si="2"/>
        <v>25.916666666666668</v>
      </c>
      <c r="I25" s="28">
        <v>0</v>
      </c>
      <c r="J25" s="27">
        <f t="shared" si="3"/>
        <v>0</v>
      </c>
      <c r="K25" s="28">
        <v>0.2</v>
      </c>
      <c r="L25" s="27">
        <f t="shared" si="4"/>
        <v>5.1833333333333336</v>
      </c>
      <c r="M25" s="28">
        <v>0.6</v>
      </c>
      <c r="N25" s="27">
        <f t="shared" si="5"/>
        <v>15.55</v>
      </c>
      <c r="O25" s="27">
        <f t="shared" si="6"/>
        <v>10.366666666666667</v>
      </c>
      <c r="P25" s="25">
        <v>0</v>
      </c>
      <c r="Q25" s="27">
        <f t="shared" si="7"/>
        <v>4.166666666666667</v>
      </c>
    </row>
    <row r="26" spans="1:27" s="9" customFormat="1" x14ac:dyDescent="0.25">
      <c r="A26" s="6" t="s">
        <v>82</v>
      </c>
      <c r="B26" s="7" t="s">
        <v>84</v>
      </c>
      <c r="C26" s="8">
        <f t="shared" si="0"/>
        <v>600</v>
      </c>
      <c r="D26" s="8" t="s">
        <v>5</v>
      </c>
      <c r="E26" s="8">
        <f>8*16</f>
        <v>128</v>
      </c>
      <c r="F26" s="25">
        <f t="shared" si="1"/>
        <v>4.6875</v>
      </c>
      <c r="G26" s="28">
        <v>6.25</v>
      </c>
      <c r="H26" s="27">
        <f t="shared" si="2"/>
        <v>29.296875</v>
      </c>
      <c r="I26" s="28">
        <v>0</v>
      </c>
      <c r="J26" s="27">
        <f t="shared" si="3"/>
        <v>0</v>
      </c>
      <c r="K26" s="28">
        <v>0.2</v>
      </c>
      <c r="L26" s="27">
        <f t="shared" si="4"/>
        <v>5.859375</v>
      </c>
      <c r="M26" s="28">
        <v>0.6</v>
      </c>
      <c r="N26" s="27">
        <f t="shared" si="5"/>
        <v>17.578125</v>
      </c>
      <c r="O26" s="27">
        <f t="shared" si="6"/>
        <v>11.71875</v>
      </c>
      <c r="P26" s="25">
        <v>0</v>
      </c>
      <c r="Q26" s="27">
        <f t="shared" si="7"/>
        <v>4.6875</v>
      </c>
    </row>
    <row r="27" spans="1:27" s="9" customFormat="1" x14ac:dyDescent="0.25">
      <c r="A27" s="6" t="s">
        <v>85</v>
      </c>
      <c r="B27" s="7" t="s">
        <v>62</v>
      </c>
      <c r="C27" s="8">
        <f t="shared" si="0"/>
        <v>600</v>
      </c>
      <c r="D27" s="8" t="s">
        <v>5</v>
      </c>
      <c r="E27" s="8">
        <v>1</v>
      </c>
      <c r="F27" s="25">
        <f t="shared" si="1"/>
        <v>600</v>
      </c>
      <c r="G27" s="28">
        <v>0</v>
      </c>
      <c r="H27" s="27">
        <f t="shared" si="2"/>
        <v>0</v>
      </c>
      <c r="I27" s="28">
        <v>0</v>
      </c>
      <c r="J27" s="27">
        <f t="shared" si="3"/>
        <v>0</v>
      </c>
      <c r="K27" s="28">
        <v>0.2</v>
      </c>
      <c r="L27" s="27">
        <f t="shared" si="4"/>
        <v>0</v>
      </c>
      <c r="M27" s="28">
        <v>0.6</v>
      </c>
      <c r="N27" s="27">
        <f t="shared" si="5"/>
        <v>0</v>
      </c>
      <c r="O27" s="27">
        <f t="shared" si="6"/>
        <v>0</v>
      </c>
      <c r="P27" s="25">
        <v>0</v>
      </c>
      <c r="Q27" s="27">
        <f t="shared" si="7"/>
        <v>600</v>
      </c>
    </row>
    <row r="28" spans="1:27" s="9" customFormat="1" x14ac:dyDescent="0.25">
      <c r="A28" s="6" t="s">
        <v>87</v>
      </c>
      <c r="B28" s="7" t="s">
        <v>88</v>
      </c>
      <c r="C28" s="8">
        <f t="shared" si="0"/>
        <v>600</v>
      </c>
      <c r="D28" s="8" t="s">
        <v>5</v>
      </c>
      <c r="E28" s="8">
        <f>28*21</f>
        <v>588</v>
      </c>
      <c r="F28" s="25">
        <f t="shared" si="1"/>
        <v>1.0204081632653061</v>
      </c>
      <c r="G28" s="28">
        <v>0</v>
      </c>
      <c r="H28" s="27">
        <f t="shared" si="2"/>
        <v>0</v>
      </c>
      <c r="I28" s="28">
        <v>0</v>
      </c>
      <c r="J28" s="27">
        <f t="shared" si="3"/>
        <v>0</v>
      </c>
      <c r="K28" s="28">
        <v>0.2</v>
      </c>
      <c r="L28" s="27">
        <f t="shared" si="4"/>
        <v>0</v>
      </c>
      <c r="M28" s="28">
        <v>0.6</v>
      </c>
      <c r="N28" s="27">
        <f t="shared" si="5"/>
        <v>0</v>
      </c>
      <c r="O28" s="27">
        <f t="shared" si="6"/>
        <v>0</v>
      </c>
      <c r="P28" s="25">
        <v>0</v>
      </c>
      <c r="Q28" s="27">
        <f t="shared" si="7"/>
        <v>1.0204081632653061</v>
      </c>
    </row>
  </sheetData>
  <dataConsolidate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دليل!$A$1:$A$50</xm:f>
          </x14:formula1>
          <xm:sqref>D3:D7 D23:D28 D16:D20 D10:D13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rightToLeft="1" zoomScale="85" zoomScaleNormal="85" workbookViewId="0">
      <pane ySplit="1" topLeftCell="A47" activePane="bottomLeft" state="frozen"/>
      <selection pane="bottomLeft" activeCell="A64" sqref="A64:XFD64"/>
    </sheetView>
  </sheetViews>
  <sheetFormatPr defaultRowHeight="12.75" x14ac:dyDescent="0.2"/>
  <cols>
    <col min="1" max="1" width="12.85546875" style="142" customWidth="1"/>
    <col min="2" max="2" width="12.28515625" style="142" customWidth="1"/>
    <col min="3" max="3" width="11" style="142" bestFit="1" customWidth="1"/>
    <col min="4" max="5" width="9.140625" style="142"/>
    <col min="6" max="6" width="9.140625" style="135"/>
    <col min="7" max="8" width="9.140625" style="136"/>
    <col min="9" max="9" width="9.140625" style="122"/>
    <col min="10" max="10" width="9.140625" style="142"/>
    <col min="11" max="11" width="9.140625" style="143"/>
    <col min="12" max="12" width="9.140625" style="142"/>
    <col min="13" max="13" width="9.140625" style="143"/>
    <col min="14" max="14" width="9.140625" style="142"/>
    <col min="15" max="15" width="9.140625" style="143"/>
    <col min="16" max="16" width="9.140625" style="142"/>
    <col min="17" max="18" width="9.140625" style="143"/>
    <col min="19" max="19" width="9.140625" style="138"/>
    <col min="20" max="20" width="9.140625" style="139"/>
    <col min="21" max="16384" width="9.140625" style="142"/>
  </cols>
  <sheetData>
    <row r="1" spans="1:23" s="99" customFormat="1" ht="39" thickBot="1" x14ac:dyDescent="0.3">
      <c r="A1" s="93" t="s">
        <v>0</v>
      </c>
      <c r="B1" s="94" t="s">
        <v>39</v>
      </c>
      <c r="C1" s="94" t="s">
        <v>41</v>
      </c>
      <c r="D1" s="94" t="s">
        <v>1</v>
      </c>
      <c r="E1" s="94" t="s">
        <v>40</v>
      </c>
      <c r="F1" s="95" t="s">
        <v>42</v>
      </c>
      <c r="G1" s="89" t="s">
        <v>208</v>
      </c>
      <c r="H1" s="89" t="s">
        <v>209</v>
      </c>
      <c r="I1" s="90" t="s">
        <v>210</v>
      </c>
      <c r="J1" s="94" t="s">
        <v>50</v>
      </c>
      <c r="K1" s="96" t="s">
        <v>48</v>
      </c>
      <c r="L1" s="94" t="s">
        <v>49</v>
      </c>
      <c r="M1" s="96" t="s">
        <v>51</v>
      </c>
      <c r="N1" s="94" t="s">
        <v>6</v>
      </c>
      <c r="O1" s="96" t="s">
        <v>8</v>
      </c>
      <c r="P1" s="94" t="s">
        <v>7</v>
      </c>
      <c r="Q1" s="96" t="s">
        <v>43</v>
      </c>
      <c r="R1" s="96" t="s">
        <v>44</v>
      </c>
      <c r="S1" s="97" t="s">
        <v>55</v>
      </c>
      <c r="T1" s="98" t="s">
        <v>56</v>
      </c>
    </row>
    <row r="2" spans="1:23" s="107" customFormat="1" ht="45.75" customHeight="1" thickBot="1" x14ac:dyDescent="0.3">
      <c r="A2" s="100" t="s">
        <v>149</v>
      </c>
      <c r="B2" s="101" t="s">
        <v>150</v>
      </c>
      <c r="C2" s="101">
        <v>2020080518</v>
      </c>
      <c r="D2" s="101"/>
      <c r="E2" s="101"/>
      <c r="F2" s="102"/>
      <c r="G2" s="103"/>
      <c r="H2" s="103"/>
      <c r="I2" s="104"/>
      <c r="J2" s="101"/>
      <c r="K2" s="105"/>
      <c r="L2" s="101"/>
      <c r="M2" s="105"/>
      <c r="N2" s="101"/>
      <c r="O2" s="105"/>
      <c r="P2" s="101"/>
      <c r="Q2" s="105"/>
      <c r="R2" s="105"/>
      <c r="S2" s="106"/>
      <c r="T2" s="105"/>
      <c r="V2" s="108" t="s">
        <v>160</v>
      </c>
      <c r="W2" s="109">
        <v>2.5</v>
      </c>
    </row>
    <row r="3" spans="1:23" s="111" customFormat="1" x14ac:dyDescent="0.25">
      <c r="A3" s="110">
        <v>1</v>
      </c>
      <c r="B3" s="111" t="s">
        <v>151</v>
      </c>
      <c r="C3" s="111">
        <v>50</v>
      </c>
      <c r="D3" s="111" t="s">
        <v>143</v>
      </c>
      <c r="E3" s="111">
        <v>10</v>
      </c>
      <c r="F3" s="112">
        <f t="shared" ref="F3:F8" si="0">C3/E3</f>
        <v>5</v>
      </c>
      <c r="G3" s="87">
        <f t="shared" ref="G3:G8" si="1">IF(AND(F3&gt;=0, F3&lt;1), 0, IF(AND(F3&gt;=1,F3&lt;2), 1, IF(AND(F3&gt;=2,F3&lt;3), 2, IF(AND(F3&gt;=3,F3&lt;4), 3,IF(AND(F3&gt;=4,F3&lt;5), 4, IF(AND(F3&gt;=5,F3&lt;6), 5,IF(AND(F3&gt;=6,F3&lt;7), 6, IF(AND(F3&gt;=7,F3&lt;8), 7, IF(AND(F3&gt;=8,F3&lt;9), 8,IF(AND(F3&gt;=9,F3&lt;10), 9, IF(AND(F3&gt;=10,F3&lt;11), 10, IF(AND(F3&gt;=11,F3&lt;12), 11, IF(AND(F3&gt;=12,F3&lt;13),12,IF(AND(F3&gt;=13,F3&lt;14), 41, 0))))))))))))))</f>
        <v>5</v>
      </c>
      <c r="H3" s="87">
        <f t="shared" ref="H3:H8" si="2">IF(G3=0, E3,IF(G3=1, E3*1, IF(G3=2, E3*2, IF(G3=3, E3*3, IF(G3=4, E3*4, IF(G3=5, E3*5, IF(G3=6, E3*6, IF(G3=7, E3*7, IF(G3=8, E3*8, IF(G3=9, E3*9, IF(G3=10, E3*10, IF(G3=11, E3*11, 0))))))))))))</f>
        <v>50</v>
      </c>
      <c r="I3" s="92">
        <f t="shared" ref="I3:I8" si="3">IF(AND(F3&gt;=0,F3&lt;1),0,IF(AND(F3&gt;=1,F3&lt;2),C3-(E3*1),IF(AND(F3&gt;=2,F3&lt;3),C3-(E3*2), IF(AND(F3&gt;=3,F3&lt;4),C3-(E3*3), IF(AND(F3&gt;=4,F3&lt;5),C3-(E3*4),IF(AND(F3&gt;=5,F3&lt;6),C3-(E3*5),IF(AND(F3&gt;=6,F3&lt;7),C3-(E3*6), IF(AND(F3&gt;=7,F3&lt;8),C3-(E3*7),IF(AND(F3&gt;=8,F3&lt;9),C3-(E3*8), 0 ) ) ) ) ) ) ) ) )</f>
        <v>0</v>
      </c>
      <c r="J3" s="111">
        <v>5</v>
      </c>
      <c r="K3" s="113">
        <f t="shared" ref="K3:K8" si="4">J3*F3</f>
        <v>25</v>
      </c>
      <c r="L3" s="111">
        <v>0</v>
      </c>
      <c r="M3" s="113">
        <f t="shared" ref="M3:M8" si="5">L3*F3</f>
        <v>0</v>
      </c>
      <c r="N3" s="111">
        <v>0.2</v>
      </c>
      <c r="O3" s="113">
        <f t="shared" ref="O3:O8" si="6">K3*N3</f>
        <v>5</v>
      </c>
      <c r="P3" s="111">
        <v>0.6</v>
      </c>
      <c r="Q3" s="113">
        <f t="shared" ref="Q3:Q8" si="7">P3*M3</f>
        <v>0</v>
      </c>
      <c r="R3" s="113">
        <f t="shared" ref="R3:R8" si="8">Q3-O3</f>
        <v>-5</v>
      </c>
      <c r="S3" s="114">
        <v>5</v>
      </c>
      <c r="T3" s="115">
        <f t="shared" ref="T3:T8" si="9">F3-S3</f>
        <v>0</v>
      </c>
    </row>
    <row r="4" spans="1:23" s="111" customFormat="1" x14ac:dyDescent="0.25">
      <c r="A4" s="110" t="s">
        <v>94</v>
      </c>
      <c r="B4" s="111" t="s">
        <v>150</v>
      </c>
      <c r="C4" s="111">
        <v>50</v>
      </c>
      <c r="D4" s="111" t="s">
        <v>143</v>
      </c>
      <c r="E4" s="111">
        <v>8</v>
      </c>
      <c r="F4" s="112">
        <f t="shared" si="0"/>
        <v>6.25</v>
      </c>
      <c r="G4" s="87">
        <f t="shared" si="1"/>
        <v>6</v>
      </c>
      <c r="H4" s="87">
        <f t="shared" si="2"/>
        <v>48</v>
      </c>
      <c r="I4" s="92">
        <f t="shared" si="3"/>
        <v>2</v>
      </c>
      <c r="J4" s="111">
        <v>4</v>
      </c>
      <c r="K4" s="113">
        <f t="shared" si="4"/>
        <v>25</v>
      </c>
      <c r="L4" s="111">
        <v>0</v>
      </c>
      <c r="M4" s="113">
        <f t="shared" si="5"/>
        <v>0</v>
      </c>
      <c r="N4" s="111">
        <v>0.2</v>
      </c>
      <c r="O4" s="113">
        <f t="shared" si="6"/>
        <v>5</v>
      </c>
      <c r="P4" s="111">
        <v>0.6</v>
      </c>
      <c r="Q4" s="113">
        <f t="shared" si="7"/>
        <v>0</v>
      </c>
      <c r="R4" s="113">
        <f t="shared" si="8"/>
        <v>-5</v>
      </c>
      <c r="S4" s="114">
        <v>6.25</v>
      </c>
      <c r="T4" s="115">
        <f t="shared" si="9"/>
        <v>0</v>
      </c>
    </row>
    <row r="5" spans="1:23" s="111" customFormat="1" x14ac:dyDescent="0.25">
      <c r="A5" s="110" t="s">
        <v>95</v>
      </c>
      <c r="B5" s="111" t="s">
        <v>154</v>
      </c>
      <c r="C5" s="111">
        <v>50</v>
      </c>
      <c r="D5" s="111" t="s">
        <v>131</v>
      </c>
      <c r="E5" s="111">
        <f>6*7</f>
        <v>42</v>
      </c>
      <c r="F5" s="112">
        <f t="shared" si="0"/>
        <v>1.1904761904761905</v>
      </c>
      <c r="G5" s="87">
        <f t="shared" si="1"/>
        <v>1</v>
      </c>
      <c r="H5" s="87">
        <f t="shared" si="2"/>
        <v>42</v>
      </c>
      <c r="I5" s="92">
        <f t="shared" si="3"/>
        <v>8</v>
      </c>
      <c r="J5" s="111">
        <v>8</v>
      </c>
      <c r="K5" s="113">
        <f t="shared" si="4"/>
        <v>9.5238095238095237</v>
      </c>
      <c r="L5" s="111">
        <v>0</v>
      </c>
      <c r="M5" s="113">
        <f t="shared" si="5"/>
        <v>0</v>
      </c>
      <c r="N5" s="111">
        <v>0.2</v>
      </c>
      <c r="O5" s="113">
        <f t="shared" si="6"/>
        <v>1.9047619047619049</v>
      </c>
      <c r="P5" s="111">
        <v>0.6</v>
      </c>
      <c r="Q5" s="113">
        <f t="shared" si="7"/>
        <v>0</v>
      </c>
      <c r="R5" s="113">
        <f t="shared" si="8"/>
        <v>-1.9047619047619049</v>
      </c>
      <c r="S5" s="114">
        <v>1.19</v>
      </c>
      <c r="T5" s="115">
        <f t="shared" si="9"/>
        <v>4.7619047619051891E-4</v>
      </c>
    </row>
    <row r="6" spans="1:23" s="111" customFormat="1" x14ac:dyDescent="0.25">
      <c r="A6" s="110" t="s">
        <v>53</v>
      </c>
      <c r="B6" s="111" t="s">
        <v>152</v>
      </c>
      <c r="C6" s="111">
        <v>50</v>
      </c>
      <c r="D6" s="111" t="s">
        <v>131</v>
      </c>
      <c r="E6" s="111">
        <v>15</v>
      </c>
      <c r="F6" s="112">
        <f t="shared" si="0"/>
        <v>3.3333333333333335</v>
      </c>
      <c r="G6" s="87">
        <f t="shared" si="1"/>
        <v>3</v>
      </c>
      <c r="H6" s="87">
        <f t="shared" si="2"/>
        <v>45</v>
      </c>
      <c r="I6" s="92">
        <f t="shared" si="3"/>
        <v>5</v>
      </c>
      <c r="J6" s="111">
        <v>6</v>
      </c>
      <c r="K6" s="113">
        <f t="shared" si="4"/>
        <v>20</v>
      </c>
      <c r="L6" s="111">
        <v>0</v>
      </c>
      <c r="M6" s="113">
        <f t="shared" si="5"/>
        <v>0</v>
      </c>
      <c r="N6" s="111">
        <v>0.2</v>
      </c>
      <c r="O6" s="113">
        <f t="shared" si="6"/>
        <v>4</v>
      </c>
      <c r="P6" s="111">
        <v>0.6</v>
      </c>
      <c r="Q6" s="113">
        <f t="shared" si="7"/>
        <v>0</v>
      </c>
      <c r="R6" s="113">
        <f t="shared" si="8"/>
        <v>-4</v>
      </c>
      <c r="S6" s="114">
        <v>3.33</v>
      </c>
      <c r="T6" s="115">
        <f t="shared" si="9"/>
        <v>3.3333333333334103E-3</v>
      </c>
    </row>
    <row r="7" spans="1:23" s="111" customFormat="1" x14ac:dyDescent="0.25">
      <c r="A7" s="110" t="s">
        <v>61</v>
      </c>
      <c r="B7" s="111" t="s">
        <v>153</v>
      </c>
      <c r="C7" s="111">
        <v>50</v>
      </c>
      <c r="D7" s="111" t="s">
        <v>137</v>
      </c>
      <c r="E7" s="111">
        <f>8*5/2</f>
        <v>20</v>
      </c>
      <c r="F7" s="112">
        <f t="shared" si="0"/>
        <v>2.5</v>
      </c>
      <c r="G7" s="87">
        <f t="shared" si="1"/>
        <v>2</v>
      </c>
      <c r="H7" s="87">
        <f t="shared" si="2"/>
        <v>40</v>
      </c>
      <c r="I7" s="92">
        <f t="shared" si="3"/>
        <v>10</v>
      </c>
      <c r="J7" s="111">
        <v>7</v>
      </c>
      <c r="K7" s="113">
        <f t="shared" si="4"/>
        <v>17.5</v>
      </c>
      <c r="L7" s="111">
        <v>0</v>
      </c>
      <c r="M7" s="113">
        <f t="shared" si="5"/>
        <v>0</v>
      </c>
      <c r="N7" s="111">
        <v>0.2</v>
      </c>
      <c r="O7" s="113">
        <f t="shared" si="6"/>
        <v>3.5</v>
      </c>
      <c r="P7" s="111">
        <v>0.6</v>
      </c>
      <c r="Q7" s="113">
        <f t="shared" si="7"/>
        <v>0</v>
      </c>
      <c r="R7" s="113">
        <f t="shared" si="8"/>
        <v>-3.5</v>
      </c>
      <c r="S7" s="114">
        <v>2.5</v>
      </c>
      <c r="T7" s="115">
        <f t="shared" si="9"/>
        <v>0</v>
      </c>
    </row>
    <row r="8" spans="1:23" s="111" customFormat="1" x14ac:dyDescent="0.25">
      <c r="A8" s="110" t="s">
        <v>63</v>
      </c>
      <c r="B8" s="111" t="s">
        <v>62</v>
      </c>
      <c r="C8" s="111">
        <v>50</v>
      </c>
      <c r="D8" s="111" t="s">
        <v>161</v>
      </c>
      <c r="E8" s="111">
        <v>1</v>
      </c>
      <c r="F8" s="112">
        <f t="shared" si="0"/>
        <v>50</v>
      </c>
      <c r="G8" s="87">
        <f t="shared" si="1"/>
        <v>0</v>
      </c>
      <c r="H8" s="87">
        <f t="shared" si="2"/>
        <v>1</v>
      </c>
      <c r="I8" s="92">
        <f t="shared" si="3"/>
        <v>0</v>
      </c>
      <c r="J8" s="111">
        <v>2</v>
      </c>
      <c r="K8" s="113">
        <f t="shared" si="4"/>
        <v>100</v>
      </c>
      <c r="L8" s="111">
        <v>0</v>
      </c>
      <c r="M8" s="113">
        <f t="shared" si="5"/>
        <v>0</v>
      </c>
      <c r="N8" s="111">
        <v>0.2</v>
      </c>
      <c r="O8" s="113">
        <f t="shared" si="6"/>
        <v>20</v>
      </c>
      <c r="P8" s="111">
        <v>0.6</v>
      </c>
      <c r="Q8" s="113">
        <f t="shared" si="7"/>
        <v>0</v>
      </c>
      <c r="R8" s="113">
        <f t="shared" si="8"/>
        <v>-20</v>
      </c>
      <c r="S8" s="114">
        <v>50</v>
      </c>
      <c r="T8" s="115">
        <f t="shared" si="9"/>
        <v>0</v>
      </c>
    </row>
    <row r="9" spans="1:23" s="117" customFormat="1" x14ac:dyDescent="0.25">
      <c r="A9" s="116"/>
      <c r="F9" s="118"/>
      <c r="G9" s="118"/>
      <c r="H9" s="118"/>
      <c r="I9" s="91"/>
      <c r="K9" s="118"/>
      <c r="M9" s="118"/>
      <c r="O9" s="118"/>
      <c r="Q9" s="118"/>
      <c r="R9" s="118"/>
      <c r="T9" s="118"/>
    </row>
    <row r="10" spans="1:23" s="119" customFormat="1" x14ac:dyDescent="0.25">
      <c r="A10" s="110">
        <v>1</v>
      </c>
      <c r="B10" s="111" t="s">
        <v>151</v>
      </c>
      <c r="C10" s="111">
        <v>50</v>
      </c>
      <c r="D10" s="111" t="s">
        <v>143</v>
      </c>
      <c r="E10" s="111">
        <v>11</v>
      </c>
      <c r="F10" s="112">
        <f t="shared" ref="F10:F15" si="10">C10/E10</f>
        <v>4.5454545454545459</v>
      </c>
      <c r="G10" s="87">
        <f t="shared" ref="G10:G15" si="11">IF(AND(F10&gt;=0, F10&lt;1), 0, IF(AND(F10&gt;=1,F10&lt;2), 1, IF(AND(F10&gt;=2,F10&lt;3), 2, IF(AND(F10&gt;=3,F10&lt;4), 3,IF(AND(F10&gt;=4,F10&lt;5), 4, IF(AND(F10&gt;=5,F10&lt;6), 5,IF(AND(F10&gt;=6,F10&lt;7), 6, IF(AND(F10&gt;=7,F10&lt;8), 7, IF(AND(F10&gt;=8,F10&lt;9), 8,IF(AND(F10&gt;=9,F10&lt;10), 9, IF(AND(F10&gt;=10,F10&lt;11), 10, IF(AND(F10&gt;=11,F10&lt;12), 11, IF(AND(F10&gt;=12,F10&lt;13),12,IF(AND(F10&gt;=13,F10&lt;14), 41, 0))))))))))))))</f>
        <v>4</v>
      </c>
      <c r="H10" s="87">
        <f t="shared" ref="H10:H15" si="12">IF(G10=0, E10,IF(G10=1, E10*1, IF(G10=2, E10*2, IF(G10=3, E10*3, IF(G10=4, E10*4, IF(G10=5, E10*5, IF(G10=6, E10*6, IF(G10=7, E10*7, IF(G10=8, E10*8, IF(G10=9, E10*9, IF(G10=10, E10*10, IF(G10=11, E10*11, 0))))))))))))</f>
        <v>44</v>
      </c>
      <c r="I10" s="92">
        <f t="shared" ref="I10:I15" si="13">IF(AND(F10&gt;=0,F10&lt;1),0,IF(AND(F10&gt;=1,F10&lt;2),C10-(E10*1),IF(AND(F10&gt;=2,F10&lt;3),C10-(E10*2), IF(AND(F10&gt;=3,F10&lt;4),C10-(E10*3), IF(AND(F10&gt;=4,F10&lt;5),C10-(E10*4),IF(AND(F10&gt;=5,F10&lt;6),C10-(E10*5),IF(AND(F10&gt;=6,F10&lt;7),C10-(E10*6), IF(AND(F10&gt;=7,F10&lt;8),C10-(E10*7),IF(AND(F10&gt;=8,F10&lt;9),C10-(E10*8), 0 ) ) ) ) ) ) ) ) )</f>
        <v>6</v>
      </c>
      <c r="J10" s="111">
        <v>5</v>
      </c>
      <c r="K10" s="113">
        <f t="shared" ref="K10:K15" si="14">J10*F10</f>
        <v>22.72727272727273</v>
      </c>
      <c r="L10" s="111">
        <v>0</v>
      </c>
      <c r="M10" s="113">
        <f t="shared" ref="M10:M15" si="15">L10*F10</f>
        <v>0</v>
      </c>
      <c r="N10" s="111">
        <v>0.2</v>
      </c>
      <c r="O10" s="113">
        <f t="shared" ref="O10:O15" si="16">K10*N10</f>
        <v>4.5454545454545459</v>
      </c>
      <c r="P10" s="111">
        <v>0.6</v>
      </c>
      <c r="Q10" s="113">
        <f t="shared" ref="Q10:Q15" si="17">P10*M10</f>
        <v>0</v>
      </c>
      <c r="R10" s="113">
        <f t="shared" ref="R10:R15" si="18">Q10-O10</f>
        <v>-4.5454545454545459</v>
      </c>
      <c r="S10" s="114">
        <v>4.55</v>
      </c>
      <c r="T10" s="115">
        <f t="shared" ref="T10:T15" si="19">F10-S10</f>
        <v>-4.5454545454539641E-3</v>
      </c>
    </row>
    <row r="11" spans="1:23" s="119" customFormat="1" x14ac:dyDescent="0.25">
      <c r="A11" s="110" t="s">
        <v>94</v>
      </c>
      <c r="B11" s="111" t="s">
        <v>150</v>
      </c>
      <c r="C11" s="111">
        <v>50</v>
      </c>
      <c r="D11" s="111" t="s">
        <v>143</v>
      </c>
      <c r="E11" s="111">
        <v>8</v>
      </c>
      <c r="F11" s="112">
        <f t="shared" si="10"/>
        <v>6.25</v>
      </c>
      <c r="G11" s="87">
        <f t="shared" si="11"/>
        <v>6</v>
      </c>
      <c r="H11" s="87">
        <f t="shared" si="12"/>
        <v>48</v>
      </c>
      <c r="I11" s="92">
        <f t="shared" si="13"/>
        <v>2</v>
      </c>
      <c r="J11" s="111">
        <v>4</v>
      </c>
      <c r="K11" s="113">
        <f t="shared" si="14"/>
        <v>25</v>
      </c>
      <c r="L11" s="111">
        <v>0</v>
      </c>
      <c r="M11" s="113">
        <f t="shared" si="15"/>
        <v>0</v>
      </c>
      <c r="N11" s="111">
        <v>0.2</v>
      </c>
      <c r="O11" s="113">
        <f t="shared" si="16"/>
        <v>5</v>
      </c>
      <c r="P11" s="111">
        <v>0.6</v>
      </c>
      <c r="Q11" s="113">
        <f t="shared" si="17"/>
        <v>0</v>
      </c>
      <c r="R11" s="113">
        <f t="shared" si="18"/>
        <v>-5</v>
      </c>
      <c r="S11" s="114">
        <v>6.25</v>
      </c>
      <c r="T11" s="115">
        <f t="shared" si="19"/>
        <v>0</v>
      </c>
    </row>
    <row r="12" spans="1:23" s="119" customFormat="1" x14ac:dyDescent="0.25">
      <c r="A12" s="110" t="s">
        <v>95</v>
      </c>
      <c r="B12" s="111" t="s">
        <v>154</v>
      </c>
      <c r="C12" s="111">
        <v>50</v>
      </c>
      <c r="D12" s="111" t="s">
        <v>131</v>
      </c>
      <c r="E12" s="111">
        <f>6*7</f>
        <v>42</v>
      </c>
      <c r="F12" s="112">
        <f t="shared" si="10"/>
        <v>1.1904761904761905</v>
      </c>
      <c r="G12" s="87">
        <f t="shared" si="11"/>
        <v>1</v>
      </c>
      <c r="H12" s="87">
        <f t="shared" si="12"/>
        <v>42</v>
      </c>
      <c r="I12" s="92">
        <f t="shared" si="13"/>
        <v>8</v>
      </c>
      <c r="J12" s="111">
        <v>8</v>
      </c>
      <c r="K12" s="113">
        <f t="shared" si="14"/>
        <v>9.5238095238095237</v>
      </c>
      <c r="L12" s="111">
        <v>0</v>
      </c>
      <c r="M12" s="113">
        <f t="shared" si="15"/>
        <v>0</v>
      </c>
      <c r="N12" s="111">
        <v>0.2</v>
      </c>
      <c r="O12" s="113">
        <f t="shared" si="16"/>
        <v>1.9047619047619049</v>
      </c>
      <c r="P12" s="111">
        <v>0.6</v>
      </c>
      <c r="Q12" s="113">
        <f t="shared" si="17"/>
        <v>0</v>
      </c>
      <c r="R12" s="113">
        <f t="shared" si="18"/>
        <v>-1.9047619047619049</v>
      </c>
      <c r="S12" s="114">
        <v>1.19</v>
      </c>
      <c r="T12" s="115">
        <f t="shared" si="19"/>
        <v>4.7619047619051891E-4</v>
      </c>
    </row>
    <row r="13" spans="1:23" s="119" customFormat="1" x14ac:dyDescent="0.25">
      <c r="A13" s="110" t="s">
        <v>53</v>
      </c>
      <c r="B13" s="111" t="s">
        <v>152</v>
      </c>
      <c r="C13" s="111">
        <v>50</v>
      </c>
      <c r="D13" s="111" t="s">
        <v>131</v>
      </c>
      <c r="E13" s="111">
        <v>15</v>
      </c>
      <c r="F13" s="112">
        <f t="shared" si="10"/>
        <v>3.3333333333333335</v>
      </c>
      <c r="G13" s="87">
        <f t="shared" si="11"/>
        <v>3</v>
      </c>
      <c r="H13" s="87">
        <f t="shared" si="12"/>
        <v>45</v>
      </c>
      <c r="I13" s="92">
        <f t="shared" si="13"/>
        <v>5</v>
      </c>
      <c r="J13" s="111">
        <v>6</v>
      </c>
      <c r="K13" s="113">
        <f t="shared" si="14"/>
        <v>20</v>
      </c>
      <c r="L13" s="111">
        <v>0</v>
      </c>
      <c r="M13" s="113">
        <f t="shared" si="15"/>
        <v>0</v>
      </c>
      <c r="N13" s="111">
        <v>0.2</v>
      </c>
      <c r="O13" s="113">
        <f t="shared" si="16"/>
        <v>4</v>
      </c>
      <c r="P13" s="111">
        <v>0.6</v>
      </c>
      <c r="Q13" s="113">
        <f t="shared" si="17"/>
        <v>0</v>
      </c>
      <c r="R13" s="113">
        <f t="shared" si="18"/>
        <v>-4</v>
      </c>
      <c r="S13" s="114">
        <v>3.33</v>
      </c>
      <c r="T13" s="115">
        <f t="shared" si="19"/>
        <v>3.3333333333334103E-3</v>
      </c>
    </row>
    <row r="14" spans="1:23" s="119" customFormat="1" x14ac:dyDescent="0.25">
      <c r="A14" s="110" t="s">
        <v>61</v>
      </c>
      <c r="B14" s="111" t="s">
        <v>153</v>
      </c>
      <c r="C14" s="111">
        <v>50</v>
      </c>
      <c r="D14" s="111" t="s">
        <v>137</v>
      </c>
      <c r="E14" s="111">
        <f>8*5/2</f>
        <v>20</v>
      </c>
      <c r="F14" s="112">
        <f t="shared" si="10"/>
        <v>2.5</v>
      </c>
      <c r="G14" s="87">
        <f t="shared" si="11"/>
        <v>2</v>
      </c>
      <c r="H14" s="87">
        <f t="shared" si="12"/>
        <v>40</v>
      </c>
      <c r="I14" s="92">
        <f t="shared" si="13"/>
        <v>10</v>
      </c>
      <c r="J14" s="111">
        <v>7</v>
      </c>
      <c r="K14" s="113">
        <f t="shared" si="14"/>
        <v>17.5</v>
      </c>
      <c r="L14" s="111">
        <v>0</v>
      </c>
      <c r="M14" s="113">
        <f t="shared" si="15"/>
        <v>0</v>
      </c>
      <c r="N14" s="111">
        <v>0.2</v>
      </c>
      <c r="O14" s="113">
        <f t="shared" si="16"/>
        <v>3.5</v>
      </c>
      <c r="P14" s="111">
        <v>0.6</v>
      </c>
      <c r="Q14" s="113">
        <f t="shared" si="17"/>
        <v>0</v>
      </c>
      <c r="R14" s="113">
        <f t="shared" si="18"/>
        <v>-3.5</v>
      </c>
      <c r="S14" s="114">
        <v>2.5</v>
      </c>
      <c r="T14" s="115">
        <f t="shared" si="19"/>
        <v>0</v>
      </c>
    </row>
    <row r="15" spans="1:23" s="119" customFormat="1" x14ac:dyDescent="0.25">
      <c r="A15" s="110" t="s">
        <v>63</v>
      </c>
      <c r="B15" s="111" t="s">
        <v>62</v>
      </c>
      <c r="C15" s="111">
        <v>50</v>
      </c>
      <c r="D15" s="111" t="s">
        <v>161</v>
      </c>
      <c r="E15" s="111">
        <v>1</v>
      </c>
      <c r="F15" s="112">
        <f t="shared" si="10"/>
        <v>50</v>
      </c>
      <c r="G15" s="87">
        <f t="shared" si="11"/>
        <v>0</v>
      </c>
      <c r="H15" s="87">
        <f t="shared" si="12"/>
        <v>1</v>
      </c>
      <c r="I15" s="92">
        <f t="shared" si="13"/>
        <v>0</v>
      </c>
      <c r="J15" s="111">
        <v>2</v>
      </c>
      <c r="K15" s="113">
        <f t="shared" si="14"/>
        <v>100</v>
      </c>
      <c r="L15" s="111">
        <v>0</v>
      </c>
      <c r="M15" s="113">
        <f t="shared" si="15"/>
        <v>0</v>
      </c>
      <c r="N15" s="111">
        <v>0.2</v>
      </c>
      <c r="O15" s="113">
        <f t="shared" si="16"/>
        <v>20</v>
      </c>
      <c r="P15" s="111">
        <v>0.6</v>
      </c>
      <c r="Q15" s="113">
        <f t="shared" si="17"/>
        <v>0</v>
      </c>
      <c r="R15" s="113">
        <f t="shared" si="18"/>
        <v>-20</v>
      </c>
      <c r="S15" s="114">
        <v>50</v>
      </c>
      <c r="T15" s="115">
        <f t="shared" si="19"/>
        <v>0</v>
      </c>
    </row>
    <row r="16" spans="1:23" s="120" customFormat="1" x14ac:dyDescent="0.2">
      <c r="F16" s="121"/>
      <c r="G16" s="121"/>
      <c r="H16" s="121"/>
      <c r="I16" s="122"/>
      <c r="K16" s="121"/>
      <c r="M16" s="121"/>
      <c r="O16" s="121"/>
      <c r="Q16" s="121"/>
      <c r="R16" s="121"/>
      <c r="T16" s="121"/>
    </row>
    <row r="17" spans="1:23" s="111" customFormat="1" x14ac:dyDescent="0.25">
      <c r="A17" s="110">
        <v>1</v>
      </c>
      <c r="B17" s="111" t="s">
        <v>151</v>
      </c>
      <c r="C17" s="111">
        <v>50</v>
      </c>
      <c r="D17" s="111" t="s">
        <v>143</v>
      </c>
      <c r="E17" s="111">
        <v>10</v>
      </c>
      <c r="F17" s="113">
        <f t="shared" ref="F17:F22" si="20">C17/E17</f>
        <v>5</v>
      </c>
      <c r="G17" s="161">
        <f t="shared" ref="G17:G22" si="21">IF(AND(F17&gt;=0, F17&lt;1), 0, IF(AND(F17&gt;=1,F17&lt;2), 1, IF(AND(F17&gt;=2,F17&lt;3), 2, IF(AND(F17&gt;=3,F17&lt;4), 3,IF(AND(F17&gt;=4,F17&lt;5), 4, IF(AND(F17&gt;=5,F17&lt;6), 5,IF(AND(F17&gt;=6,F17&lt;7), 6, IF(AND(F17&gt;=7,F17&lt;8), 7, IF(AND(F17&gt;=8,F17&lt;9), 8,IF(AND(F17&gt;=9,F17&lt;10), 9, IF(AND(F17&gt;=10,F17&lt;11), 10, IF(AND(F17&gt;=11,F17&lt;12), 11, IF(AND(F17&gt;=12,F17&lt;13),12,IF(AND(F17&gt;=13,F17&lt;14), 41, 0))))))))))))))</f>
        <v>5</v>
      </c>
      <c r="H17" s="161">
        <f t="shared" ref="H17:H22" si="22">IF(G17=0, E17,IF(G17=1, E17*1, IF(G17=2, E17*2, IF(G17=3, E17*3, IF(G17=4, E17*4, IF(G17=5, E17*5, IF(G17=6, E17*6, IF(G17=7, E17*7, IF(G17=8, E17*8, IF(G17=9, E17*9, IF(G17=10, E17*10, IF(G17=11, E17*11, 0))))))))))))</f>
        <v>50</v>
      </c>
      <c r="I17" s="162">
        <f t="shared" ref="I17:I22" si="23">IF(AND(F17&gt;=0,F17&lt;1),0,IF(AND(F17&gt;=1,F17&lt;2),C17-(E17*1),IF(AND(F17&gt;=2,F17&lt;3),C17-(E17*2), IF(AND(F17&gt;=3,F17&lt;4),C17-(E17*3), IF(AND(F17&gt;=4,F17&lt;5),C17-(E17*4),IF(AND(F17&gt;=5,F17&lt;6),C17-(E17*5),IF(AND(F17&gt;=6,F17&lt;7),C17-(E17*6), IF(AND(F17&gt;=7,F17&lt;8),C17-(E17*7),IF(AND(F17&gt;=8,F17&lt;9),C17-(E17*8), 0 ) ) ) ) ) ) ) ) )</f>
        <v>0</v>
      </c>
      <c r="J17" s="111">
        <v>5</v>
      </c>
      <c r="K17" s="113">
        <f t="shared" ref="K17:K22" si="24">J17*F17</f>
        <v>25</v>
      </c>
      <c r="L17" s="111">
        <v>0</v>
      </c>
      <c r="M17" s="113">
        <f t="shared" ref="M17:M22" si="25">L17*F17</f>
        <v>0</v>
      </c>
      <c r="N17" s="111">
        <v>0.2</v>
      </c>
      <c r="O17" s="113">
        <f t="shared" ref="O17:O22" si="26">K17*N17</f>
        <v>5</v>
      </c>
      <c r="P17" s="111">
        <v>0.6</v>
      </c>
      <c r="Q17" s="113">
        <f t="shared" ref="Q17:Q22" si="27">P17*M17</f>
        <v>0</v>
      </c>
      <c r="R17" s="113">
        <f t="shared" ref="R17:R22" si="28">Q17-O17</f>
        <v>-5</v>
      </c>
      <c r="S17" s="111">
        <v>0</v>
      </c>
      <c r="T17" s="113">
        <f t="shared" ref="T17:T22" si="29">F17-S17</f>
        <v>5</v>
      </c>
    </row>
    <row r="18" spans="1:23" s="111" customFormat="1" x14ac:dyDescent="0.25">
      <c r="A18" s="110" t="s">
        <v>94</v>
      </c>
      <c r="B18" s="111" t="s">
        <v>150</v>
      </c>
      <c r="C18" s="111">
        <v>50</v>
      </c>
      <c r="D18" s="111" t="s">
        <v>143</v>
      </c>
      <c r="E18" s="111">
        <v>8</v>
      </c>
      <c r="F18" s="113">
        <f t="shared" si="20"/>
        <v>6.25</v>
      </c>
      <c r="G18" s="161">
        <f t="shared" si="21"/>
        <v>6</v>
      </c>
      <c r="H18" s="161">
        <f t="shared" si="22"/>
        <v>48</v>
      </c>
      <c r="I18" s="162">
        <f t="shared" si="23"/>
        <v>2</v>
      </c>
      <c r="J18" s="111">
        <v>4</v>
      </c>
      <c r="K18" s="113">
        <f t="shared" si="24"/>
        <v>25</v>
      </c>
      <c r="L18" s="111">
        <v>0</v>
      </c>
      <c r="M18" s="113">
        <f t="shared" si="25"/>
        <v>0</v>
      </c>
      <c r="N18" s="111">
        <v>0.2</v>
      </c>
      <c r="O18" s="113">
        <f t="shared" si="26"/>
        <v>5</v>
      </c>
      <c r="P18" s="111">
        <v>0.6</v>
      </c>
      <c r="Q18" s="113">
        <f t="shared" si="27"/>
        <v>0</v>
      </c>
      <c r="R18" s="113">
        <f t="shared" si="28"/>
        <v>-5</v>
      </c>
      <c r="S18" s="111">
        <v>0</v>
      </c>
      <c r="T18" s="113">
        <f t="shared" si="29"/>
        <v>6.25</v>
      </c>
    </row>
    <row r="19" spans="1:23" s="111" customFormat="1" x14ac:dyDescent="0.25">
      <c r="A19" s="110" t="s">
        <v>95</v>
      </c>
      <c r="B19" s="111" t="s">
        <v>154</v>
      </c>
      <c r="C19" s="111">
        <v>50</v>
      </c>
      <c r="D19" s="111" t="s">
        <v>131</v>
      </c>
      <c r="E19" s="111">
        <f>6*7</f>
        <v>42</v>
      </c>
      <c r="F19" s="113">
        <f t="shared" si="20"/>
        <v>1.1904761904761905</v>
      </c>
      <c r="G19" s="161">
        <f t="shared" si="21"/>
        <v>1</v>
      </c>
      <c r="H19" s="161">
        <f t="shared" si="22"/>
        <v>42</v>
      </c>
      <c r="I19" s="162">
        <f t="shared" si="23"/>
        <v>8</v>
      </c>
      <c r="J19" s="111">
        <v>8</v>
      </c>
      <c r="K19" s="113">
        <f t="shared" si="24"/>
        <v>9.5238095238095237</v>
      </c>
      <c r="L19" s="111">
        <v>0</v>
      </c>
      <c r="M19" s="113">
        <f t="shared" si="25"/>
        <v>0</v>
      </c>
      <c r="N19" s="111">
        <v>0.2</v>
      </c>
      <c r="O19" s="113">
        <f t="shared" si="26"/>
        <v>1.9047619047619049</v>
      </c>
      <c r="P19" s="111">
        <v>0.6</v>
      </c>
      <c r="Q19" s="113">
        <f t="shared" si="27"/>
        <v>0</v>
      </c>
      <c r="R19" s="113">
        <f t="shared" si="28"/>
        <v>-1.9047619047619049</v>
      </c>
      <c r="S19" s="111">
        <v>0</v>
      </c>
      <c r="T19" s="113">
        <f t="shared" si="29"/>
        <v>1.1904761904761905</v>
      </c>
    </row>
    <row r="20" spans="1:23" s="111" customFormat="1" x14ac:dyDescent="0.25">
      <c r="A20" s="110" t="s">
        <v>53</v>
      </c>
      <c r="B20" s="111" t="s">
        <v>152</v>
      </c>
      <c r="C20" s="111">
        <v>50</v>
      </c>
      <c r="D20" s="111" t="s">
        <v>131</v>
      </c>
      <c r="E20" s="111">
        <v>15</v>
      </c>
      <c r="F20" s="113">
        <f t="shared" si="20"/>
        <v>3.3333333333333335</v>
      </c>
      <c r="G20" s="161">
        <f t="shared" si="21"/>
        <v>3</v>
      </c>
      <c r="H20" s="161">
        <f t="shared" si="22"/>
        <v>45</v>
      </c>
      <c r="I20" s="162">
        <f t="shared" si="23"/>
        <v>5</v>
      </c>
      <c r="J20" s="111">
        <v>6</v>
      </c>
      <c r="K20" s="113">
        <f t="shared" si="24"/>
        <v>20</v>
      </c>
      <c r="L20" s="111">
        <v>0</v>
      </c>
      <c r="M20" s="113">
        <f t="shared" si="25"/>
        <v>0</v>
      </c>
      <c r="N20" s="111">
        <v>0.2</v>
      </c>
      <c r="O20" s="113">
        <f t="shared" si="26"/>
        <v>4</v>
      </c>
      <c r="P20" s="111">
        <v>0.6</v>
      </c>
      <c r="Q20" s="113">
        <f t="shared" si="27"/>
        <v>0</v>
      </c>
      <c r="R20" s="113">
        <f t="shared" si="28"/>
        <v>-4</v>
      </c>
      <c r="S20" s="111">
        <v>0</v>
      </c>
      <c r="T20" s="113">
        <f t="shared" si="29"/>
        <v>3.3333333333333335</v>
      </c>
    </row>
    <row r="21" spans="1:23" s="111" customFormat="1" x14ac:dyDescent="0.25">
      <c r="A21" s="110" t="s">
        <v>61</v>
      </c>
      <c r="B21" s="111" t="s">
        <v>153</v>
      </c>
      <c r="C21" s="111">
        <v>50</v>
      </c>
      <c r="D21" s="111" t="s">
        <v>137</v>
      </c>
      <c r="E21" s="111">
        <f>8*5/2</f>
        <v>20</v>
      </c>
      <c r="F21" s="113">
        <f t="shared" si="20"/>
        <v>2.5</v>
      </c>
      <c r="G21" s="161">
        <f t="shared" si="21"/>
        <v>2</v>
      </c>
      <c r="H21" s="161">
        <f t="shared" si="22"/>
        <v>40</v>
      </c>
      <c r="I21" s="162">
        <f t="shared" si="23"/>
        <v>10</v>
      </c>
      <c r="J21" s="111">
        <v>7</v>
      </c>
      <c r="K21" s="113">
        <f t="shared" si="24"/>
        <v>17.5</v>
      </c>
      <c r="L21" s="111">
        <v>0</v>
      </c>
      <c r="M21" s="113">
        <f t="shared" si="25"/>
        <v>0</v>
      </c>
      <c r="N21" s="111">
        <v>0.2</v>
      </c>
      <c r="O21" s="113">
        <f t="shared" si="26"/>
        <v>3.5</v>
      </c>
      <c r="P21" s="111">
        <v>0.6</v>
      </c>
      <c r="Q21" s="113">
        <f t="shared" si="27"/>
        <v>0</v>
      </c>
      <c r="R21" s="113">
        <f t="shared" si="28"/>
        <v>-3.5</v>
      </c>
      <c r="S21" s="111">
        <v>0</v>
      </c>
      <c r="T21" s="113">
        <f t="shared" si="29"/>
        <v>2.5</v>
      </c>
    </row>
    <row r="22" spans="1:23" s="111" customFormat="1" x14ac:dyDescent="0.25">
      <c r="A22" s="110" t="s">
        <v>63</v>
      </c>
      <c r="B22" s="111" t="s">
        <v>62</v>
      </c>
      <c r="C22" s="111">
        <v>50</v>
      </c>
      <c r="D22" s="111" t="s">
        <v>161</v>
      </c>
      <c r="E22" s="111">
        <v>1</v>
      </c>
      <c r="F22" s="113">
        <f t="shared" si="20"/>
        <v>50</v>
      </c>
      <c r="G22" s="161">
        <f t="shared" si="21"/>
        <v>0</v>
      </c>
      <c r="H22" s="161">
        <f t="shared" si="22"/>
        <v>1</v>
      </c>
      <c r="I22" s="162">
        <f t="shared" si="23"/>
        <v>0</v>
      </c>
      <c r="J22" s="111">
        <v>2</v>
      </c>
      <c r="K22" s="113">
        <f t="shared" si="24"/>
        <v>100</v>
      </c>
      <c r="L22" s="111">
        <v>0</v>
      </c>
      <c r="M22" s="113">
        <f t="shared" si="25"/>
        <v>0</v>
      </c>
      <c r="N22" s="111">
        <v>0.2</v>
      </c>
      <c r="O22" s="113">
        <f t="shared" si="26"/>
        <v>20</v>
      </c>
      <c r="P22" s="111">
        <v>0.6</v>
      </c>
      <c r="Q22" s="113">
        <f t="shared" si="27"/>
        <v>0</v>
      </c>
      <c r="R22" s="113">
        <f t="shared" si="28"/>
        <v>-20</v>
      </c>
      <c r="S22" s="111">
        <v>0</v>
      </c>
      <c r="T22" s="113">
        <f t="shared" si="29"/>
        <v>50</v>
      </c>
    </row>
    <row r="23" spans="1:23" s="117" customFormat="1" ht="13.5" thickBot="1" x14ac:dyDescent="0.3">
      <c r="A23" s="116"/>
      <c r="F23" s="118"/>
      <c r="G23" s="118"/>
      <c r="H23" s="118"/>
      <c r="I23" s="91"/>
      <c r="K23" s="118"/>
      <c r="M23" s="118"/>
      <c r="O23" s="118"/>
      <c r="Q23" s="118"/>
      <c r="R23" s="118"/>
      <c r="T23" s="118"/>
    </row>
    <row r="24" spans="1:23" s="107" customFormat="1" ht="45.75" customHeight="1" thickBot="1" x14ac:dyDescent="0.3">
      <c r="A24" s="123" t="s">
        <v>155</v>
      </c>
      <c r="B24" s="107" t="s">
        <v>156</v>
      </c>
      <c r="C24" s="107">
        <v>2020080518</v>
      </c>
      <c r="F24" s="124"/>
      <c r="G24" s="125"/>
      <c r="H24" s="125"/>
      <c r="I24" s="126"/>
      <c r="K24" s="127"/>
      <c r="M24" s="127"/>
      <c r="O24" s="127"/>
      <c r="Q24" s="127"/>
      <c r="R24" s="127"/>
      <c r="S24" s="128"/>
      <c r="T24" s="127"/>
      <c r="V24" s="108" t="s">
        <v>160</v>
      </c>
      <c r="W24" s="109">
        <v>2.25</v>
      </c>
    </row>
    <row r="25" spans="1:23" s="111" customFormat="1" x14ac:dyDescent="0.25">
      <c r="A25" s="110" t="s">
        <v>110</v>
      </c>
      <c r="B25" s="111" t="s">
        <v>151</v>
      </c>
      <c r="C25" s="111">
        <v>50</v>
      </c>
      <c r="D25" s="111" t="s">
        <v>143</v>
      </c>
      <c r="E25" s="111">
        <v>11</v>
      </c>
      <c r="F25" s="112">
        <f t="shared" ref="F25:F31" si="30">C25/E25</f>
        <v>4.5454545454545459</v>
      </c>
      <c r="G25" s="87">
        <f>IF(AND(F25&gt;=0, F25&lt;1), 0, IF(AND(F25&gt;=1,F25&lt;2), 1, IF(AND(F25&gt;=2,F25&lt;3), 2, IF(AND(F25&gt;=3,F25&lt;4), 3,IF(AND(F25&gt;=4,F25&lt;5), 4, IF(AND(F25&gt;=5,F25&lt;6), 5,IF(AND(F25&gt;=6,F25&lt;7), 6, IF(AND(F25&gt;=7,F25&lt;8), 7, IF(AND(F25&gt;=8,F25&lt;9), 8,IF(AND(F25&gt;=9,F25&lt;10), 9, IF(AND(F25&gt;=10,F25&lt;11), 10, IF(AND(F25&gt;=11,F25&lt;12), 11, IF(AND(F25&gt;=12,F25&lt;13),12,IF(AND(F25&gt;=13,F25&lt;14), 41, 0))))))))))))))</f>
        <v>4</v>
      </c>
      <c r="H25" s="87">
        <f t="shared" ref="H25:H39" si="31">IF(G25=0, E25,IF(G25=1, E25*1, IF(G25=2, E25*2, IF(G25=3, E25*3, IF(G25=4, E25*4, IF(G25=5, E25*5, IF(G25=6, E25*6, IF(G25=7, E25*7, IF(G25=8, E25*8, IF(G25=9, E25*9, IF(G25=10, E25*10, IF(G25=11, E25*11, 0))))))))))))</f>
        <v>44</v>
      </c>
      <c r="I25" s="92">
        <f>IF(AND(F25&gt;=0,F25&lt;1),0,IF(AND(F25&gt;=1,F25&lt;2),C25-(E25*1),IF(AND(F25&gt;=2,F25&lt;3),C25-(E25*2), IF(AND(F25&gt;=3,F25&lt;4),C25-(E25*3), IF(AND(F25&gt;=4,F25&lt;5),C25-(E25*4),IF(AND(F25&gt;=5,F25&lt;6),C25-(E25*5),IF(AND(F25&gt;=6,F25&lt;7),C25-(E25*6), IF(AND(F25&gt;=7,F25&lt;8),C25-(E25*7),IF(AND(F25&gt;=8,F25&lt;9),C25-(E25*8), 0 ) ) ) ) ) ) ) ) )</f>
        <v>6</v>
      </c>
      <c r="J25" s="111">
        <v>5</v>
      </c>
      <c r="K25" s="113">
        <f t="shared" ref="K25:K31" si="32">J25*F25</f>
        <v>22.72727272727273</v>
      </c>
      <c r="L25" s="111">
        <v>3.34</v>
      </c>
      <c r="M25" s="113">
        <f t="shared" ref="M25:M31" si="33">L25*F25</f>
        <v>15.181818181818182</v>
      </c>
      <c r="N25" s="111">
        <v>0.2</v>
      </c>
      <c r="O25" s="113">
        <f t="shared" ref="O25:O31" si="34">K25*N25</f>
        <v>4.5454545454545459</v>
      </c>
      <c r="P25" s="111">
        <v>0.6</v>
      </c>
      <c r="Q25" s="113">
        <f t="shared" ref="Q25:Q31" si="35">P25*M25</f>
        <v>9.1090909090909093</v>
      </c>
      <c r="R25" s="113">
        <f t="shared" ref="R25:R31" si="36">Q25-O25</f>
        <v>4.5636363636363635</v>
      </c>
      <c r="S25" s="114">
        <v>4.55</v>
      </c>
      <c r="T25" s="115">
        <f t="shared" ref="T25:T31" si="37">F25-S25</f>
        <v>-4.5454545454539641E-3</v>
      </c>
    </row>
    <row r="26" spans="1:23" s="111" customFormat="1" x14ac:dyDescent="0.25">
      <c r="A26" s="110" t="s">
        <v>94</v>
      </c>
      <c r="B26" s="111" t="s">
        <v>156</v>
      </c>
      <c r="C26" s="111">
        <v>50</v>
      </c>
      <c r="D26" s="111" t="s">
        <v>143</v>
      </c>
      <c r="E26" s="111">
        <v>12</v>
      </c>
      <c r="F26" s="112">
        <f t="shared" si="30"/>
        <v>4.166666666666667</v>
      </c>
      <c r="G26" s="87">
        <f t="shared" ref="G26:G31" si="38">IF(AND(F26&gt;=0, F26&lt;1), 0, IF(AND(F26&gt;=1,F26&lt;2), 1, IF(AND(F26&gt;=2,F26&lt;3), 2, IF(AND(F26&gt;=3,F26&lt;4), 3,IF(AND(F26&gt;=4,F26&lt;5), 4, IF(AND(F26&gt;=5,F26&lt;6), 5,IF(AND(F26&gt;=6,F26&lt;7), 6, IF(AND(F26&gt;=7,F26&lt;8), 7, IF(AND(F26&gt;=8,F26&lt;9), 8,IF(AND(F26&gt;=9,F26&lt;10), 9, IF(AND(F26&gt;=10,F26&lt;11), 10, IF(AND(F26&gt;=11,F26&lt;12), 11, IF(AND(F26&gt;=12,F26&lt;13),12,IF(AND(F26&gt;=13,F26&lt;14), 41, 0))))))))))))))</f>
        <v>4</v>
      </c>
      <c r="H26" s="87">
        <f t="shared" si="31"/>
        <v>48</v>
      </c>
      <c r="I26" s="92">
        <f t="shared" ref="I26:I31" si="39">IF(AND(F26&gt;=0,F26&lt;1),0,IF(AND(F26&gt;=1,F26&lt;2),C26-(E26*1),IF(AND(F26&gt;=2,F26&lt;3),C26-(E26*2), IF(AND(F26&gt;=3,F26&lt;4),C26-(E26*3), IF(AND(F26&gt;=4,F26&lt;5),C26-(E26*4),IF(AND(F26&gt;=5,F26&lt;6),C26-(E26*5),IF(AND(F26&gt;=6,F26&lt;7),C26-(E26*6), IF(AND(F26&gt;=7,F26&lt;8),C26-(E26*7),IF(AND(F26&gt;=8,F26&lt;9),C26-(E26*8), 0 ) ) ) ) ) ) ) ) )</f>
        <v>2</v>
      </c>
      <c r="J26" s="111">
        <v>4</v>
      </c>
      <c r="K26" s="113">
        <f t="shared" si="32"/>
        <v>16.666666666666668</v>
      </c>
      <c r="L26" s="111">
        <v>3.05</v>
      </c>
      <c r="M26" s="113">
        <f t="shared" si="33"/>
        <v>12.708333333333334</v>
      </c>
      <c r="N26" s="111">
        <v>0.2</v>
      </c>
      <c r="O26" s="113">
        <f t="shared" si="34"/>
        <v>3.3333333333333339</v>
      </c>
      <c r="P26" s="111">
        <v>0.6</v>
      </c>
      <c r="Q26" s="113">
        <f t="shared" si="35"/>
        <v>7.625</v>
      </c>
      <c r="R26" s="113">
        <f t="shared" si="36"/>
        <v>4.2916666666666661</v>
      </c>
      <c r="S26" s="114">
        <v>4.17</v>
      </c>
      <c r="T26" s="115">
        <f t="shared" si="37"/>
        <v>-3.3333333333329662E-3</v>
      </c>
    </row>
    <row r="27" spans="1:23" s="111" customFormat="1" x14ac:dyDescent="0.25">
      <c r="A27" s="110" t="s">
        <v>95</v>
      </c>
      <c r="B27" s="111" t="s">
        <v>154</v>
      </c>
      <c r="C27" s="111">
        <v>50</v>
      </c>
      <c r="D27" s="111" t="s">
        <v>131</v>
      </c>
      <c r="E27" s="111">
        <f>6*7</f>
        <v>42</v>
      </c>
      <c r="F27" s="112">
        <f t="shared" si="30"/>
        <v>1.1904761904761905</v>
      </c>
      <c r="G27" s="87">
        <f t="shared" si="38"/>
        <v>1</v>
      </c>
      <c r="H27" s="87">
        <f t="shared" si="31"/>
        <v>42</v>
      </c>
      <c r="I27" s="92">
        <f t="shared" si="39"/>
        <v>8</v>
      </c>
      <c r="J27" s="111">
        <v>8</v>
      </c>
      <c r="K27" s="113">
        <f t="shared" si="32"/>
        <v>9.5238095238095237</v>
      </c>
      <c r="L27" s="111">
        <v>4.13</v>
      </c>
      <c r="M27" s="113">
        <f t="shared" si="33"/>
        <v>4.9166666666666661</v>
      </c>
      <c r="N27" s="111">
        <v>0.2</v>
      </c>
      <c r="O27" s="113">
        <f t="shared" si="34"/>
        <v>1.9047619047619049</v>
      </c>
      <c r="P27" s="111">
        <v>0.6</v>
      </c>
      <c r="Q27" s="113">
        <f t="shared" si="35"/>
        <v>2.9499999999999997</v>
      </c>
      <c r="R27" s="113">
        <f t="shared" si="36"/>
        <v>1.0452380952380949</v>
      </c>
      <c r="S27" s="114">
        <v>1.19</v>
      </c>
      <c r="T27" s="115">
        <f t="shared" si="37"/>
        <v>4.7619047619051891E-4</v>
      </c>
    </row>
    <row r="28" spans="1:23" s="111" customFormat="1" x14ac:dyDescent="0.25">
      <c r="A28" s="110" t="s">
        <v>53</v>
      </c>
      <c r="B28" s="111" t="s">
        <v>157</v>
      </c>
      <c r="C28" s="111">
        <v>50</v>
      </c>
      <c r="D28" s="111" t="s">
        <v>131</v>
      </c>
      <c r="E28" s="111">
        <v>25</v>
      </c>
      <c r="F28" s="112">
        <f t="shared" si="30"/>
        <v>2</v>
      </c>
      <c r="G28" s="87">
        <f t="shared" si="38"/>
        <v>2</v>
      </c>
      <c r="H28" s="87">
        <f t="shared" si="31"/>
        <v>50</v>
      </c>
      <c r="I28" s="92">
        <f t="shared" si="39"/>
        <v>0</v>
      </c>
      <c r="J28" s="111">
        <v>6</v>
      </c>
      <c r="K28" s="113">
        <f t="shared" si="32"/>
        <v>12</v>
      </c>
      <c r="L28" s="111">
        <v>2.41</v>
      </c>
      <c r="M28" s="113">
        <f t="shared" si="33"/>
        <v>4.82</v>
      </c>
      <c r="N28" s="111">
        <v>0.2</v>
      </c>
      <c r="O28" s="113">
        <f t="shared" si="34"/>
        <v>2.4000000000000004</v>
      </c>
      <c r="P28" s="111">
        <v>0.6</v>
      </c>
      <c r="Q28" s="113">
        <f t="shared" si="35"/>
        <v>2.8919999999999999</v>
      </c>
      <c r="R28" s="113">
        <f t="shared" si="36"/>
        <v>0.49199999999999955</v>
      </c>
      <c r="S28" s="114">
        <v>2</v>
      </c>
      <c r="T28" s="115">
        <f t="shared" si="37"/>
        <v>0</v>
      </c>
    </row>
    <row r="29" spans="1:23" s="111" customFormat="1" x14ac:dyDescent="0.25">
      <c r="A29" s="110" t="s">
        <v>61</v>
      </c>
      <c r="B29" s="111" t="s">
        <v>158</v>
      </c>
      <c r="C29" s="111">
        <v>50</v>
      </c>
      <c r="D29" s="111" t="s">
        <v>137</v>
      </c>
      <c r="E29" s="111">
        <f>7*4*2</f>
        <v>56</v>
      </c>
      <c r="F29" s="112">
        <f t="shared" si="30"/>
        <v>0.8928571428571429</v>
      </c>
      <c r="G29" s="87">
        <f t="shared" si="38"/>
        <v>0</v>
      </c>
      <c r="H29" s="87">
        <f t="shared" si="31"/>
        <v>56</v>
      </c>
      <c r="I29" s="92">
        <f t="shared" si="39"/>
        <v>0</v>
      </c>
      <c r="J29" s="111">
        <v>7</v>
      </c>
      <c r="K29" s="113">
        <f t="shared" si="32"/>
        <v>6.25</v>
      </c>
      <c r="L29" s="111">
        <v>0</v>
      </c>
      <c r="M29" s="113">
        <f t="shared" si="33"/>
        <v>0</v>
      </c>
      <c r="N29" s="111">
        <v>0.2</v>
      </c>
      <c r="O29" s="113">
        <f t="shared" si="34"/>
        <v>1.25</v>
      </c>
      <c r="P29" s="111">
        <v>0.6</v>
      </c>
      <c r="Q29" s="113">
        <f t="shared" si="35"/>
        <v>0</v>
      </c>
      <c r="R29" s="113">
        <f t="shared" si="36"/>
        <v>-1.25</v>
      </c>
      <c r="S29" s="114">
        <v>0.89</v>
      </c>
      <c r="T29" s="115">
        <f t="shared" si="37"/>
        <v>2.8571428571428914E-3</v>
      </c>
    </row>
    <row r="30" spans="1:23" s="111" customFormat="1" x14ac:dyDescent="0.25">
      <c r="A30" s="110" t="s">
        <v>63</v>
      </c>
      <c r="B30" s="111" t="s">
        <v>159</v>
      </c>
      <c r="C30" s="111">
        <v>50</v>
      </c>
      <c r="D30" s="111" t="s">
        <v>137</v>
      </c>
      <c r="E30" s="111">
        <f>6*7</f>
        <v>42</v>
      </c>
      <c r="F30" s="112">
        <f t="shared" si="30"/>
        <v>1.1904761904761905</v>
      </c>
      <c r="G30" s="87">
        <f t="shared" si="38"/>
        <v>1</v>
      </c>
      <c r="H30" s="87">
        <f t="shared" si="31"/>
        <v>42</v>
      </c>
      <c r="I30" s="92">
        <f t="shared" si="39"/>
        <v>8</v>
      </c>
      <c r="J30" s="111">
        <v>7</v>
      </c>
      <c r="K30" s="113">
        <f t="shared" si="32"/>
        <v>8.3333333333333339</v>
      </c>
      <c r="L30" s="111">
        <v>0</v>
      </c>
      <c r="M30" s="113">
        <f t="shared" si="33"/>
        <v>0</v>
      </c>
      <c r="N30" s="111">
        <v>0.2</v>
      </c>
      <c r="O30" s="113">
        <f t="shared" si="34"/>
        <v>1.666666666666667</v>
      </c>
      <c r="P30" s="111">
        <v>0.6</v>
      </c>
      <c r="Q30" s="113">
        <f t="shared" si="35"/>
        <v>0</v>
      </c>
      <c r="R30" s="113">
        <f t="shared" si="36"/>
        <v>-1.666666666666667</v>
      </c>
      <c r="S30" s="114">
        <v>1.19</v>
      </c>
      <c r="T30" s="115">
        <f t="shared" si="37"/>
        <v>4.7619047619051891E-4</v>
      </c>
    </row>
    <row r="31" spans="1:23" s="111" customFormat="1" x14ac:dyDescent="0.25">
      <c r="A31" s="110" t="s">
        <v>64</v>
      </c>
      <c r="B31" s="111" t="s">
        <v>62</v>
      </c>
      <c r="C31" s="111">
        <v>50</v>
      </c>
      <c r="D31" s="111" t="s">
        <v>161</v>
      </c>
      <c r="E31" s="111">
        <v>1</v>
      </c>
      <c r="F31" s="112">
        <f t="shared" si="30"/>
        <v>50</v>
      </c>
      <c r="G31" s="87">
        <f t="shared" si="38"/>
        <v>0</v>
      </c>
      <c r="H31" s="87">
        <f t="shared" si="31"/>
        <v>1</v>
      </c>
      <c r="I31" s="92">
        <f t="shared" si="39"/>
        <v>0</v>
      </c>
      <c r="J31" s="111">
        <v>2</v>
      </c>
      <c r="K31" s="113">
        <f t="shared" si="32"/>
        <v>100</v>
      </c>
      <c r="L31" s="111">
        <v>0</v>
      </c>
      <c r="M31" s="113">
        <f t="shared" si="33"/>
        <v>0</v>
      </c>
      <c r="N31" s="111">
        <v>0.2</v>
      </c>
      <c r="O31" s="113">
        <f t="shared" si="34"/>
        <v>20</v>
      </c>
      <c r="P31" s="111">
        <v>0.6</v>
      </c>
      <c r="Q31" s="113">
        <f t="shared" si="35"/>
        <v>0</v>
      </c>
      <c r="R31" s="113">
        <f t="shared" si="36"/>
        <v>-20</v>
      </c>
      <c r="S31" s="114">
        <v>50</v>
      </c>
      <c r="T31" s="115">
        <f t="shared" si="37"/>
        <v>0</v>
      </c>
    </row>
    <row r="32" spans="1:23" s="120" customFormat="1" x14ac:dyDescent="0.2">
      <c r="F32" s="121"/>
      <c r="G32" s="121"/>
      <c r="H32" s="121"/>
      <c r="I32" s="122"/>
      <c r="K32" s="121"/>
      <c r="M32" s="121"/>
      <c r="O32" s="121"/>
      <c r="Q32" s="121"/>
      <c r="R32" s="121"/>
      <c r="T32" s="121"/>
    </row>
    <row r="33" spans="1:20" s="129" customFormat="1" x14ac:dyDescent="0.2">
      <c r="A33" s="110" t="s">
        <v>110</v>
      </c>
      <c r="B33" s="111" t="s">
        <v>151</v>
      </c>
      <c r="C33" s="111">
        <v>50</v>
      </c>
      <c r="D33" s="111" t="s">
        <v>143</v>
      </c>
      <c r="E33" s="111">
        <v>11</v>
      </c>
      <c r="F33" s="112">
        <f t="shared" ref="F33:F39" si="40">C33/E33</f>
        <v>4.5454545454545459</v>
      </c>
      <c r="G33" s="87">
        <f>IF(AND(F33&gt;=0, F33&lt;1), 0, IF(AND(F33&gt;=1,F33&lt;2), 1, IF(AND(F33&gt;=2,F33&lt;3), 2, IF(AND(F33&gt;=3,F33&lt;4), 3,IF(AND(F33&gt;=4,F33&lt;5), 4, IF(AND(F33&gt;=5,F33&lt;6), 5,IF(AND(F33&gt;=6,F33&lt;7), 6, IF(AND(F33&gt;=7,F33&lt;8), 7, IF(AND(F33&gt;=8,F33&lt;9), 8,IF(AND(F33&gt;=9,F33&lt;10), 9, IF(AND(F33&gt;=10,F33&lt;11), 10, IF(AND(F33&gt;=11,F33&lt;12), 11, IF(AND(F33&gt;=12,F33&lt;13),12,IF(AND(F33&gt;=13,F33&lt;14), 41, 0))))))))))))))</f>
        <v>4</v>
      </c>
      <c r="H33" s="87">
        <f t="shared" si="31"/>
        <v>44</v>
      </c>
      <c r="I33" s="92">
        <f>IF(AND(F33&gt;=0,F33&lt;1),0,IF(AND(F33&gt;=1,F33&lt;2),C33-(E33*1),IF(AND(F33&gt;=2,F33&lt;3),C33-(E33*2), IF(AND(F33&gt;=3,F33&lt;4),C33-(E33*3), IF(AND(F33&gt;=4,F33&lt;5),C33-(E33*4),IF(AND(F33&gt;=5,F33&lt;6),C33-(E33*5),IF(AND(F33&gt;=6,F33&lt;7),C33-(E33*6), IF(AND(F33&gt;=7,F33&lt;8),C33-(E33*7),IF(AND(F33&gt;=8,F33&lt;9),C33-(E33*8), 0 ) ) ) ) ) ) ) ) )</f>
        <v>6</v>
      </c>
      <c r="J33" s="111">
        <v>5</v>
      </c>
      <c r="K33" s="113">
        <f t="shared" ref="K33:K39" si="41">J33*F33</f>
        <v>22.72727272727273</v>
      </c>
      <c r="L33" s="111">
        <v>3.34</v>
      </c>
      <c r="M33" s="113">
        <f t="shared" ref="M33:M39" si="42">L33*F33</f>
        <v>15.181818181818182</v>
      </c>
      <c r="N33" s="111">
        <v>0.2</v>
      </c>
      <c r="O33" s="113">
        <f t="shared" ref="O33:O39" si="43">K33*N33</f>
        <v>4.5454545454545459</v>
      </c>
      <c r="P33" s="111">
        <v>0.6</v>
      </c>
      <c r="Q33" s="113">
        <f t="shared" ref="Q33:Q39" si="44">P33*M33</f>
        <v>9.1090909090909093</v>
      </c>
      <c r="R33" s="113">
        <f t="shared" ref="R33:R39" si="45">Q33-O33</f>
        <v>4.5636363636363635</v>
      </c>
      <c r="S33" s="114">
        <v>4.55</v>
      </c>
      <c r="T33" s="115">
        <f t="shared" ref="T33:T39" si="46">F33-S33</f>
        <v>-4.5454545454539641E-3</v>
      </c>
    </row>
    <row r="34" spans="1:20" s="129" customFormat="1" x14ac:dyDescent="0.2">
      <c r="A34" s="110" t="s">
        <v>94</v>
      </c>
      <c r="B34" s="111" t="s">
        <v>156</v>
      </c>
      <c r="C34" s="111">
        <v>50</v>
      </c>
      <c r="D34" s="111" t="s">
        <v>143</v>
      </c>
      <c r="E34" s="111">
        <v>12</v>
      </c>
      <c r="F34" s="112">
        <f t="shared" si="40"/>
        <v>4.166666666666667</v>
      </c>
      <c r="G34" s="87">
        <f t="shared" ref="G34:G39" si="47">IF(AND(F34&gt;=0, F34&lt;1), 0, IF(AND(F34&gt;=1,F34&lt;2), 1, IF(AND(F34&gt;=2,F34&lt;3), 2, IF(AND(F34&gt;=3,F34&lt;4), 3,IF(AND(F34&gt;=4,F34&lt;5), 4, IF(AND(F34&gt;=5,F34&lt;6), 5,IF(AND(F34&gt;=6,F34&lt;7), 6, IF(AND(F34&gt;=7,F34&lt;8), 7, IF(AND(F34&gt;=8,F34&lt;9), 8,IF(AND(F34&gt;=9,F34&lt;10), 9, IF(AND(F34&gt;=10,F34&lt;11), 10, IF(AND(F34&gt;=11,F34&lt;12), 11, IF(AND(F34&gt;=12,F34&lt;13),12,IF(AND(F34&gt;=13,F34&lt;14), 41, 0))))))))))))))</f>
        <v>4</v>
      </c>
      <c r="H34" s="87">
        <f t="shared" si="31"/>
        <v>48</v>
      </c>
      <c r="I34" s="92">
        <f t="shared" ref="I34:I39" si="48">IF(AND(F34&gt;=0,F34&lt;1),0,IF(AND(F34&gt;=1,F34&lt;2),C34-(E34*1),IF(AND(F34&gt;=2,F34&lt;3),C34-(E34*2), IF(AND(F34&gt;=3,F34&lt;4),C34-(E34*3), IF(AND(F34&gt;=4,F34&lt;5),C34-(E34*4),IF(AND(F34&gt;=5,F34&lt;6),C34-(E34*5),IF(AND(F34&gt;=6,F34&lt;7),C34-(E34*6), IF(AND(F34&gt;=7,F34&lt;8),C34-(E34*7),IF(AND(F34&gt;=8,F34&lt;9),C34-(E34*8), 0 ) ) ) ) ) ) ) ) )</f>
        <v>2</v>
      </c>
      <c r="J34" s="111">
        <v>4</v>
      </c>
      <c r="K34" s="113">
        <f t="shared" si="41"/>
        <v>16.666666666666668</v>
      </c>
      <c r="L34" s="111">
        <v>3.05</v>
      </c>
      <c r="M34" s="113">
        <f t="shared" si="42"/>
        <v>12.708333333333334</v>
      </c>
      <c r="N34" s="111">
        <v>0.2</v>
      </c>
      <c r="O34" s="113">
        <f t="shared" si="43"/>
        <v>3.3333333333333339</v>
      </c>
      <c r="P34" s="111">
        <v>0.6</v>
      </c>
      <c r="Q34" s="113">
        <f t="shared" si="44"/>
        <v>7.625</v>
      </c>
      <c r="R34" s="113">
        <f t="shared" si="45"/>
        <v>4.2916666666666661</v>
      </c>
      <c r="S34" s="114">
        <v>4.17</v>
      </c>
      <c r="T34" s="115">
        <f t="shared" si="46"/>
        <v>-3.3333333333329662E-3</v>
      </c>
    </row>
    <row r="35" spans="1:20" s="129" customFormat="1" x14ac:dyDescent="0.2">
      <c r="A35" s="110" t="s">
        <v>95</v>
      </c>
      <c r="B35" s="111" t="s">
        <v>154</v>
      </c>
      <c r="C35" s="111">
        <v>50</v>
      </c>
      <c r="D35" s="111" t="s">
        <v>131</v>
      </c>
      <c r="E35" s="111">
        <f>6*7</f>
        <v>42</v>
      </c>
      <c r="F35" s="112">
        <f t="shared" si="40"/>
        <v>1.1904761904761905</v>
      </c>
      <c r="G35" s="87">
        <f t="shared" si="47"/>
        <v>1</v>
      </c>
      <c r="H35" s="87">
        <f t="shared" si="31"/>
        <v>42</v>
      </c>
      <c r="I35" s="92">
        <f t="shared" si="48"/>
        <v>8</v>
      </c>
      <c r="J35" s="111">
        <v>8</v>
      </c>
      <c r="K35" s="113">
        <f t="shared" si="41"/>
        <v>9.5238095238095237</v>
      </c>
      <c r="L35" s="111">
        <v>4.13</v>
      </c>
      <c r="M35" s="113">
        <f t="shared" si="42"/>
        <v>4.9166666666666661</v>
      </c>
      <c r="N35" s="111">
        <v>0.2</v>
      </c>
      <c r="O35" s="113">
        <f t="shared" si="43"/>
        <v>1.9047619047619049</v>
      </c>
      <c r="P35" s="111">
        <v>0.6</v>
      </c>
      <c r="Q35" s="113">
        <f t="shared" si="44"/>
        <v>2.9499999999999997</v>
      </c>
      <c r="R35" s="113">
        <f t="shared" si="45"/>
        <v>1.0452380952380949</v>
      </c>
      <c r="S35" s="114">
        <v>1.19</v>
      </c>
      <c r="T35" s="115">
        <f t="shared" si="46"/>
        <v>4.7619047619051891E-4</v>
      </c>
    </row>
    <row r="36" spans="1:20" s="129" customFormat="1" x14ac:dyDescent="0.2">
      <c r="A36" s="110" t="s">
        <v>53</v>
      </c>
      <c r="B36" s="111" t="s">
        <v>157</v>
      </c>
      <c r="C36" s="111">
        <v>50</v>
      </c>
      <c r="D36" s="111" t="s">
        <v>131</v>
      </c>
      <c r="E36" s="111">
        <v>25</v>
      </c>
      <c r="F36" s="112">
        <f t="shared" si="40"/>
        <v>2</v>
      </c>
      <c r="G36" s="87">
        <f t="shared" si="47"/>
        <v>2</v>
      </c>
      <c r="H36" s="87">
        <f t="shared" si="31"/>
        <v>50</v>
      </c>
      <c r="I36" s="92">
        <f t="shared" si="48"/>
        <v>0</v>
      </c>
      <c r="J36" s="111">
        <v>6</v>
      </c>
      <c r="K36" s="113">
        <f t="shared" si="41"/>
        <v>12</v>
      </c>
      <c r="L36" s="111">
        <v>2.41</v>
      </c>
      <c r="M36" s="113">
        <f t="shared" si="42"/>
        <v>4.82</v>
      </c>
      <c r="N36" s="111">
        <v>0.2</v>
      </c>
      <c r="O36" s="113">
        <f t="shared" si="43"/>
        <v>2.4000000000000004</v>
      </c>
      <c r="P36" s="111">
        <v>0.6</v>
      </c>
      <c r="Q36" s="113">
        <f t="shared" si="44"/>
        <v>2.8919999999999999</v>
      </c>
      <c r="R36" s="113">
        <f t="shared" si="45"/>
        <v>0.49199999999999955</v>
      </c>
      <c r="S36" s="114">
        <v>2</v>
      </c>
      <c r="T36" s="115">
        <f t="shared" si="46"/>
        <v>0</v>
      </c>
    </row>
    <row r="37" spans="1:20" s="129" customFormat="1" x14ac:dyDescent="0.2">
      <c r="A37" s="110" t="s">
        <v>61</v>
      </c>
      <c r="B37" s="111" t="s">
        <v>158</v>
      </c>
      <c r="C37" s="111">
        <v>50</v>
      </c>
      <c r="D37" s="111" t="s">
        <v>137</v>
      </c>
      <c r="E37" s="111">
        <f>7*4*2</f>
        <v>56</v>
      </c>
      <c r="F37" s="112">
        <f t="shared" si="40"/>
        <v>0.8928571428571429</v>
      </c>
      <c r="G37" s="87">
        <f t="shared" si="47"/>
        <v>0</v>
      </c>
      <c r="H37" s="87">
        <f t="shared" si="31"/>
        <v>56</v>
      </c>
      <c r="I37" s="92">
        <f t="shared" si="48"/>
        <v>0</v>
      </c>
      <c r="J37" s="111">
        <v>7</v>
      </c>
      <c r="K37" s="113">
        <f t="shared" si="41"/>
        <v>6.25</v>
      </c>
      <c r="L37" s="111">
        <v>0</v>
      </c>
      <c r="M37" s="113">
        <f t="shared" si="42"/>
        <v>0</v>
      </c>
      <c r="N37" s="111">
        <v>0.2</v>
      </c>
      <c r="O37" s="113">
        <f t="shared" si="43"/>
        <v>1.25</v>
      </c>
      <c r="P37" s="111">
        <v>0.6</v>
      </c>
      <c r="Q37" s="113">
        <f t="shared" si="44"/>
        <v>0</v>
      </c>
      <c r="R37" s="113">
        <f t="shared" si="45"/>
        <v>-1.25</v>
      </c>
      <c r="S37" s="114">
        <v>0.89</v>
      </c>
      <c r="T37" s="115">
        <f t="shared" si="46"/>
        <v>2.8571428571428914E-3</v>
      </c>
    </row>
    <row r="38" spans="1:20" s="129" customFormat="1" x14ac:dyDescent="0.2">
      <c r="A38" s="110" t="s">
        <v>63</v>
      </c>
      <c r="B38" s="111" t="s">
        <v>159</v>
      </c>
      <c r="C38" s="111">
        <v>50</v>
      </c>
      <c r="D38" s="111" t="s">
        <v>137</v>
      </c>
      <c r="E38" s="111">
        <f>6*7</f>
        <v>42</v>
      </c>
      <c r="F38" s="112">
        <f t="shared" si="40"/>
        <v>1.1904761904761905</v>
      </c>
      <c r="G38" s="87">
        <f t="shared" si="47"/>
        <v>1</v>
      </c>
      <c r="H38" s="87">
        <f t="shared" si="31"/>
        <v>42</v>
      </c>
      <c r="I38" s="92">
        <f t="shared" si="48"/>
        <v>8</v>
      </c>
      <c r="J38" s="111">
        <v>7</v>
      </c>
      <c r="K38" s="113">
        <f t="shared" si="41"/>
        <v>8.3333333333333339</v>
      </c>
      <c r="L38" s="111">
        <v>0</v>
      </c>
      <c r="M38" s="113">
        <f t="shared" si="42"/>
        <v>0</v>
      </c>
      <c r="N38" s="111">
        <v>0.2</v>
      </c>
      <c r="O38" s="113">
        <f t="shared" si="43"/>
        <v>1.666666666666667</v>
      </c>
      <c r="P38" s="111">
        <v>0.6</v>
      </c>
      <c r="Q38" s="113">
        <f t="shared" si="44"/>
        <v>0</v>
      </c>
      <c r="R38" s="113">
        <f t="shared" si="45"/>
        <v>-1.666666666666667</v>
      </c>
      <c r="S38" s="114">
        <v>1.19</v>
      </c>
      <c r="T38" s="115">
        <f t="shared" si="46"/>
        <v>4.7619047619051891E-4</v>
      </c>
    </row>
    <row r="39" spans="1:20" s="129" customFormat="1" x14ac:dyDescent="0.2">
      <c r="A39" s="110" t="s">
        <v>64</v>
      </c>
      <c r="B39" s="111" t="s">
        <v>62</v>
      </c>
      <c r="C39" s="111">
        <v>50</v>
      </c>
      <c r="D39" s="111" t="s">
        <v>161</v>
      </c>
      <c r="E39" s="111">
        <v>1</v>
      </c>
      <c r="F39" s="112">
        <f t="shared" si="40"/>
        <v>50</v>
      </c>
      <c r="G39" s="87">
        <f t="shared" si="47"/>
        <v>0</v>
      </c>
      <c r="H39" s="87">
        <f t="shared" si="31"/>
        <v>1</v>
      </c>
      <c r="I39" s="92">
        <f t="shared" si="48"/>
        <v>0</v>
      </c>
      <c r="J39" s="111">
        <v>2</v>
      </c>
      <c r="K39" s="113">
        <f t="shared" si="41"/>
        <v>100</v>
      </c>
      <c r="L39" s="111">
        <v>0</v>
      </c>
      <c r="M39" s="113">
        <f t="shared" si="42"/>
        <v>0</v>
      </c>
      <c r="N39" s="111">
        <v>0.2</v>
      </c>
      <c r="O39" s="113">
        <f t="shared" si="43"/>
        <v>20</v>
      </c>
      <c r="P39" s="111">
        <v>0.6</v>
      </c>
      <c r="Q39" s="113">
        <f t="shared" si="44"/>
        <v>0</v>
      </c>
      <c r="R39" s="113">
        <f t="shared" si="45"/>
        <v>-20</v>
      </c>
      <c r="S39" s="114">
        <v>50</v>
      </c>
      <c r="T39" s="115">
        <f t="shared" si="46"/>
        <v>0</v>
      </c>
    </row>
    <row r="40" spans="1:20" s="120" customFormat="1" x14ac:dyDescent="0.2">
      <c r="F40" s="121"/>
      <c r="G40" s="121"/>
      <c r="H40" s="121"/>
      <c r="I40" s="122"/>
      <c r="K40" s="121"/>
      <c r="M40" s="121"/>
      <c r="O40" s="121"/>
      <c r="Q40" s="121"/>
      <c r="R40" s="121"/>
      <c r="T40" s="121"/>
    </row>
    <row r="41" spans="1:20" s="129" customFormat="1" x14ac:dyDescent="0.2">
      <c r="A41" s="110" t="s">
        <v>110</v>
      </c>
      <c r="B41" s="111" t="s">
        <v>151</v>
      </c>
      <c r="C41" s="111">
        <v>50</v>
      </c>
      <c r="D41" s="111" t="s">
        <v>143</v>
      </c>
      <c r="E41" s="111">
        <v>11</v>
      </c>
      <c r="F41" s="113">
        <f t="shared" ref="F41:F47" si="49">C41/E41</f>
        <v>4.5454545454545459</v>
      </c>
      <c r="G41" s="161">
        <f>IF(AND(F41&gt;=0, F41&lt;1), 0, IF(AND(F41&gt;=1,F41&lt;2), 1, IF(AND(F41&gt;=2,F41&lt;3), 2, IF(AND(F41&gt;=3,F41&lt;4), 3,IF(AND(F41&gt;=4,F41&lt;5), 4, IF(AND(F41&gt;=5,F41&lt;6), 5,IF(AND(F41&gt;=6,F41&lt;7), 6, IF(AND(F41&gt;=7,F41&lt;8), 7, IF(AND(F41&gt;=8,F41&lt;9), 8,IF(AND(F41&gt;=9,F41&lt;10), 9, IF(AND(F41&gt;=10,F41&lt;11), 10, IF(AND(F41&gt;=11,F41&lt;12), 11, IF(AND(F41&gt;=12,F41&lt;13),12,IF(AND(F41&gt;=13,F41&lt;14), 41, 0))))))))))))))</f>
        <v>4</v>
      </c>
      <c r="H41" s="161">
        <f t="shared" ref="H41:H47" si="50">IF(G41=0, E41,IF(G41=1, E41*1, IF(G41=2, E41*2, IF(G41=3, E41*3, IF(G41=4, E41*4, IF(G41=5, E41*5, IF(G41=6, E41*6, IF(G41=7, E41*7, IF(G41=8, E41*8, IF(G41=9, E41*9, IF(G41=10, E41*10, IF(G41=11, E41*11, 0))))))))))))</f>
        <v>44</v>
      </c>
      <c r="I41" s="162">
        <f>IF(AND(F41&gt;=0,F41&lt;1),0,IF(AND(F41&gt;=1,F41&lt;2),C41-(E41*1),IF(AND(F41&gt;=2,F41&lt;3),C41-(E41*2), IF(AND(F41&gt;=3,F41&lt;4),C41-(E41*3), IF(AND(F41&gt;=4,F41&lt;5),C41-(E41*4),IF(AND(F41&gt;=5,F41&lt;6),C41-(E41*5),IF(AND(F41&gt;=6,F41&lt;7),C41-(E41*6), IF(AND(F41&gt;=7,F41&lt;8),C41-(E41*7),IF(AND(F41&gt;=8,F41&lt;9),C41-(E41*8), 0 ) ) ) ) ) ) ) ) )</f>
        <v>6</v>
      </c>
      <c r="J41" s="111">
        <v>5</v>
      </c>
      <c r="K41" s="113">
        <f t="shared" ref="K41:K47" si="51">J41*F41</f>
        <v>22.72727272727273</v>
      </c>
      <c r="L41" s="111">
        <v>3.34</v>
      </c>
      <c r="M41" s="113">
        <f t="shared" ref="M41:M47" si="52">L41*F41</f>
        <v>15.181818181818182</v>
      </c>
      <c r="N41" s="111">
        <v>0.2</v>
      </c>
      <c r="O41" s="113">
        <f t="shared" ref="O41:O47" si="53">K41*N41</f>
        <v>4.5454545454545459</v>
      </c>
      <c r="P41" s="111">
        <v>0.6</v>
      </c>
      <c r="Q41" s="113">
        <f t="shared" ref="Q41:Q47" si="54">P41*M41</f>
        <v>9.1090909090909093</v>
      </c>
      <c r="R41" s="113">
        <f t="shared" ref="R41:R47" si="55">Q41-O41</f>
        <v>4.5636363636363635</v>
      </c>
      <c r="S41" s="111">
        <v>0</v>
      </c>
      <c r="T41" s="113">
        <f t="shared" ref="T41:T47" si="56">F41-S41</f>
        <v>4.5454545454545459</v>
      </c>
    </row>
    <row r="42" spans="1:20" s="129" customFormat="1" x14ac:dyDescent="0.2">
      <c r="A42" s="110" t="s">
        <v>94</v>
      </c>
      <c r="B42" s="111" t="s">
        <v>156</v>
      </c>
      <c r="C42" s="111">
        <v>50</v>
      </c>
      <c r="D42" s="111" t="s">
        <v>143</v>
      </c>
      <c r="E42" s="111">
        <v>12</v>
      </c>
      <c r="F42" s="113">
        <f t="shared" si="49"/>
        <v>4.166666666666667</v>
      </c>
      <c r="G42" s="161">
        <f t="shared" ref="G42:G47" si="57">IF(AND(F42&gt;=0, F42&lt;1), 0, IF(AND(F42&gt;=1,F42&lt;2), 1, IF(AND(F42&gt;=2,F42&lt;3), 2, IF(AND(F42&gt;=3,F42&lt;4), 3,IF(AND(F42&gt;=4,F42&lt;5), 4, IF(AND(F42&gt;=5,F42&lt;6), 5,IF(AND(F42&gt;=6,F42&lt;7), 6, IF(AND(F42&gt;=7,F42&lt;8), 7, IF(AND(F42&gt;=8,F42&lt;9), 8,IF(AND(F42&gt;=9,F42&lt;10), 9, IF(AND(F42&gt;=10,F42&lt;11), 10, IF(AND(F42&gt;=11,F42&lt;12), 11, IF(AND(F42&gt;=12,F42&lt;13),12,IF(AND(F42&gt;=13,F42&lt;14), 41, 0))))))))))))))</f>
        <v>4</v>
      </c>
      <c r="H42" s="161">
        <f t="shared" si="50"/>
        <v>48</v>
      </c>
      <c r="I42" s="162">
        <f t="shared" ref="I42:I47" si="58">IF(AND(F42&gt;=0,F42&lt;1),0,IF(AND(F42&gt;=1,F42&lt;2),C42-(E42*1),IF(AND(F42&gt;=2,F42&lt;3),C42-(E42*2), IF(AND(F42&gt;=3,F42&lt;4),C42-(E42*3), IF(AND(F42&gt;=4,F42&lt;5),C42-(E42*4),IF(AND(F42&gt;=5,F42&lt;6),C42-(E42*5),IF(AND(F42&gt;=6,F42&lt;7),C42-(E42*6), IF(AND(F42&gt;=7,F42&lt;8),C42-(E42*7),IF(AND(F42&gt;=8,F42&lt;9),C42-(E42*8), 0 ) ) ) ) ) ) ) ) )</f>
        <v>2</v>
      </c>
      <c r="J42" s="111">
        <v>4</v>
      </c>
      <c r="K42" s="113">
        <f t="shared" si="51"/>
        <v>16.666666666666668</v>
      </c>
      <c r="L42" s="111">
        <v>3.05</v>
      </c>
      <c r="M42" s="113">
        <f t="shared" si="52"/>
        <v>12.708333333333334</v>
      </c>
      <c r="N42" s="111">
        <v>0.2</v>
      </c>
      <c r="O42" s="113">
        <f t="shared" si="53"/>
        <v>3.3333333333333339</v>
      </c>
      <c r="P42" s="111">
        <v>0.6</v>
      </c>
      <c r="Q42" s="113">
        <f t="shared" si="54"/>
        <v>7.625</v>
      </c>
      <c r="R42" s="113">
        <f t="shared" si="55"/>
        <v>4.2916666666666661</v>
      </c>
      <c r="S42" s="111">
        <v>0</v>
      </c>
      <c r="T42" s="113">
        <f t="shared" si="56"/>
        <v>4.166666666666667</v>
      </c>
    </row>
    <row r="43" spans="1:20" s="129" customFormat="1" x14ac:dyDescent="0.2">
      <c r="A43" s="110" t="s">
        <v>95</v>
      </c>
      <c r="B43" s="111" t="s">
        <v>154</v>
      </c>
      <c r="C43" s="111">
        <v>50</v>
      </c>
      <c r="D43" s="111" t="s">
        <v>131</v>
      </c>
      <c r="E43" s="111">
        <f>6*7</f>
        <v>42</v>
      </c>
      <c r="F43" s="113">
        <f t="shared" si="49"/>
        <v>1.1904761904761905</v>
      </c>
      <c r="G43" s="161">
        <f t="shared" si="57"/>
        <v>1</v>
      </c>
      <c r="H43" s="161">
        <f t="shared" si="50"/>
        <v>42</v>
      </c>
      <c r="I43" s="162">
        <f t="shared" si="58"/>
        <v>8</v>
      </c>
      <c r="J43" s="111">
        <v>8</v>
      </c>
      <c r="K43" s="113">
        <f t="shared" si="51"/>
        <v>9.5238095238095237</v>
      </c>
      <c r="L43" s="111">
        <v>4.13</v>
      </c>
      <c r="M43" s="113">
        <f t="shared" si="52"/>
        <v>4.9166666666666661</v>
      </c>
      <c r="N43" s="111">
        <v>0.2</v>
      </c>
      <c r="O43" s="113">
        <f t="shared" si="53"/>
        <v>1.9047619047619049</v>
      </c>
      <c r="P43" s="111">
        <v>0.6</v>
      </c>
      <c r="Q43" s="113">
        <f t="shared" si="54"/>
        <v>2.9499999999999997</v>
      </c>
      <c r="R43" s="113">
        <f t="shared" si="55"/>
        <v>1.0452380952380949</v>
      </c>
      <c r="S43" s="111">
        <v>0</v>
      </c>
      <c r="T43" s="113">
        <f t="shared" si="56"/>
        <v>1.1904761904761905</v>
      </c>
    </row>
    <row r="44" spans="1:20" s="129" customFormat="1" x14ac:dyDescent="0.2">
      <c r="A44" s="110" t="s">
        <v>53</v>
      </c>
      <c r="B44" s="111" t="s">
        <v>157</v>
      </c>
      <c r="C44" s="111">
        <v>50</v>
      </c>
      <c r="D44" s="111" t="s">
        <v>131</v>
      </c>
      <c r="E44" s="111">
        <v>25</v>
      </c>
      <c r="F44" s="113">
        <f t="shared" si="49"/>
        <v>2</v>
      </c>
      <c r="G44" s="161">
        <f t="shared" si="57"/>
        <v>2</v>
      </c>
      <c r="H44" s="161">
        <f t="shared" si="50"/>
        <v>50</v>
      </c>
      <c r="I44" s="162">
        <f t="shared" si="58"/>
        <v>0</v>
      </c>
      <c r="J44" s="111">
        <v>6</v>
      </c>
      <c r="K44" s="113">
        <f t="shared" si="51"/>
        <v>12</v>
      </c>
      <c r="L44" s="111">
        <v>2.41</v>
      </c>
      <c r="M44" s="113">
        <f t="shared" si="52"/>
        <v>4.82</v>
      </c>
      <c r="N44" s="111">
        <v>0.2</v>
      </c>
      <c r="O44" s="113">
        <f t="shared" si="53"/>
        <v>2.4000000000000004</v>
      </c>
      <c r="P44" s="111">
        <v>0.6</v>
      </c>
      <c r="Q44" s="113">
        <f t="shared" si="54"/>
        <v>2.8919999999999999</v>
      </c>
      <c r="R44" s="113">
        <f t="shared" si="55"/>
        <v>0.49199999999999955</v>
      </c>
      <c r="S44" s="111">
        <v>0</v>
      </c>
      <c r="T44" s="113">
        <f t="shared" si="56"/>
        <v>2</v>
      </c>
    </row>
    <row r="45" spans="1:20" s="129" customFormat="1" x14ac:dyDescent="0.2">
      <c r="A45" s="110" t="s">
        <v>61</v>
      </c>
      <c r="B45" s="111" t="s">
        <v>158</v>
      </c>
      <c r="C45" s="111">
        <v>50</v>
      </c>
      <c r="D45" s="111" t="s">
        <v>137</v>
      </c>
      <c r="E45" s="111">
        <f>7*4*2</f>
        <v>56</v>
      </c>
      <c r="F45" s="113">
        <f t="shared" si="49"/>
        <v>0.8928571428571429</v>
      </c>
      <c r="G45" s="161">
        <f t="shared" si="57"/>
        <v>0</v>
      </c>
      <c r="H45" s="161">
        <f t="shared" si="50"/>
        <v>56</v>
      </c>
      <c r="I45" s="162">
        <f t="shared" si="58"/>
        <v>0</v>
      </c>
      <c r="J45" s="111">
        <v>7</v>
      </c>
      <c r="K45" s="113">
        <f t="shared" si="51"/>
        <v>6.25</v>
      </c>
      <c r="L45" s="111">
        <v>0</v>
      </c>
      <c r="M45" s="113">
        <f t="shared" si="52"/>
        <v>0</v>
      </c>
      <c r="N45" s="111">
        <v>0.2</v>
      </c>
      <c r="O45" s="113">
        <f t="shared" si="53"/>
        <v>1.25</v>
      </c>
      <c r="P45" s="111">
        <v>0.6</v>
      </c>
      <c r="Q45" s="113">
        <f t="shared" si="54"/>
        <v>0</v>
      </c>
      <c r="R45" s="113">
        <f t="shared" si="55"/>
        <v>-1.25</v>
      </c>
      <c r="S45" s="111">
        <v>0</v>
      </c>
      <c r="T45" s="113">
        <f t="shared" si="56"/>
        <v>0.8928571428571429</v>
      </c>
    </row>
    <row r="46" spans="1:20" s="129" customFormat="1" x14ac:dyDescent="0.2">
      <c r="A46" s="110" t="s">
        <v>63</v>
      </c>
      <c r="B46" s="111" t="s">
        <v>159</v>
      </c>
      <c r="C46" s="111">
        <v>50</v>
      </c>
      <c r="D46" s="111" t="s">
        <v>137</v>
      </c>
      <c r="E46" s="111">
        <f>6*7</f>
        <v>42</v>
      </c>
      <c r="F46" s="113">
        <f t="shared" si="49"/>
        <v>1.1904761904761905</v>
      </c>
      <c r="G46" s="161">
        <f t="shared" si="57"/>
        <v>1</v>
      </c>
      <c r="H46" s="161">
        <f t="shared" si="50"/>
        <v>42</v>
      </c>
      <c r="I46" s="162">
        <f t="shared" si="58"/>
        <v>8</v>
      </c>
      <c r="J46" s="111">
        <v>7</v>
      </c>
      <c r="K46" s="113">
        <f t="shared" si="51"/>
        <v>8.3333333333333339</v>
      </c>
      <c r="L46" s="111">
        <v>0</v>
      </c>
      <c r="M46" s="113">
        <f t="shared" si="52"/>
        <v>0</v>
      </c>
      <c r="N46" s="111">
        <v>0.2</v>
      </c>
      <c r="O46" s="113">
        <f t="shared" si="53"/>
        <v>1.666666666666667</v>
      </c>
      <c r="P46" s="111">
        <v>0.6</v>
      </c>
      <c r="Q46" s="113">
        <f t="shared" si="54"/>
        <v>0</v>
      </c>
      <c r="R46" s="113">
        <f t="shared" si="55"/>
        <v>-1.666666666666667</v>
      </c>
      <c r="S46" s="111">
        <v>0</v>
      </c>
      <c r="T46" s="113">
        <f t="shared" si="56"/>
        <v>1.1904761904761905</v>
      </c>
    </row>
    <row r="47" spans="1:20" s="129" customFormat="1" x14ac:dyDescent="0.2">
      <c r="A47" s="110" t="s">
        <v>64</v>
      </c>
      <c r="B47" s="111" t="s">
        <v>62</v>
      </c>
      <c r="C47" s="111">
        <v>50</v>
      </c>
      <c r="D47" s="111" t="s">
        <v>161</v>
      </c>
      <c r="E47" s="111">
        <v>1</v>
      </c>
      <c r="F47" s="113">
        <f t="shared" si="49"/>
        <v>50</v>
      </c>
      <c r="G47" s="161">
        <f t="shared" si="57"/>
        <v>0</v>
      </c>
      <c r="H47" s="161">
        <f t="shared" si="50"/>
        <v>1</v>
      </c>
      <c r="I47" s="162">
        <f t="shared" si="58"/>
        <v>0</v>
      </c>
      <c r="J47" s="111">
        <v>2</v>
      </c>
      <c r="K47" s="113">
        <f t="shared" si="51"/>
        <v>100</v>
      </c>
      <c r="L47" s="111">
        <v>0</v>
      </c>
      <c r="M47" s="113">
        <f t="shared" si="52"/>
        <v>0</v>
      </c>
      <c r="N47" s="111">
        <v>0.2</v>
      </c>
      <c r="O47" s="113">
        <f t="shared" si="53"/>
        <v>20</v>
      </c>
      <c r="P47" s="111">
        <v>0.6</v>
      </c>
      <c r="Q47" s="113">
        <f t="shared" si="54"/>
        <v>0</v>
      </c>
      <c r="R47" s="113">
        <f t="shared" si="55"/>
        <v>-20</v>
      </c>
      <c r="S47" s="111">
        <v>0</v>
      </c>
      <c r="T47" s="113">
        <f t="shared" si="56"/>
        <v>50</v>
      </c>
    </row>
    <row r="48" spans="1:20" s="120" customFormat="1" ht="13.5" thickBot="1" x14ac:dyDescent="0.25">
      <c r="F48" s="121"/>
      <c r="G48" s="121"/>
      <c r="H48" s="121"/>
      <c r="I48" s="122"/>
      <c r="K48" s="121"/>
      <c r="M48" s="121"/>
      <c r="O48" s="121"/>
      <c r="Q48" s="121"/>
      <c r="R48" s="121"/>
      <c r="T48" s="121"/>
    </row>
    <row r="49" spans="1:23" s="107" customFormat="1" ht="45.75" customHeight="1" thickBot="1" x14ac:dyDescent="0.3">
      <c r="A49" s="123" t="s">
        <v>178</v>
      </c>
      <c r="B49" s="107" t="s">
        <v>183</v>
      </c>
      <c r="C49" s="107">
        <v>2020080518</v>
      </c>
      <c r="F49" s="124"/>
      <c r="G49" s="125"/>
      <c r="H49" s="125"/>
      <c r="I49" s="126"/>
      <c r="K49" s="127"/>
      <c r="M49" s="127"/>
      <c r="O49" s="127"/>
      <c r="Q49" s="127"/>
      <c r="R49" s="127"/>
      <c r="S49" s="128"/>
      <c r="T49" s="127"/>
      <c r="V49" s="108" t="s">
        <v>160</v>
      </c>
      <c r="W49" s="109">
        <v>2.5</v>
      </c>
    </row>
    <row r="50" spans="1:23" s="111" customFormat="1" x14ac:dyDescent="0.25">
      <c r="A50" s="110" t="s">
        <v>110</v>
      </c>
      <c r="B50" s="111" t="s">
        <v>151</v>
      </c>
      <c r="C50" s="111">
        <v>100</v>
      </c>
      <c r="D50" s="111" t="s">
        <v>143</v>
      </c>
      <c r="E50" s="111">
        <v>12</v>
      </c>
      <c r="F50" s="113">
        <f t="shared" ref="F50:F56" si="59">C50/E50</f>
        <v>8.3333333333333339</v>
      </c>
      <c r="G50" s="161">
        <f>IF(AND(F50&gt;=0, F50&lt;1), 0, IF(AND(F50&gt;=1,F50&lt;2), 1, IF(AND(F50&gt;=2,F50&lt;3), 2, IF(AND(F50&gt;=3,F50&lt;4), 3,IF(AND(F50&gt;=4,F50&lt;5), 4, IF(AND(F50&gt;=5,F50&lt;6), 5,IF(AND(F50&gt;=6,F50&lt;7), 6, IF(AND(F50&gt;=7,F50&lt;8), 7, IF(AND(F50&gt;=8,F50&lt;9), 8,IF(AND(F50&gt;=9,F50&lt;10), 9, IF(AND(F50&gt;=10,F50&lt;11), 10, IF(AND(F50&gt;=11,F50&lt;12), 11, IF(AND(F50&gt;=12,F50&lt;13),12,IF(AND(F50&gt;=13,F50&lt;14), 41, 0))))))))))))))</f>
        <v>8</v>
      </c>
      <c r="H50" s="161">
        <f t="shared" ref="H50:H56" si="60">IF(G50=0, E50,IF(G50=1, E50*1, IF(G50=2, E50*2, IF(G50=3, E50*3, IF(G50=4, E50*4, IF(G50=5, E50*5, IF(G50=6, E50*6, IF(G50=7, E50*7, IF(G50=8, E50*8, IF(G50=9, E50*9, IF(G50=10, E50*10, IF(G50=11, E50*11, 0))))))))))))</f>
        <v>96</v>
      </c>
      <c r="I50" s="162">
        <f>IF(AND(F50&gt;=0,F50&lt;1),0,IF(AND(F50&gt;=1,F50&lt;2),C50-(E50*1),IF(AND(F50&gt;=2,F50&lt;3),C50-(E50*2), IF(AND(F50&gt;=3,F50&lt;4),C50-(E50*3), IF(AND(F50&gt;=4,F50&lt;5),C50-(E50*4),IF(AND(F50&gt;=5,F50&lt;6),C50-(E50*5),IF(AND(F50&gt;=6,F50&lt;7),C50-(E50*6), IF(AND(F50&gt;=7,F50&lt;8),C50-(E50*7),IF(AND(F50&gt;=8,F50&lt;9),C50-(E50*8), 0 ) ) ) ) ) ) ) ) )</f>
        <v>4</v>
      </c>
      <c r="J50" s="111">
        <v>10</v>
      </c>
      <c r="K50" s="113">
        <f t="shared" ref="K50:K56" si="61">J50*F50</f>
        <v>83.333333333333343</v>
      </c>
      <c r="L50" s="111">
        <v>0</v>
      </c>
      <c r="M50" s="113">
        <f t="shared" ref="M50:M56" si="62">L50*F50</f>
        <v>0</v>
      </c>
      <c r="N50" s="111">
        <v>0.2</v>
      </c>
      <c r="O50" s="113">
        <f t="shared" ref="O50:O56" si="63">K50*N50</f>
        <v>16.666666666666668</v>
      </c>
      <c r="P50" s="111">
        <v>0.6</v>
      </c>
      <c r="Q50" s="113">
        <f t="shared" ref="Q50:Q56" si="64">P50*M50</f>
        <v>0</v>
      </c>
      <c r="R50" s="113">
        <f t="shared" ref="R50:R56" si="65">Q50-O50</f>
        <v>-16.666666666666668</v>
      </c>
      <c r="S50" s="111">
        <v>0</v>
      </c>
      <c r="T50" s="113">
        <f t="shared" ref="T50:T56" si="66">F50-S50</f>
        <v>8.3333333333333339</v>
      </c>
    </row>
    <row r="51" spans="1:23" s="111" customFormat="1" x14ac:dyDescent="0.25">
      <c r="A51" s="110" t="s">
        <v>94</v>
      </c>
      <c r="B51" s="111" t="s">
        <v>183</v>
      </c>
      <c r="C51" s="111">
        <v>100</v>
      </c>
      <c r="D51" s="111" t="s">
        <v>143</v>
      </c>
      <c r="E51" s="111">
        <v>9</v>
      </c>
      <c r="F51" s="113">
        <f t="shared" si="59"/>
        <v>11.111111111111111</v>
      </c>
      <c r="G51" s="161">
        <f t="shared" ref="G51:G56" si="67">IF(AND(F51&gt;=0, F51&lt;1), 0, IF(AND(F51&gt;=1,F51&lt;2), 1, IF(AND(F51&gt;=2,F51&lt;3), 2, IF(AND(F51&gt;=3,F51&lt;4), 3,IF(AND(F51&gt;=4,F51&lt;5), 4, IF(AND(F51&gt;=5,F51&lt;6), 5,IF(AND(F51&gt;=6,F51&lt;7), 6, IF(AND(F51&gt;=7,F51&lt;8), 7, IF(AND(F51&gt;=8,F51&lt;9), 8,IF(AND(F51&gt;=9,F51&lt;10), 9, IF(AND(F51&gt;=10,F51&lt;11), 10, IF(AND(F51&gt;=11,F51&lt;12), 11, IF(AND(F51&gt;=12,F51&lt;13),12,IF(AND(F51&gt;=13,F51&lt;14), 41, 0))))))))))))))</f>
        <v>11</v>
      </c>
      <c r="H51" s="161">
        <f t="shared" si="60"/>
        <v>99</v>
      </c>
      <c r="I51" s="162">
        <f t="shared" ref="I51:I56" si="68">IF(AND(F51&gt;=0,F51&lt;1),0,IF(AND(F51&gt;=1,F51&lt;2),C51-(E51*1),IF(AND(F51&gt;=2,F51&lt;3),C51-(E51*2), IF(AND(F51&gt;=3,F51&lt;4),C51-(E51*3), IF(AND(F51&gt;=4,F51&lt;5),C51-(E51*4),IF(AND(F51&gt;=5,F51&lt;6),C51-(E51*5),IF(AND(F51&gt;=6,F51&lt;7),C51-(E51*6), IF(AND(F51&gt;=7,F51&lt;8),C51-(E51*7),IF(AND(F51&gt;=8,F51&lt;9),C51-(E51*8), 0 ) ) ) ) ) ) ) ) )</f>
        <v>0</v>
      </c>
      <c r="J51" s="111">
        <v>10</v>
      </c>
      <c r="K51" s="113">
        <f t="shared" si="61"/>
        <v>111.11111111111111</v>
      </c>
      <c r="L51" s="111">
        <v>0</v>
      </c>
      <c r="M51" s="113">
        <f t="shared" si="62"/>
        <v>0</v>
      </c>
      <c r="N51" s="111">
        <v>0.2</v>
      </c>
      <c r="O51" s="113">
        <f t="shared" si="63"/>
        <v>22.222222222222225</v>
      </c>
      <c r="P51" s="111">
        <v>0.6</v>
      </c>
      <c r="Q51" s="113">
        <f t="shared" si="64"/>
        <v>0</v>
      </c>
      <c r="R51" s="113">
        <f t="shared" si="65"/>
        <v>-22.222222222222225</v>
      </c>
      <c r="S51" s="111">
        <v>0</v>
      </c>
      <c r="T51" s="113">
        <f t="shared" si="66"/>
        <v>11.111111111111111</v>
      </c>
    </row>
    <row r="52" spans="1:23" s="111" customFormat="1" x14ac:dyDescent="0.25">
      <c r="A52" s="110" t="s">
        <v>95</v>
      </c>
      <c r="B52" s="111" t="s">
        <v>154</v>
      </c>
      <c r="C52" s="111">
        <v>100</v>
      </c>
      <c r="D52" s="111" t="s">
        <v>143</v>
      </c>
      <c r="E52" s="111">
        <f>8*5</f>
        <v>40</v>
      </c>
      <c r="F52" s="113">
        <f t="shared" si="59"/>
        <v>2.5</v>
      </c>
      <c r="G52" s="161">
        <f t="shared" si="67"/>
        <v>2</v>
      </c>
      <c r="H52" s="161">
        <f t="shared" si="60"/>
        <v>80</v>
      </c>
      <c r="I52" s="162">
        <f t="shared" si="68"/>
        <v>20</v>
      </c>
      <c r="J52" s="111">
        <v>15</v>
      </c>
      <c r="K52" s="113">
        <f t="shared" si="61"/>
        <v>37.5</v>
      </c>
      <c r="L52" s="111">
        <v>0</v>
      </c>
      <c r="M52" s="113">
        <f t="shared" si="62"/>
        <v>0</v>
      </c>
      <c r="N52" s="111">
        <v>0.2</v>
      </c>
      <c r="O52" s="113">
        <f t="shared" si="63"/>
        <v>7.5</v>
      </c>
      <c r="P52" s="111">
        <v>0.6</v>
      </c>
      <c r="Q52" s="113">
        <f t="shared" si="64"/>
        <v>0</v>
      </c>
      <c r="R52" s="113">
        <f t="shared" si="65"/>
        <v>-7.5</v>
      </c>
      <c r="S52" s="111">
        <v>0</v>
      </c>
      <c r="T52" s="113">
        <f t="shared" si="66"/>
        <v>2.5</v>
      </c>
    </row>
    <row r="53" spans="1:23" s="111" customFormat="1" x14ac:dyDescent="0.25">
      <c r="A53" s="110" t="s">
        <v>53</v>
      </c>
      <c r="B53" s="111" t="s">
        <v>184</v>
      </c>
      <c r="C53" s="111">
        <v>100</v>
      </c>
      <c r="D53" s="111" t="s">
        <v>143</v>
      </c>
      <c r="E53" s="111">
        <f>30</f>
        <v>30</v>
      </c>
      <c r="F53" s="113">
        <f t="shared" si="59"/>
        <v>3.3333333333333335</v>
      </c>
      <c r="G53" s="161">
        <f t="shared" si="67"/>
        <v>3</v>
      </c>
      <c r="H53" s="161">
        <f t="shared" si="60"/>
        <v>90</v>
      </c>
      <c r="I53" s="162">
        <f t="shared" si="68"/>
        <v>10</v>
      </c>
      <c r="J53" s="111">
        <v>15</v>
      </c>
      <c r="K53" s="113">
        <f t="shared" si="61"/>
        <v>50</v>
      </c>
      <c r="L53" s="111">
        <v>0</v>
      </c>
      <c r="M53" s="113">
        <f t="shared" si="62"/>
        <v>0</v>
      </c>
      <c r="N53" s="111">
        <v>0.2</v>
      </c>
      <c r="O53" s="113">
        <f t="shared" si="63"/>
        <v>10</v>
      </c>
      <c r="P53" s="111">
        <v>0.6</v>
      </c>
      <c r="Q53" s="113">
        <f t="shared" si="64"/>
        <v>0</v>
      </c>
      <c r="R53" s="113">
        <f t="shared" si="65"/>
        <v>-10</v>
      </c>
      <c r="S53" s="111">
        <v>0</v>
      </c>
      <c r="T53" s="113">
        <f t="shared" si="66"/>
        <v>3.3333333333333335</v>
      </c>
    </row>
    <row r="54" spans="1:23" s="111" customFormat="1" x14ac:dyDescent="0.25">
      <c r="A54" s="110" t="s">
        <v>61</v>
      </c>
      <c r="B54" s="111" t="s">
        <v>158</v>
      </c>
      <c r="C54" s="111">
        <v>100</v>
      </c>
      <c r="D54" s="111" t="s">
        <v>143</v>
      </c>
      <c r="E54" s="111">
        <f>16*3+10</f>
        <v>58</v>
      </c>
      <c r="F54" s="113">
        <f t="shared" si="59"/>
        <v>1.7241379310344827</v>
      </c>
      <c r="G54" s="161">
        <f t="shared" si="67"/>
        <v>1</v>
      </c>
      <c r="H54" s="161">
        <f t="shared" si="60"/>
        <v>58</v>
      </c>
      <c r="I54" s="162">
        <f t="shared" si="68"/>
        <v>42</v>
      </c>
      <c r="J54" s="111">
        <v>10</v>
      </c>
      <c r="K54" s="113">
        <f t="shared" si="61"/>
        <v>17.241379310344826</v>
      </c>
      <c r="L54" s="111">
        <v>0</v>
      </c>
      <c r="M54" s="113">
        <f t="shared" si="62"/>
        <v>0</v>
      </c>
      <c r="N54" s="111">
        <v>0.2</v>
      </c>
      <c r="O54" s="113">
        <f t="shared" si="63"/>
        <v>3.4482758620689653</v>
      </c>
      <c r="P54" s="111">
        <v>0.6</v>
      </c>
      <c r="Q54" s="113">
        <f t="shared" si="64"/>
        <v>0</v>
      </c>
      <c r="R54" s="113">
        <f t="shared" si="65"/>
        <v>-3.4482758620689653</v>
      </c>
      <c r="S54" s="111">
        <v>0</v>
      </c>
      <c r="T54" s="113">
        <f t="shared" si="66"/>
        <v>1.7241379310344827</v>
      </c>
    </row>
    <row r="55" spans="1:23" s="111" customFormat="1" x14ac:dyDescent="0.25">
      <c r="A55" s="110" t="s">
        <v>63</v>
      </c>
      <c r="B55" s="111" t="s">
        <v>159</v>
      </c>
      <c r="C55" s="111">
        <v>100</v>
      </c>
      <c r="D55" s="111" t="s">
        <v>143</v>
      </c>
      <c r="E55" s="111">
        <f>13*8</f>
        <v>104</v>
      </c>
      <c r="F55" s="113">
        <f t="shared" si="59"/>
        <v>0.96153846153846156</v>
      </c>
      <c r="G55" s="161">
        <f t="shared" si="67"/>
        <v>0</v>
      </c>
      <c r="H55" s="161">
        <f t="shared" si="60"/>
        <v>104</v>
      </c>
      <c r="I55" s="162">
        <f t="shared" si="68"/>
        <v>0</v>
      </c>
      <c r="J55" s="111">
        <v>10</v>
      </c>
      <c r="K55" s="113">
        <f t="shared" si="61"/>
        <v>9.615384615384615</v>
      </c>
      <c r="L55" s="111">
        <v>0</v>
      </c>
      <c r="M55" s="113">
        <f t="shared" si="62"/>
        <v>0</v>
      </c>
      <c r="N55" s="111">
        <v>0.2</v>
      </c>
      <c r="O55" s="113">
        <f t="shared" si="63"/>
        <v>1.9230769230769231</v>
      </c>
      <c r="P55" s="111">
        <v>0.6</v>
      </c>
      <c r="Q55" s="113">
        <f t="shared" si="64"/>
        <v>0</v>
      </c>
      <c r="R55" s="113">
        <f t="shared" si="65"/>
        <v>-1.9230769230769231</v>
      </c>
      <c r="S55" s="111">
        <v>0</v>
      </c>
      <c r="T55" s="113">
        <f t="shared" si="66"/>
        <v>0.96153846153846156</v>
      </c>
    </row>
    <row r="56" spans="1:23" s="111" customFormat="1" x14ac:dyDescent="0.25">
      <c r="A56" s="110" t="s">
        <v>64</v>
      </c>
      <c r="B56" s="111" t="s">
        <v>62</v>
      </c>
      <c r="C56" s="111">
        <v>100</v>
      </c>
      <c r="D56" s="111" t="s">
        <v>161</v>
      </c>
      <c r="E56" s="111">
        <v>1</v>
      </c>
      <c r="F56" s="113">
        <f t="shared" si="59"/>
        <v>100</v>
      </c>
      <c r="G56" s="161">
        <f t="shared" si="67"/>
        <v>0</v>
      </c>
      <c r="H56" s="161">
        <f t="shared" si="60"/>
        <v>1</v>
      </c>
      <c r="I56" s="162">
        <f t="shared" si="68"/>
        <v>0</v>
      </c>
      <c r="J56" s="111">
        <v>2</v>
      </c>
      <c r="K56" s="113">
        <f t="shared" si="61"/>
        <v>200</v>
      </c>
      <c r="L56" s="111">
        <v>0</v>
      </c>
      <c r="M56" s="113">
        <f t="shared" si="62"/>
        <v>0</v>
      </c>
      <c r="N56" s="111">
        <v>0.2</v>
      </c>
      <c r="O56" s="113">
        <f t="shared" si="63"/>
        <v>40</v>
      </c>
      <c r="P56" s="111">
        <v>0.6</v>
      </c>
      <c r="Q56" s="113">
        <f t="shared" si="64"/>
        <v>0</v>
      </c>
      <c r="R56" s="113">
        <f t="shared" si="65"/>
        <v>-40</v>
      </c>
      <c r="S56" s="111">
        <v>0</v>
      </c>
      <c r="T56" s="113">
        <f t="shared" si="66"/>
        <v>100</v>
      </c>
    </row>
    <row r="57" spans="1:23" s="134" customFormat="1" x14ac:dyDescent="0.2">
      <c r="F57" s="135"/>
      <c r="G57" s="136"/>
      <c r="H57" s="136"/>
      <c r="I57" s="122"/>
      <c r="K57" s="137"/>
      <c r="M57" s="137"/>
      <c r="O57" s="137"/>
      <c r="Q57" s="137"/>
      <c r="R57" s="137"/>
      <c r="S57" s="138"/>
      <c r="T57" s="139"/>
    </row>
    <row r="58" spans="1:23" s="111" customFormat="1" x14ac:dyDescent="0.25">
      <c r="A58" s="110" t="s">
        <v>110</v>
      </c>
      <c r="B58" s="111" t="s">
        <v>151</v>
      </c>
      <c r="C58" s="111">
        <v>50</v>
      </c>
      <c r="D58" s="111" t="s">
        <v>143</v>
      </c>
      <c r="E58" s="111">
        <v>12</v>
      </c>
      <c r="F58" s="113">
        <f t="shared" ref="F58:F64" si="69">C58/E58</f>
        <v>4.166666666666667</v>
      </c>
      <c r="G58" s="161">
        <f>IF(AND(F58&gt;=0, F58&lt;1), 0, IF(AND(F58&gt;=1,F58&lt;2), 1, IF(AND(F58&gt;=2,F58&lt;3), 2, IF(AND(F58&gt;=3,F58&lt;4), 3,IF(AND(F58&gt;=4,F58&lt;5), 4, IF(AND(F58&gt;=5,F58&lt;6), 5,IF(AND(F58&gt;=6,F58&lt;7), 6, IF(AND(F58&gt;=7,F58&lt;8), 7, IF(AND(F58&gt;=8,F58&lt;9), 8,IF(AND(F58&gt;=9,F58&lt;10), 9, IF(AND(F58&gt;=10,F58&lt;11), 10, IF(AND(F58&gt;=11,F58&lt;12), 11, IF(AND(F58&gt;=12,F58&lt;13),12,IF(AND(F58&gt;=13,F58&lt;14), 41, 0))))))))))))))</f>
        <v>4</v>
      </c>
      <c r="H58" s="161">
        <f t="shared" ref="H58:H64" si="70">IF(G58=0, E58,IF(G58=1, E58*1, IF(G58=2, E58*2, IF(G58=3, E58*3, IF(G58=4, E58*4, IF(G58=5, E58*5, IF(G58=6, E58*6, IF(G58=7, E58*7, IF(G58=8, E58*8, IF(G58=9, E58*9, IF(G58=10, E58*10, IF(G58=11, E58*11, 0))))))))))))</f>
        <v>48</v>
      </c>
      <c r="I58" s="162">
        <f>IF(AND(F58&gt;=0,F58&lt;1),0,IF(AND(F58&gt;=1,F58&lt;2),C58-(E58*1),IF(AND(F58&gt;=2,F58&lt;3),C58-(E58*2), IF(AND(F58&gt;=3,F58&lt;4),C58-(E58*3), IF(AND(F58&gt;=4,F58&lt;5),C58-(E58*4),IF(AND(F58&gt;=5,F58&lt;6),C58-(E58*5),IF(AND(F58&gt;=6,F58&lt;7),C58-(E58*6), IF(AND(F58&gt;=7,F58&lt;8),C58-(E58*7),IF(AND(F58&gt;=8,F58&lt;9),C58-(E58*8), 0 ) ) ) ) ) ) ) ) )</f>
        <v>2</v>
      </c>
      <c r="J58" s="111">
        <v>10</v>
      </c>
      <c r="K58" s="113">
        <f t="shared" ref="K58:K64" si="71">J58*F58</f>
        <v>41.666666666666671</v>
      </c>
      <c r="L58" s="111">
        <v>0</v>
      </c>
      <c r="M58" s="113">
        <f t="shared" ref="M58:M64" si="72">L58*F58</f>
        <v>0</v>
      </c>
      <c r="N58" s="111">
        <v>0.2</v>
      </c>
      <c r="O58" s="113">
        <f t="shared" ref="O58:O64" si="73">K58*N58</f>
        <v>8.3333333333333339</v>
      </c>
      <c r="P58" s="111">
        <v>0.6</v>
      </c>
      <c r="Q58" s="113">
        <f t="shared" ref="Q58:Q64" si="74">P58*M58</f>
        <v>0</v>
      </c>
      <c r="R58" s="113">
        <f t="shared" ref="R58:R64" si="75">Q58-O58</f>
        <v>-8.3333333333333339</v>
      </c>
      <c r="S58" s="111">
        <v>0</v>
      </c>
      <c r="T58" s="113">
        <f t="shared" ref="T58:T64" si="76">F58-S58</f>
        <v>4.166666666666667</v>
      </c>
    </row>
    <row r="59" spans="1:23" s="111" customFormat="1" x14ac:dyDescent="0.25">
      <c r="A59" s="110" t="s">
        <v>94</v>
      </c>
      <c r="B59" s="111" t="s">
        <v>183</v>
      </c>
      <c r="C59" s="111">
        <v>50</v>
      </c>
      <c r="D59" s="111" t="s">
        <v>143</v>
      </c>
      <c r="E59" s="111">
        <v>9</v>
      </c>
      <c r="F59" s="113">
        <f t="shared" si="69"/>
        <v>5.5555555555555554</v>
      </c>
      <c r="G59" s="161">
        <f t="shared" ref="G59:G64" si="77">IF(AND(F59&gt;=0, F59&lt;1), 0, IF(AND(F59&gt;=1,F59&lt;2), 1, IF(AND(F59&gt;=2,F59&lt;3), 2, IF(AND(F59&gt;=3,F59&lt;4), 3,IF(AND(F59&gt;=4,F59&lt;5), 4, IF(AND(F59&gt;=5,F59&lt;6), 5,IF(AND(F59&gt;=6,F59&lt;7), 6, IF(AND(F59&gt;=7,F59&lt;8), 7, IF(AND(F59&gt;=8,F59&lt;9), 8,IF(AND(F59&gt;=9,F59&lt;10), 9, IF(AND(F59&gt;=10,F59&lt;11), 10, IF(AND(F59&gt;=11,F59&lt;12), 11, IF(AND(F59&gt;=12,F59&lt;13),12,IF(AND(F59&gt;=13,F59&lt;14), 41, 0))))))))))))))</f>
        <v>5</v>
      </c>
      <c r="H59" s="161">
        <f t="shared" si="70"/>
        <v>45</v>
      </c>
      <c r="I59" s="162">
        <f t="shared" ref="I59:I64" si="78">IF(AND(F59&gt;=0,F59&lt;1),0,IF(AND(F59&gt;=1,F59&lt;2),C59-(E59*1),IF(AND(F59&gt;=2,F59&lt;3),C59-(E59*2), IF(AND(F59&gt;=3,F59&lt;4),C59-(E59*3), IF(AND(F59&gt;=4,F59&lt;5),C59-(E59*4),IF(AND(F59&gt;=5,F59&lt;6),C59-(E59*5),IF(AND(F59&gt;=6,F59&lt;7),C59-(E59*6), IF(AND(F59&gt;=7,F59&lt;8),C59-(E59*7),IF(AND(F59&gt;=8,F59&lt;9),C59-(E59*8), 0 ) ) ) ) ) ) ) ) )</f>
        <v>5</v>
      </c>
      <c r="J59" s="111">
        <v>10</v>
      </c>
      <c r="K59" s="113">
        <f t="shared" si="71"/>
        <v>55.555555555555557</v>
      </c>
      <c r="L59" s="111">
        <v>0</v>
      </c>
      <c r="M59" s="113">
        <f t="shared" si="72"/>
        <v>0</v>
      </c>
      <c r="N59" s="111">
        <v>0.2</v>
      </c>
      <c r="O59" s="113">
        <f t="shared" si="73"/>
        <v>11.111111111111112</v>
      </c>
      <c r="P59" s="111">
        <v>0.6</v>
      </c>
      <c r="Q59" s="113">
        <f t="shared" si="74"/>
        <v>0</v>
      </c>
      <c r="R59" s="113">
        <f t="shared" si="75"/>
        <v>-11.111111111111112</v>
      </c>
      <c r="S59" s="111">
        <v>0</v>
      </c>
      <c r="T59" s="113">
        <f t="shared" si="76"/>
        <v>5.5555555555555554</v>
      </c>
    </row>
    <row r="60" spans="1:23" s="111" customFormat="1" x14ac:dyDescent="0.25">
      <c r="A60" s="110" t="s">
        <v>95</v>
      </c>
      <c r="B60" s="111" t="s">
        <v>154</v>
      </c>
      <c r="C60" s="111">
        <v>50</v>
      </c>
      <c r="D60" s="111" t="s">
        <v>143</v>
      </c>
      <c r="E60" s="111">
        <f>8*5</f>
        <v>40</v>
      </c>
      <c r="F60" s="113">
        <f t="shared" si="69"/>
        <v>1.25</v>
      </c>
      <c r="G60" s="161">
        <f t="shared" si="77"/>
        <v>1</v>
      </c>
      <c r="H60" s="161">
        <f t="shared" si="70"/>
        <v>40</v>
      </c>
      <c r="I60" s="162">
        <f t="shared" si="78"/>
        <v>10</v>
      </c>
      <c r="J60" s="111">
        <v>15</v>
      </c>
      <c r="K60" s="113">
        <f t="shared" si="71"/>
        <v>18.75</v>
      </c>
      <c r="L60" s="111">
        <v>0</v>
      </c>
      <c r="M60" s="113">
        <f t="shared" si="72"/>
        <v>0</v>
      </c>
      <c r="N60" s="111">
        <v>0.2</v>
      </c>
      <c r="O60" s="113">
        <f t="shared" si="73"/>
        <v>3.75</v>
      </c>
      <c r="P60" s="111">
        <v>0.6</v>
      </c>
      <c r="Q60" s="113">
        <f t="shared" si="74"/>
        <v>0</v>
      </c>
      <c r="R60" s="113">
        <f t="shared" si="75"/>
        <v>-3.75</v>
      </c>
      <c r="S60" s="111">
        <v>0</v>
      </c>
      <c r="T60" s="113">
        <f t="shared" si="76"/>
        <v>1.25</v>
      </c>
    </row>
    <row r="61" spans="1:23" s="111" customFormat="1" x14ac:dyDescent="0.25">
      <c r="A61" s="110" t="s">
        <v>53</v>
      </c>
      <c r="B61" s="111" t="s">
        <v>184</v>
      </c>
      <c r="C61" s="111">
        <v>50</v>
      </c>
      <c r="D61" s="111" t="s">
        <v>143</v>
      </c>
      <c r="E61" s="111">
        <f>30</f>
        <v>30</v>
      </c>
      <c r="F61" s="113">
        <f t="shared" si="69"/>
        <v>1.6666666666666667</v>
      </c>
      <c r="G61" s="161">
        <f t="shared" si="77"/>
        <v>1</v>
      </c>
      <c r="H61" s="161">
        <f t="shared" si="70"/>
        <v>30</v>
      </c>
      <c r="I61" s="162">
        <f t="shared" si="78"/>
        <v>20</v>
      </c>
      <c r="J61" s="111">
        <v>15</v>
      </c>
      <c r="K61" s="113">
        <f t="shared" si="71"/>
        <v>25</v>
      </c>
      <c r="L61" s="111">
        <v>0</v>
      </c>
      <c r="M61" s="113">
        <f t="shared" si="72"/>
        <v>0</v>
      </c>
      <c r="N61" s="111">
        <v>0.2</v>
      </c>
      <c r="O61" s="113">
        <f t="shared" si="73"/>
        <v>5</v>
      </c>
      <c r="P61" s="111">
        <v>0.6</v>
      </c>
      <c r="Q61" s="113">
        <f t="shared" si="74"/>
        <v>0</v>
      </c>
      <c r="R61" s="113">
        <f t="shared" si="75"/>
        <v>-5</v>
      </c>
      <c r="S61" s="111">
        <v>0</v>
      </c>
      <c r="T61" s="113">
        <f t="shared" si="76"/>
        <v>1.6666666666666667</v>
      </c>
    </row>
    <row r="62" spans="1:23" s="111" customFormat="1" x14ac:dyDescent="0.25">
      <c r="A62" s="110" t="s">
        <v>61</v>
      </c>
      <c r="B62" s="111" t="s">
        <v>158</v>
      </c>
      <c r="C62" s="111">
        <v>50</v>
      </c>
      <c r="D62" s="111" t="s">
        <v>143</v>
      </c>
      <c r="E62" s="111">
        <f>16*3+10</f>
        <v>58</v>
      </c>
      <c r="F62" s="113">
        <f t="shared" si="69"/>
        <v>0.86206896551724133</v>
      </c>
      <c r="G62" s="161">
        <f t="shared" si="77"/>
        <v>0</v>
      </c>
      <c r="H62" s="161">
        <f t="shared" si="70"/>
        <v>58</v>
      </c>
      <c r="I62" s="162">
        <f t="shared" si="78"/>
        <v>0</v>
      </c>
      <c r="J62" s="111">
        <v>10</v>
      </c>
      <c r="K62" s="113">
        <f t="shared" si="71"/>
        <v>8.6206896551724128</v>
      </c>
      <c r="L62" s="111">
        <v>0</v>
      </c>
      <c r="M62" s="113">
        <f t="shared" si="72"/>
        <v>0</v>
      </c>
      <c r="N62" s="111">
        <v>0.2</v>
      </c>
      <c r="O62" s="113">
        <f t="shared" si="73"/>
        <v>1.7241379310344827</v>
      </c>
      <c r="P62" s="111">
        <v>0.6</v>
      </c>
      <c r="Q62" s="113">
        <f t="shared" si="74"/>
        <v>0</v>
      </c>
      <c r="R62" s="113">
        <f t="shared" si="75"/>
        <v>-1.7241379310344827</v>
      </c>
      <c r="S62" s="111">
        <v>0</v>
      </c>
      <c r="T62" s="113">
        <f t="shared" si="76"/>
        <v>0.86206896551724133</v>
      </c>
    </row>
    <row r="63" spans="1:23" s="111" customFormat="1" x14ac:dyDescent="0.25">
      <c r="A63" s="110" t="s">
        <v>63</v>
      </c>
      <c r="B63" s="111" t="s">
        <v>159</v>
      </c>
      <c r="C63" s="111">
        <v>50</v>
      </c>
      <c r="D63" s="111" t="s">
        <v>143</v>
      </c>
      <c r="E63" s="111">
        <f>13*8</f>
        <v>104</v>
      </c>
      <c r="F63" s="113">
        <f t="shared" si="69"/>
        <v>0.48076923076923078</v>
      </c>
      <c r="G63" s="161">
        <f t="shared" si="77"/>
        <v>0</v>
      </c>
      <c r="H63" s="161">
        <f t="shared" si="70"/>
        <v>104</v>
      </c>
      <c r="I63" s="162">
        <f t="shared" si="78"/>
        <v>0</v>
      </c>
      <c r="J63" s="111">
        <v>10</v>
      </c>
      <c r="K63" s="113">
        <f t="shared" si="71"/>
        <v>4.8076923076923075</v>
      </c>
      <c r="L63" s="111">
        <v>0</v>
      </c>
      <c r="M63" s="113">
        <f t="shared" si="72"/>
        <v>0</v>
      </c>
      <c r="N63" s="111">
        <v>0.2</v>
      </c>
      <c r="O63" s="113">
        <f t="shared" si="73"/>
        <v>0.96153846153846156</v>
      </c>
      <c r="P63" s="111">
        <v>0.6</v>
      </c>
      <c r="Q63" s="113">
        <f t="shared" si="74"/>
        <v>0</v>
      </c>
      <c r="R63" s="113">
        <f t="shared" si="75"/>
        <v>-0.96153846153846156</v>
      </c>
      <c r="S63" s="111">
        <v>0</v>
      </c>
      <c r="T63" s="113">
        <f t="shared" si="76"/>
        <v>0.48076923076923078</v>
      </c>
    </row>
    <row r="64" spans="1:23" s="111" customFormat="1" x14ac:dyDescent="0.25">
      <c r="A64" s="110" t="s">
        <v>64</v>
      </c>
      <c r="B64" s="111" t="s">
        <v>62</v>
      </c>
      <c r="C64" s="111">
        <v>50</v>
      </c>
      <c r="D64" s="111" t="s">
        <v>161</v>
      </c>
      <c r="E64" s="111">
        <v>1</v>
      </c>
      <c r="F64" s="113">
        <f t="shared" si="69"/>
        <v>50</v>
      </c>
      <c r="G64" s="161">
        <f t="shared" si="77"/>
        <v>0</v>
      </c>
      <c r="H64" s="161">
        <f t="shared" si="70"/>
        <v>1</v>
      </c>
      <c r="I64" s="162">
        <f t="shared" si="78"/>
        <v>0</v>
      </c>
      <c r="J64" s="111">
        <v>2</v>
      </c>
      <c r="K64" s="113">
        <f t="shared" si="71"/>
        <v>100</v>
      </c>
      <c r="L64" s="111">
        <v>0</v>
      </c>
      <c r="M64" s="113">
        <f t="shared" si="72"/>
        <v>0</v>
      </c>
      <c r="N64" s="111">
        <v>0.2</v>
      </c>
      <c r="O64" s="113">
        <f t="shared" si="73"/>
        <v>20</v>
      </c>
      <c r="P64" s="111">
        <v>0.6</v>
      </c>
      <c r="Q64" s="113">
        <f t="shared" si="74"/>
        <v>0</v>
      </c>
      <c r="R64" s="113">
        <f t="shared" si="75"/>
        <v>-20</v>
      </c>
      <c r="S64" s="111">
        <v>0</v>
      </c>
      <c r="T64" s="113">
        <f t="shared" si="76"/>
        <v>50</v>
      </c>
    </row>
    <row r="65" spans="1:23" s="163" customFormat="1" ht="13.5" thickBot="1" x14ac:dyDescent="0.25">
      <c r="F65" s="164"/>
      <c r="G65" s="164"/>
      <c r="H65" s="164"/>
      <c r="I65" s="165"/>
      <c r="K65" s="164"/>
      <c r="M65" s="164"/>
      <c r="O65" s="164"/>
      <c r="Q65" s="164"/>
      <c r="R65" s="164"/>
      <c r="T65" s="164"/>
    </row>
    <row r="66" spans="1:23" s="107" customFormat="1" ht="54.75" customHeight="1" thickBot="1" x14ac:dyDescent="0.3">
      <c r="A66" s="123" t="s">
        <v>179</v>
      </c>
      <c r="B66" s="107" t="s">
        <v>182</v>
      </c>
      <c r="C66" s="107">
        <v>2020080518</v>
      </c>
      <c r="F66" s="124"/>
      <c r="G66" s="125"/>
      <c r="H66" s="125"/>
      <c r="I66" s="126"/>
      <c r="K66" s="127"/>
      <c r="M66" s="127"/>
      <c r="O66" s="127"/>
      <c r="Q66" s="127"/>
      <c r="R66" s="127"/>
      <c r="S66" s="128"/>
      <c r="T66" s="127"/>
      <c r="V66" s="108" t="s">
        <v>160</v>
      </c>
      <c r="W66" s="109">
        <v>2.5</v>
      </c>
    </row>
    <row r="67" spans="1:23" s="133" customFormat="1" x14ac:dyDescent="0.25">
      <c r="A67" s="130" t="s">
        <v>111</v>
      </c>
      <c r="B67" s="131" t="s">
        <v>38</v>
      </c>
      <c r="C67" s="131">
        <v>50</v>
      </c>
      <c r="D67" s="131" t="s">
        <v>143</v>
      </c>
      <c r="E67" s="131">
        <v>20</v>
      </c>
      <c r="F67" s="112">
        <f>C67/E67</f>
        <v>2.5</v>
      </c>
      <c r="G67" s="87">
        <f>IF(AND(F67&gt;=0, F67&lt;1), 0, IF(AND(F67&gt;=1,F67&lt;2), 1, IF(AND(F67&gt;=2,F67&lt;3), 2, IF(AND(F67&gt;=3,F67&lt;4), 3,IF(AND(F67&gt;=4,F67&lt;5), 4, IF(AND(F67&gt;=5,F67&lt;6), 5,IF(AND(F67&gt;=6,F67&lt;7), 6, IF(AND(F67&gt;=7,F67&lt;8), 7, IF(AND(F67&gt;=8,F67&lt;9), 8,IF(AND(F67&gt;=9,F67&lt;10), 9, IF(AND(F67&gt;=10,F67&lt;11), 10, IF(AND(F67&gt;=11,F67&lt;12), 11, IF(AND(F67&gt;=12,F67&lt;13),12,IF(AND(F67&gt;=13,F67&lt;14), 41, 0))))))))))))))</f>
        <v>2</v>
      </c>
      <c r="H67" s="88"/>
      <c r="I67" s="91"/>
      <c r="J67" s="131">
        <v>15</v>
      </c>
      <c r="K67" s="132">
        <f>J67*F67</f>
        <v>37.5</v>
      </c>
      <c r="L67" s="131">
        <v>0</v>
      </c>
      <c r="M67" s="132">
        <f>L67*F67</f>
        <v>0</v>
      </c>
      <c r="N67" s="131">
        <v>0.2</v>
      </c>
      <c r="O67" s="132">
        <f>K67*N67</f>
        <v>7.5</v>
      </c>
      <c r="P67" s="131">
        <v>0.6</v>
      </c>
      <c r="Q67" s="132">
        <f>P67*M67</f>
        <v>0</v>
      </c>
      <c r="R67" s="132">
        <f>Q67-O67</f>
        <v>-7.5</v>
      </c>
      <c r="S67" s="114">
        <v>0</v>
      </c>
      <c r="T67" s="115">
        <f>F67-S67</f>
        <v>2.5</v>
      </c>
    </row>
    <row r="68" spans="1:23" s="133" customFormat="1" x14ac:dyDescent="0.25">
      <c r="A68" s="130" t="s">
        <v>112</v>
      </c>
      <c r="B68" s="131" t="s">
        <v>37</v>
      </c>
      <c r="C68" s="131">
        <v>50</v>
      </c>
      <c r="D68" s="131" t="s">
        <v>143</v>
      </c>
      <c r="E68" s="131">
        <f>6*4</f>
        <v>24</v>
      </c>
      <c r="F68" s="112">
        <f>C68/E68</f>
        <v>2.0833333333333335</v>
      </c>
      <c r="G68" s="87">
        <f>IF(AND(F68&gt;=0, F68&lt;1), 0, IF(AND(F68&gt;=1,F68&lt;2), 1, IF(AND(F68&gt;=2,F68&lt;3), 2, IF(AND(F68&gt;=3,F68&lt;4), 3,IF(AND(F68&gt;=4,F68&lt;5), 4, IF(AND(F68&gt;=5,F68&lt;6), 5,IF(AND(F68&gt;=6,F68&lt;7), 6, IF(AND(F68&gt;=7,F68&lt;8), 7, IF(AND(F68&gt;=8,F68&lt;9), 8,IF(AND(F68&gt;=9,F68&lt;10), 9, IF(AND(F68&gt;=10,F68&lt;11), 10, IF(AND(F68&gt;=11,F68&lt;12), 11, IF(AND(F68&gt;=12,F68&lt;13),12,IF(AND(F68&gt;=13,F68&lt;14), 41, 0))))))))))))))</f>
        <v>2</v>
      </c>
      <c r="H68" s="88"/>
      <c r="I68" s="91"/>
      <c r="J68" s="131">
        <v>12</v>
      </c>
      <c r="K68" s="132">
        <f>J68*F68</f>
        <v>25</v>
      </c>
      <c r="L68" s="131">
        <v>0</v>
      </c>
      <c r="M68" s="132">
        <f>L68*F68</f>
        <v>0</v>
      </c>
      <c r="N68" s="131">
        <v>0.2</v>
      </c>
      <c r="O68" s="132">
        <f>K68*N68</f>
        <v>5</v>
      </c>
      <c r="P68" s="131">
        <v>0.6</v>
      </c>
      <c r="Q68" s="132">
        <f>P68*M68</f>
        <v>0</v>
      </c>
      <c r="R68" s="132">
        <f>Q68-O68</f>
        <v>-5</v>
      </c>
      <c r="S68" s="114">
        <v>0</v>
      </c>
      <c r="T68" s="115">
        <f>F68-S68</f>
        <v>2.0833333333333335</v>
      </c>
    </row>
    <row r="69" spans="1:23" s="133" customFormat="1" x14ac:dyDescent="0.25">
      <c r="A69" s="130" t="s">
        <v>113</v>
      </c>
      <c r="B69" s="131" t="s">
        <v>185</v>
      </c>
      <c r="C69" s="131">
        <v>50</v>
      </c>
      <c r="D69" s="131" t="s">
        <v>143</v>
      </c>
      <c r="E69" s="131">
        <v>9</v>
      </c>
      <c r="F69" s="112">
        <f>C69/E69</f>
        <v>5.5555555555555554</v>
      </c>
      <c r="G69" s="87">
        <f>IF(AND(F69&gt;=0, F69&lt;1), 0, IF(AND(F69&gt;=1,F69&lt;2), 1, IF(AND(F69&gt;=2,F69&lt;3), 2, IF(AND(F69&gt;=3,F69&lt;4), 3,IF(AND(F69&gt;=4,F69&lt;5), 4, IF(AND(F69&gt;=5,F69&lt;6), 5,IF(AND(F69&gt;=6,F69&lt;7), 6, IF(AND(F69&gt;=7,F69&lt;8), 7, IF(AND(F69&gt;=8,F69&lt;9), 8,IF(AND(F69&gt;=9,F69&lt;10), 9, IF(AND(F69&gt;=10,F69&lt;11), 10, IF(AND(F69&gt;=11,F69&lt;12), 11, IF(AND(F69&gt;=12,F69&lt;13),12,IF(AND(F69&gt;=13,F69&lt;14), 41, 0))))))))))))))</f>
        <v>5</v>
      </c>
      <c r="H69" s="88"/>
      <c r="I69" s="91"/>
      <c r="J69" s="131">
        <v>15</v>
      </c>
      <c r="K69" s="132">
        <f>J69*F69</f>
        <v>83.333333333333329</v>
      </c>
      <c r="L69" s="131">
        <v>0</v>
      </c>
      <c r="M69" s="132">
        <f>L69*F69</f>
        <v>0</v>
      </c>
      <c r="N69" s="131">
        <v>0.2</v>
      </c>
      <c r="O69" s="132">
        <f>K69*N69</f>
        <v>16.666666666666668</v>
      </c>
      <c r="P69" s="131">
        <v>0.6</v>
      </c>
      <c r="Q69" s="132">
        <f>P69*M69</f>
        <v>0</v>
      </c>
      <c r="R69" s="132">
        <f>Q69-O69</f>
        <v>-16.666666666666668</v>
      </c>
      <c r="S69" s="114">
        <v>0</v>
      </c>
      <c r="T69" s="115">
        <f>F69-S69</f>
        <v>5.5555555555555554</v>
      </c>
    </row>
    <row r="70" spans="1:23" s="133" customFormat="1" x14ac:dyDescent="0.25">
      <c r="A70" s="130" t="s">
        <v>114</v>
      </c>
      <c r="B70" s="131" t="s">
        <v>62</v>
      </c>
      <c r="C70" s="131">
        <v>50</v>
      </c>
      <c r="D70" s="131" t="s">
        <v>143</v>
      </c>
      <c r="E70" s="131">
        <v>1</v>
      </c>
      <c r="F70" s="112">
        <f>C70/E70</f>
        <v>50</v>
      </c>
      <c r="G70" s="87">
        <f>IF(AND(F70&gt;=0, F70&lt;1), 0, IF(AND(F70&gt;=1,F70&lt;2), 1, IF(AND(F70&gt;=2,F70&lt;3), 2, IF(AND(F70&gt;=3,F70&lt;4), 3,IF(AND(F70&gt;=4,F70&lt;5), 4, IF(AND(F70&gt;=5,F70&lt;6), 5,IF(AND(F70&gt;=6,F70&lt;7), 6, IF(AND(F70&gt;=7,F70&lt;8), 7, IF(AND(F70&gt;=8,F70&lt;9), 8,IF(AND(F70&gt;=9,F70&lt;10), 9, IF(AND(F70&gt;=10,F70&lt;11), 10, IF(AND(F70&gt;=11,F70&lt;12), 11, IF(AND(F70&gt;=12,F70&lt;13),12,IF(AND(F70&gt;=13,F70&lt;14), 41, 0))))))))))))))</f>
        <v>0</v>
      </c>
      <c r="H70" s="88"/>
      <c r="I70" s="91"/>
      <c r="J70" s="131">
        <v>2</v>
      </c>
      <c r="K70" s="132">
        <f>J70*F70</f>
        <v>100</v>
      </c>
      <c r="L70" s="131">
        <v>0</v>
      </c>
      <c r="M70" s="132">
        <f>L70*F70</f>
        <v>0</v>
      </c>
      <c r="N70" s="131">
        <v>0.2</v>
      </c>
      <c r="O70" s="132">
        <f>K70*N70</f>
        <v>20</v>
      </c>
      <c r="P70" s="131">
        <v>0.6</v>
      </c>
      <c r="Q70" s="132">
        <f>P70*M70</f>
        <v>0</v>
      </c>
      <c r="R70" s="132">
        <f>Q70-O70</f>
        <v>-20</v>
      </c>
      <c r="S70" s="114">
        <v>0</v>
      </c>
      <c r="T70" s="115">
        <f>F70-S70</f>
        <v>50</v>
      </c>
    </row>
    <row r="71" spans="1:23" s="134" customFormat="1" ht="13.5" thickBot="1" x14ac:dyDescent="0.25">
      <c r="F71" s="135"/>
      <c r="G71" s="136"/>
      <c r="H71" s="136"/>
      <c r="I71" s="122"/>
      <c r="K71" s="137"/>
      <c r="M71" s="137"/>
      <c r="O71" s="137"/>
      <c r="Q71" s="137"/>
      <c r="R71" s="137"/>
      <c r="S71" s="138"/>
      <c r="T71" s="139"/>
    </row>
    <row r="72" spans="1:23" s="107" customFormat="1" ht="39" thickBot="1" x14ac:dyDescent="0.3">
      <c r="A72" s="123" t="s">
        <v>180</v>
      </c>
      <c r="B72" s="107" t="s">
        <v>181</v>
      </c>
      <c r="C72" s="107">
        <v>2020080518</v>
      </c>
      <c r="F72" s="124"/>
      <c r="G72" s="125"/>
      <c r="H72" s="125"/>
      <c r="I72" s="126"/>
      <c r="K72" s="127"/>
      <c r="M72" s="127"/>
      <c r="O72" s="127"/>
      <c r="Q72" s="127"/>
      <c r="R72" s="127"/>
      <c r="S72" s="128"/>
      <c r="T72" s="127"/>
      <c r="V72" s="108" t="s">
        <v>160</v>
      </c>
      <c r="W72" s="109">
        <v>2.5</v>
      </c>
    </row>
    <row r="73" spans="1:23" s="133" customFormat="1" x14ac:dyDescent="0.25">
      <c r="A73" s="130" t="s">
        <v>64</v>
      </c>
      <c r="B73" s="131" t="s">
        <v>151</v>
      </c>
      <c r="C73" s="131">
        <f>20*12</f>
        <v>240</v>
      </c>
      <c r="D73" s="131" t="s">
        <v>143</v>
      </c>
      <c r="E73" s="131">
        <v>10</v>
      </c>
      <c r="F73" s="112">
        <f>C73/E73</f>
        <v>24</v>
      </c>
      <c r="G73" s="140"/>
      <c r="H73" s="140"/>
      <c r="I73" s="141"/>
      <c r="J73" s="131">
        <v>5</v>
      </c>
      <c r="K73" s="132">
        <f>J73*F73</f>
        <v>120</v>
      </c>
      <c r="L73" s="131">
        <v>0</v>
      </c>
      <c r="M73" s="132">
        <f>L73*F73</f>
        <v>0</v>
      </c>
      <c r="N73" s="131">
        <v>0.2</v>
      </c>
      <c r="O73" s="132">
        <f>K73*N73</f>
        <v>24</v>
      </c>
      <c r="P73" s="131">
        <v>0.6</v>
      </c>
      <c r="Q73" s="132">
        <f>P73*M73</f>
        <v>0</v>
      </c>
      <c r="R73" s="132">
        <f>Q73-O73</f>
        <v>-24</v>
      </c>
      <c r="S73" s="114">
        <v>0</v>
      </c>
      <c r="T73" s="115">
        <f>F73-S73</f>
        <v>24</v>
      </c>
    </row>
    <row r="74" spans="1:23" s="133" customFormat="1" x14ac:dyDescent="0.25">
      <c r="A74" s="130" t="s">
        <v>64</v>
      </c>
      <c r="B74" s="131" t="s">
        <v>151</v>
      </c>
      <c r="C74" s="131">
        <f>20*12</f>
        <v>240</v>
      </c>
      <c r="D74" s="131" t="s">
        <v>143</v>
      </c>
      <c r="E74" s="131">
        <v>10</v>
      </c>
      <c r="F74" s="112">
        <f>C74/E74</f>
        <v>24</v>
      </c>
      <c r="G74" s="140"/>
      <c r="H74" s="140"/>
      <c r="I74" s="141"/>
      <c r="J74" s="131">
        <v>5</v>
      </c>
      <c r="K74" s="132">
        <f>J74*F74</f>
        <v>120</v>
      </c>
      <c r="L74" s="131">
        <v>0</v>
      </c>
      <c r="M74" s="132">
        <f>L74*F74</f>
        <v>0</v>
      </c>
      <c r="N74" s="131">
        <v>0.2</v>
      </c>
      <c r="O74" s="132">
        <f>K74*N74</f>
        <v>24</v>
      </c>
      <c r="P74" s="131">
        <v>0.6</v>
      </c>
      <c r="Q74" s="132">
        <f>P74*M74</f>
        <v>0</v>
      </c>
      <c r="R74" s="132">
        <f>Q74-O74</f>
        <v>-24</v>
      </c>
      <c r="S74" s="114">
        <v>0</v>
      </c>
      <c r="T74" s="115">
        <f>F74-S74</f>
        <v>24</v>
      </c>
    </row>
    <row r="75" spans="1:23" ht="13.5" thickBot="1" x14ac:dyDescent="0.25"/>
    <row r="76" spans="1:23" s="107" customFormat="1" ht="39" thickBot="1" x14ac:dyDescent="0.3">
      <c r="A76" s="123" t="s">
        <v>180</v>
      </c>
      <c r="B76" s="107" t="s">
        <v>181</v>
      </c>
      <c r="C76" s="107">
        <v>2020080518</v>
      </c>
      <c r="F76" s="124"/>
      <c r="G76" s="125"/>
      <c r="H76" s="125"/>
      <c r="I76" s="126"/>
      <c r="K76" s="127"/>
      <c r="M76" s="127"/>
      <c r="O76" s="127"/>
      <c r="Q76" s="127"/>
      <c r="R76" s="127"/>
      <c r="S76" s="128"/>
      <c r="T76" s="127"/>
      <c r="V76" s="108" t="s">
        <v>160</v>
      </c>
      <c r="W76" s="109">
        <v>2.5</v>
      </c>
    </row>
    <row r="77" spans="1:23" s="133" customFormat="1" x14ac:dyDescent="0.25">
      <c r="A77" s="130" t="s">
        <v>110</v>
      </c>
      <c r="B77" s="131" t="s">
        <v>204</v>
      </c>
      <c r="C77" s="131">
        <v>50</v>
      </c>
      <c r="D77" s="131" t="s">
        <v>143</v>
      </c>
      <c r="E77" s="131">
        <v>16</v>
      </c>
      <c r="F77" s="112">
        <f>C77/E77</f>
        <v>3.125</v>
      </c>
      <c r="G77" s="140"/>
      <c r="H77" s="140"/>
      <c r="I77" s="141"/>
      <c r="J77" s="131">
        <v>10</v>
      </c>
      <c r="K77" s="132">
        <f>J77*F77</f>
        <v>31.25</v>
      </c>
      <c r="L77" s="131">
        <v>0</v>
      </c>
      <c r="M77" s="132">
        <f>L77*F77</f>
        <v>0</v>
      </c>
      <c r="N77" s="131">
        <v>0.2</v>
      </c>
      <c r="O77" s="132">
        <f>K77*N77</f>
        <v>6.25</v>
      </c>
      <c r="P77" s="131">
        <v>0.6</v>
      </c>
      <c r="Q77" s="132">
        <f>P77*M77</f>
        <v>0</v>
      </c>
      <c r="R77" s="132">
        <f>Q77-O77</f>
        <v>-6.25</v>
      </c>
      <c r="S77" s="114">
        <v>0</v>
      </c>
      <c r="T77" s="115">
        <f>F77-S77</f>
        <v>3.125</v>
      </c>
    </row>
    <row r="78" spans="1:23" s="133" customFormat="1" x14ac:dyDescent="0.25">
      <c r="A78" s="130" t="s">
        <v>94</v>
      </c>
      <c r="B78" s="131" t="s">
        <v>205</v>
      </c>
      <c r="C78" s="131">
        <v>50</v>
      </c>
      <c r="D78" s="131" t="s">
        <v>143</v>
      </c>
      <c r="E78" s="131">
        <v>9</v>
      </c>
      <c r="F78" s="112">
        <f>C78/E78</f>
        <v>5.5555555555555554</v>
      </c>
      <c r="G78" s="140"/>
      <c r="H78" s="140"/>
      <c r="I78" s="141"/>
      <c r="J78" s="131">
        <v>13</v>
      </c>
      <c r="K78" s="132">
        <f>J78*F78</f>
        <v>72.222222222222214</v>
      </c>
      <c r="L78" s="131">
        <v>0</v>
      </c>
      <c r="M78" s="132">
        <f>L78*F78</f>
        <v>0</v>
      </c>
      <c r="N78" s="131">
        <v>0.2</v>
      </c>
      <c r="O78" s="132">
        <f>K78*N78</f>
        <v>14.444444444444443</v>
      </c>
      <c r="P78" s="131">
        <v>0.6</v>
      </c>
      <c r="Q78" s="132">
        <f>P78*M78</f>
        <v>0</v>
      </c>
      <c r="R78" s="132">
        <f>Q78-O78</f>
        <v>-14.444444444444443</v>
      </c>
      <c r="S78" s="114">
        <v>0</v>
      </c>
      <c r="T78" s="115">
        <f>F78-S78</f>
        <v>5.5555555555555554</v>
      </c>
    </row>
    <row r="79" spans="1:23" s="133" customFormat="1" x14ac:dyDescent="0.25">
      <c r="A79" s="130" t="s">
        <v>95</v>
      </c>
      <c r="B79" s="131" t="s">
        <v>206</v>
      </c>
      <c r="C79" s="131">
        <v>50</v>
      </c>
      <c r="D79" s="131" t="s">
        <v>143</v>
      </c>
      <c r="E79" s="131">
        <v>12</v>
      </c>
      <c r="F79" s="112">
        <f>C79/E79</f>
        <v>4.166666666666667</v>
      </c>
      <c r="G79" s="140"/>
      <c r="H79" s="140"/>
      <c r="I79" s="141"/>
      <c r="J79" s="131">
        <v>13</v>
      </c>
      <c r="K79" s="132">
        <f>J79*F79</f>
        <v>54.166666666666671</v>
      </c>
      <c r="L79" s="131">
        <v>0</v>
      </c>
      <c r="M79" s="132">
        <f>L79*F79</f>
        <v>0</v>
      </c>
      <c r="N79" s="131">
        <v>0.2</v>
      </c>
      <c r="O79" s="132">
        <f>K79*N79</f>
        <v>10.833333333333336</v>
      </c>
      <c r="P79" s="131">
        <v>0.6</v>
      </c>
      <c r="Q79" s="132">
        <f>P79*M79</f>
        <v>0</v>
      </c>
      <c r="R79" s="132">
        <f>Q79-O79</f>
        <v>-10.833333333333336</v>
      </c>
      <c r="S79" s="114">
        <v>0</v>
      </c>
      <c r="T79" s="115">
        <f>F79-S79</f>
        <v>4.166666666666667</v>
      </c>
    </row>
    <row r="80" spans="1:23" s="133" customFormat="1" x14ac:dyDescent="0.25">
      <c r="A80" s="130" t="s">
        <v>95</v>
      </c>
      <c r="B80" s="131" t="s">
        <v>207</v>
      </c>
      <c r="C80" s="131">
        <v>50</v>
      </c>
      <c r="D80" s="131" t="s">
        <v>143</v>
      </c>
      <c r="E80" s="131">
        <v>16</v>
      </c>
      <c r="F80" s="112">
        <f>C80/E80</f>
        <v>3.125</v>
      </c>
      <c r="G80" s="140"/>
      <c r="H80" s="140"/>
      <c r="I80" s="141"/>
      <c r="J80" s="131">
        <v>20</v>
      </c>
      <c r="K80" s="132">
        <f>J80*F80</f>
        <v>62.5</v>
      </c>
      <c r="L80" s="131">
        <v>0</v>
      </c>
      <c r="M80" s="132">
        <f>L80*F80</f>
        <v>0</v>
      </c>
      <c r="N80" s="131">
        <v>0.2</v>
      </c>
      <c r="O80" s="132">
        <f>K80*N80</f>
        <v>12.5</v>
      </c>
      <c r="P80" s="131">
        <v>0.6</v>
      </c>
      <c r="Q80" s="132">
        <f>P80*M80</f>
        <v>0</v>
      </c>
      <c r="R80" s="132">
        <f>Q80-O80</f>
        <v>-12.5</v>
      </c>
      <c r="S80" s="114">
        <v>0</v>
      </c>
      <c r="T80" s="115">
        <f>F80-S80</f>
        <v>3.125</v>
      </c>
    </row>
    <row r="81" spans="1:20" s="133" customFormat="1" x14ac:dyDescent="0.25">
      <c r="A81" s="130" t="s">
        <v>53</v>
      </c>
      <c r="B81" s="131" t="s">
        <v>62</v>
      </c>
      <c r="C81" s="131">
        <v>50</v>
      </c>
      <c r="D81" s="131" t="s">
        <v>143</v>
      </c>
      <c r="E81" s="131">
        <v>1</v>
      </c>
      <c r="F81" s="112">
        <f>C81/E81</f>
        <v>50</v>
      </c>
      <c r="G81" s="140"/>
      <c r="H81" s="140"/>
      <c r="I81" s="141"/>
      <c r="J81" s="131">
        <v>2</v>
      </c>
      <c r="K81" s="132">
        <f>J81*F81</f>
        <v>100</v>
      </c>
      <c r="L81" s="131">
        <v>0</v>
      </c>
      <c r="M81" s="132">
        <f>L81*F81</f>
        <v>0</v>
      </c>
      <c r="N81" s="131">
        <v>0.2</v>
      </c>
      <c r="O81" s="132">
        <f>K81*N81</f>
        <v>20</v>
      </c>
      <c r="P81" s="131">
        <v>0.6</v>
      </c>
      <c r="Q81" s="132">
        <f>P81*M81</f>
        <v>0</v>
      </c>
      <c r="R81" s="132">
        <f>Q81-O81</f>
        <v>-20</v>
      </c>
      <c r="S81" s="114">
        <v>0</v>
      </c>
      <c r="T81" s="115">
        <f>F81-S81</f>
        <v>50</v>
      </c>
    </row>
  </sheetData>
  <autoFilter ref="A1:T1"/>
  <conditionalFormatting sqref="G3:G8">
    <cfRule type="containsBlanks" dxfId="37" priority="37">
      <formula>LEN(TRIM(G3))=0</formula>
    </cfRule>
    <cfRule type="cellIs" dxfId="36" priority="38" operator="equal">
      <formula>0</formula>
    </cfRule>
  </conditionalFormatting>
  <conditionalFormatting sqref="G10:G15">
    <cfRule type="containsBlanks" dxfId="35" priority="35">
      <formula>LEN(TRIM(G10))=0</formula>
    </cfRule>
    <cfRule type="cellIs" dxfId="34" priority="36" operator="equal">
      <formula>0</formula>
    </cfRule>
  </conditionalFormatting>
  <conditionalFormatting sqref="G25:G31">
    <cfRule type="containsBlanks" dxfId="33" priority="33">
      <formula>LEN(TRIM(G25))=0</formula>
    </cfRule>
    <cfRule type="cellIs" dxfId="32" priority="34" operator="equal">
      <formula>0</formula>
    </cfRule>
  </conditionalFormatting>
  <conditionalFormatting sqref="G33:G39">
    <cfRule type="containsBlanks" dxfId="31" priority="31">
      <formula>LEN(TRIM(G33))=0</formula>
    </cfRule>
    <cfRule type="cellIs" dxfId="30" priority="32" operator="equal">
      <formula>0</formula>
    </cfRule>
  </conditionalFormatting>
  <conditionalFormatting sqref="G50:G56">
    <cfRule type="containsBlanks" dxfId="29" priority="29">
      <formula>LEN(TRIM(G50))=0</formula>
    </cfRule>
    <cfRule type="cellIs" dxfId="28" priority="30" operator="equal">
      <formula>0</formula>
    </cfRule>
  </conditionalFormatting>
  <conditionalFormatting sqref="G67:I70">
    <cfRule type="containsBlanks" dxfId="27" priority="27">
      <formula>LEN(TRIM(G67))=0</formula>
    </cfRule>
    <cfRule type="cellIs" dxfId="26" priority="28" operator="equal">
      <formula>0</formula>
    </cfRule>
  </conditionalFormatting>
  <conditionalFormatting sqref="G1">
    <cfRule type="containsBlanks" dxfId="25" priority="25">
      <formula>LEN(TRIM(G1))=0</formula>
    </cfRule>
    <cfRule type="cellIs" dxfId="24" priority="26" operator="equal">
      <formula>0</formula>
    </cfRule>
  </conditionalFormatting>
  <conditionalFormatting sqref="I1">
    <cfRule type="containsBlanks" dxfId="23" priority="23">
      <formula>LEN(TRIM(I1))=0</formula>
    </cfRule>
    <cfRule type="cellIs" dxfId="22" priority="24" operator="equal">
      <formula>0</formula>
    </cfRule>
  </conditionalFormatting>
  <conditionalFormatting sqref="I3:I8">
    <cfRule type="containsBlanks" dxfId="21" priority="21">
      <formula>LEN(TRIM(I3))=0</formula>
    </cfRule>
    <cfRule type="cellIs" dxfId="20" priority="22" operator="equal">
      <formula>0</formula>
    </cfRule>
  </conditionalFormatting>
  <conditionalFormatting sqref="I10:I15">
    <cfRule type="containsBlanks" dxfId="19" priority="19">
      <formula>LEN(TRIM(I10))=0</formula>
    </cfRule>
    <cfRule type="cellIs" dxfId="18" priority="20" operator="equal">
      <formula>0</formula>
    </cfRule>
  </conditionalFormatting>
  <conditionalFormatting sqref="I25:I31">
    <cfRule type="containsBlanks" dxfId="17" priority="17">
      <formula>LEN(TRIM(I25))=0</formula>
    </cfRule>
    <cfRule type="cellIs" dxfId="16" priority="18" operator="equal">
      <formula>0</formula>
    </cfRule>
  </conditionalFormatting>
  <conditionalFormatting sqref="I33:I39">
    <cfRule type="containsBlanks" dxfId="15" priority="15">
      <formula>LEN(TRIM(I33))=0</formula>
    </cfRule>
    <cfRule type="cellIs" dxfId="14" priority="16" operator="equal">
      <formula>0</formula>
    </cfRule>
  </conditionalFormatting>
  <conditionalFormatting sqref="I50:I56">
    <cfRule type="containsBlanks" dxfId="13" priority="13">
      <formula>LEN(TRIM(I50))=0</formula>
    </cfRule>
    <cfRule type="cellIs" dxfId="12" priority="14" operator="equal">
      <formula>0</formula>
    </cfRule>
  </conditionalFormatting>
  <conditionalFormatting sqref="G17:G22">
    <cfRule type="containsBlanks" dxfId="11" priority="11">
      <formula>LEN(TRIM(G17))=0</formula>
    </cfRule>
    <cfRule type="cellIs" dxfId="10" priority="12" operator="equal">
      <formula>0</formula>
    </cfRule>
  </conditionalFormatting>
  <conditionalFormatting sqref="I17:I22">
    <cfRule type="containsBlanks" dxfId="9" priority="9">
      <formula>LEN(TRIM(I17))=0</formula>
    </cfRule>
    <cfRule type="cellIs" dxfId="8" priority="10" operator="equal">
      <formula>0</formula>
    </cfRule>
  </conditionalFormatting>
  <conditionalFormatting sqref="G41:G47">
    <cfRule type="containsBlanks" dxfId="7" priority="7">
      <formula>LEN(TRIM(G41))=0</formula>
    </cfRule>
    <cfRule type="cellIs" dxfId="6" priority="8" operator="equal">
      <formula>0</formula>
    </cfRule>
  </conditionalFormatting>
  <conditionalFormatting sqref="I41:I47">
    <cfRule type="containsBlanks" dxfId="5" priority="5">
      <formula>LEN(TRIM(I41))=0</formula>
    </cfRule>
    <cfRule type="cellIs" dxfId="4" priority="6" operator="equal">
      <formula>0</formula>
    </cfRule>
  </conditionalFormatting>
  <conditionalFormatting sqref="G58:G64">
    <cfRule type="containsBlanks" dxfId="3" priority="3">
      <formula>LEN(TRIM(G58))=0</formula>
    </cfRule>
    <cfRule type="cellIs" dxfId="2" priority="4" operator="equal">
      <formula>0</formula>
    </cfRule>
  </conditionalFormatting>
  <conditionalFormatting sqref="I58:I64">
    <cfRule type="containsBlanks" dxfId="1" priority="1">
      <formula>LEN(TRIM(I58))=0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دليل!$A$1:$A$50</xm:f>
          </x14:formula1>
          <xm:sqref>D25:D31 D67:D70 D50:D56 D73:D74 D77:D81 D3:D15 D33:D39 D17:D23 D41:D47 D58:D64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rightToLeft="1" zoomScale="85" zoomScaleNormal="85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5703125" style="5" customWidth="1"/>
    <col min="2" max="2" width="11.85546875" style="4" bestFit="1" customWidth="1"/>
    <col min="3" max="3" width="11.140625" style="3" bestFit="1" customWidth="1"/>
    <col min="4" max="4" width="15.7109375" style="3" customWidth="1"/>
    <col min="5" max="5" width="11.85546875" style="3" bestFit="1" customWidth="1"/>
    <col min="6" max="6" width="11.140625" style="30" bestFit="1" customWidth="1"/>
    <col min="7" max="7" width="9.7109375" style="29" bestFit="1" customWidth="1"/>
    <col min="8" max="8" width="11.85546875" style="31" customWidth="1"/>
    <col min="9" max="9" width="11.85546875" style="29" bestFit="1" customWidth="1"/>
    <col min="10" max="10" width="11.85546875" style="31" bestFit="1" customWidth="1"/>
    <col min="11" max="11" width="11.85546875" style="29" bestFit="1" customWidth="1"/>
    <col min="12" max="12" width="9.85546875" style="31" bestFit="1" customWidth="1"/>
    <col min="13" max="13" width="11.140625" style="29" bestFit="1" customWidth="1"/>
    <col min="14" max="14" width="11.140625" style="31" bestFit="1" customWidth="1"/>
    <col min="15" max="15" width="9.140625" style="31"/>
    <col min="16" max="16" width="9.140625" style="30"/>
    <col min="17" max="17" width="9.140625" style="31"/>
    <col min="18" max="19" width="9.140625" style="1"/>
    <col min="20" max="20" width="9.140625" style="31"/>
    <col min="21" max="16384" width="9.140625" style="1"/>
  </cols>
  <sheetData>
    <row r="1" spans="1:23" s="2" customFormat="1" ht="60.75" thickBot="1" x14ac:dyDescent="0.3">
      <c r="A1" s="34" t="s">
        <v>0</v>
      </c>
      <c r="B1" s="35" t="s">
        <v>39</v>
      </c>
      <c r="C1" s="35" t="s">
        <v>41</v>
      </c>
      <c r="D1" s="35" t="s">
        <v>1</v>
      </c>
      <c r="E1" s="35" t="s">
        <v>40</v>
      </c>
      <c r="F1" s="36" t="s">
        <v>42</v>
      </c>
      <c r="G1" s="37" t="s">
        <v>50</v>
      </c>
      <c r="H1" s="38" t="s">
        <v>48</v>
      </c>
      <c r="I1" s="37" t="s">
        <v>49</v>
      </c>
      <c r="J1" s="38" t="s">
        <v>51</v>
      </c>
      <c r="K1" s="37" t="s">
        <v>6</v>
      </c>
      <c r="L1" s="38" t="s">
        <v>8</v>
      </c>
      <c r="M1" s="37" t="s">
        <v>7</v>
      </c>
      <c r="N1" s="38" t="s">
        <v>43</v>
      </c>
      <c r="O1" s="38" t="s">
        <v>44</v>
      </c>
      <c r="P1" s="36" t="s">
        <v>55</v>
      </c>
      <c r="Q1" s="38" t="s">
        <v>56</v>
      </c>
      <c r="R1" s="2" t="s">
        <v>192</v>
      </c>
      <c r="S1" s="2" t="s">
        <v>195</v>
      </c>
      <c r="T1" s="56" t="s">
        <v>194</v>
      </c>
      <c r="U1" s="2" t="s">
        <v>196</v>
      </c>
      <c r="V1" s="2" t="s">
        <v>197</v>
      </c>
      <c r="W1" s="2" t="s">
        <v>198</v>
      </c>
    </row>
    <row r="2" spans="1:23" s="32" customFormat="1" ht="45.75" customHeight="1" thickBot="1" x14ac:dyDescent="0.3">
      <c r="A2" s="39" t="s">
        <v>101</v>
      </c>
      <c r="B2" s="40" t="s">
        <v>102</v>
      </c>
      <c r="C2" s="32">
        <v>20200813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T2" s="33"/>
      <c r="U2" s="32">
        <v>2</v>
      </c>
    </row>
    <row r="3" spans="1:23" s="19" customFormat="1" x14ac:dyDescent="0.25">
      <c r="A3" s="17">
        <v>1</v>
      </c>
      <c r="B3" s="18" t="s">
        <v>103</v>
      </c>
      <c r="C3" s="19">
        <f>600*2</f>
        <v>1200</v>
      </c>
      <c r="D3" s="19" t="s">
        <v>107</v>
      </c>
      <c r="E3" s="19">
        <f>6*5</f>
        <v>30</v>
      </c>
      <c r="F3" s="26">
        <f t="shared" ref="F3:F11" si="0">C3/E3</f>
        <v>40</v>
      </c>
      <c r="G3" s="26">
        <v>1.59</v>
      </c>
      <c r="H3" s="26">
        <f t="shared" ref="H3:H11" si="1">G3*F3</f>
        <v>63.6</v>
      </c>
      <c r="I3" s="26">
        <v>3.26</v>
      </c>
      <c r="J3" s="26">
        <f t="shared" ref="J3:J11" si="2">I3*F3</f>
        <v>130.39999999999998</v>
      </c>
      <c r="K3" s="26">
        <v>0.2</v>
      </c>
      <c r="L3" s="26">
        <f t="shared" ref="L3:L11" si="3">H3*K3</f>
        <v>12.72</v>
      </c>
      <c r="M3" s="26">
        <v>0.6</v>
      </c>
      <c r="N3" s="26">
        <f t="shared" ref="N3:N11" si="4">M3*J3</f>
        <v>78.239999999999981</v>
      </c>
      <c r="O3" s="26">
        <f t="shared" ref="O3:O11" si="5">N3-L3</f>
        <v>65.519999999999982</v>
      </c>
      <c r="P3" s="26">
        <f>20+9+6+5</f>
        <v>40</v>
      </c>
      <c r="Q3" s="26">
        <f t="shared" ref="Q3:Q11" si="6">F3-P3</f>
        <v>0</v>
      </c>
      <c r="R3" s="19">
        <f>P3*E3/2</f>
        <v>600</v>
      </c>
      <c r="S3" s="19">
        <f>R3-240</f>
        <v>360</v>
      </c>
      <c r="T3" s="26">
        <f>2*(1/13)</f>
        <v>0.15384615384615385</v>
      </c>
      <c r="V3" s="19">
        <f t="shared" ref="V3:V11" si="7">$U$2*T3</f>
        <v>0.30769230769230771</v>
      </c>
      <c r="W3" s="19">
        <f t="shared" ref="W3:W11" si="8">V3*S3</f>
        <v>110.76923076923077</v>
      </c>
    </row>
    <row r="4" spans="1:23" s="19" customFormat="1" x14ac:dyDescent="0.25">
      <c r="A4" s="17" t="s">
        <v>94</v>
      </c>
      <c r="B4" s="18" t="s">
        <v>2</v>
      </c>
      <c r="C4" s="19">
        <f>600*2</f>
        <v>1200</v>
      </c>
      <c r="D4" s="19" t="s">
        <v>45</v>
      </c>
      <c r="E4" s="19">
        <f>8*5</f>
        <v>40</v>
      </c>
      <c r="F4" s="26">
        <f t="shared" si="0"/>
        <v>30</v>
      </c>
      <c r="G4" s="26">
        <v>2.09</v>
      </c>
      <c r="H4" s="26">
        <f t="shared" si="1"/>
        <v>62.699999999999996</v>
      </c>
      <c r="I4" s="26">
        <v>3.36</v>
      </c>
      <c r="J4" s="26">
        <f t="shared" si="2"/>
        <v>100.8</v>
      </c>
      <c r="K4" s="26">
        <v>0.2</v>
      </c>
      <c r="L4" s="26">
        <f t="shared" si="3"/>
        <v>12.54</v>
      </c>
      <c r="M4" s="26">
        <v>0.6</v>
      </c>
      <c r="N4" s="26">
        <f t="shared" si="4"/>
        <v>60.48</v>
      </c>
      <c r="O4" s="26">
        <f t="shared" si="5"/>
        <v>47.94</v>
      </c>
      <c r="P4" s="26">
        <f>12+4+2+3+9</f>
        <v>30</v>
      </c>
      <c r="Q4" s="26">
        <f t="shared" si="6"/>
        <v>0</v>
      </c>
      <c r="R4" s="19">
        <f>P4*E4/2</f>
        <v>600</v>
      </c>
      <c r="S4" s="19">
        <f t="shared" ref="S4:S11" si="9">R4-240</f>
        <v>360</v>
      </c>
      <c r="T4" s="26">
        <f>2*(1/13)</f>
        <v>0.15384615384615385</v>
      </c>
      <c r="V4" s="19">
        <f t="shared" si="7"/>
        <v>0.30769230769230771</v>
      </c>
      <c r="W4" s="19">
        <f t="shared" si="8"/>
        <v>110.76923076923077</v>
      </c>
    </row>
    <row r="5" spans="1:23" s="19" customFormat="1" x14ac:dyDescent="0.25">
      <c r="A5" s="17" t="s">
        <v>95</v>
      </c>
      <c r="B5" s="18" t="s">
        <v>36</v>
      </c>
      <c r="C5" s="19">
        <f>600*2</f>
        <v>1200</v>
      </c>
      <c r="D5" s="19" t="s">
        <v>45</v>
      </c>
      <c r="E5" s="19">
        <f>8*5</f>
        <v>40</v>
      </c>
      <c r="F5" s="26">
        <f t="shared" si="0"/>
        <v>30</v>
      </c>
      <c r="G5" s="26">
        <v>1.46</v>
      </c>
      <c r="H5" s="26">
        <f t="shared" si="1"/>
        <v>43.8</v>
      </c>
      <c r="I5" s="26">
        <v>2.58</v>
      </c>
      <c r="J5" s="26">
        <f t="shared" si="2"/>
        <v>77.400000000000006</v>
      </c>
      <c r="K5" s="26">
        <v>0.2</v>
      </c>
      <c r="L5" s="26">
        <f t="shared" si="3"/>
        <v>8.76</v>
      </c>
      <c r="M5" s="26">
        <v>0.6</v>
      </c>
      <c r="N5" s="26">
        <f t="shared" si="4"/>
        <v>46.440000000000005</v>
      </c>
      <c r="O5" s="26">
        <f t="shared" si="5"/>
        <v>37.680000000000007</v>
      </c>
      <c r="P5" s="26">
        <f>12+18</f>
        <v>30</v>
      </c>
      <c r="Q5" s="26">
        <f t="shared" si="6"/>
        <v>0</v>
      </c>
      <c r="R5" s="19">
        <f>P5*E5/2</f>
        <v>600</v>
      </c>
      <c r="S5" s="19">
        <f t="shared" si="9"/>
        <v>360</v>
      </c>
      <c r="T5" s="26">
        <f>2*(1/13)</f>
        <v>0.15384615384615385</v>
      </c>
      <c r="V5" s="19">
        <f t="shared" si="7"/>
        <v>0.30769230769230771</v>
      </c>
      <c r="W5" s="19">
        <f t="shared" si="8"/>
        <v>110.76923076923077</v>
      </c>
    </row>
    <row r="6" spans="1:23" s="19" customFormat="1" x14ac:dyDescent="0.25">
      <c r="A6" s="17" t="s">
        <v>53</v>
      </c>
      <c r="B6" s="18" t="s">
        <v>93</v>
      </c>
      <c r="C6" s="19">
        <f>600*2</f>
        <v>1200</v>
      </c>
      <c r="D6" s="19" t="s">
        <v>45</v>
      </c>
      <c r="E6" s="19">
        <f>8*5</f>
        <v>40</v>
      </c>
      <c r="F6" s="26">
        <f t="shared" si="0"/>
        <v>30</v>
      </c>
      <c r="G6" s="26">
        <v>1.58</v>
      </c>
      <c r="H6" s="26">
        <f t="shared" si="1"/>
        <v>47.400000000000006</v>
      </c>
      <c r="I6" s="26">
        <v>3.25</v>
      </c>
      <c r="J6" s="26">
        <f t="shared" si="2"/>
        <v>97.5</v>
      </c>
      <c r="K6" s="26">
        <v>0.2</v>
      </c>
      <c r="L6" s="26">
        <f t="shared" si="3"/>
        <v>9.4800000000000022</v>
      </c>
      <c r="M6" s="26">
        <v>0.6</v>
      </c>
      <c r="N6" s="26">
        <f t="shared" si="4"/>
        <v>58.5</v>
      </c>
      <c r="O6" s="26">
        <f t="shared" si="5"/>
        <v>49.019999999999996</v>
      </c>
      <c r="P6" s="26">
        <f>12+18</f>
        <v>30</v>
      </c>
      <c r="Q6" s="26">
        <f t="shared" si="6"/>
        <v>0</v>
      </c>
      <c r="R6" s="19">
        <f>P6*E6/2</f>
        <v>600</v>
      </c>
      <c r="S6" s="19">
        <f t="shared" si="9"/>
        <v>360</v>
      </c>
      <c r="T6" s="26">
        <f>2*(1/13)</f>
        <v>0.15384615384615385</v>
      </c>
      <c r="V6" s="19">
        <f t="shared" si="7"/>
        <v>0.30769230769230771</v>
      </c>
      <c r="W6" s="19">
        <f t="shared" si="8"/>
        <v>110.76923076923077</v>
      </c>
    </row>
    <row r="7" spans="1:23" s="19" customFormat="1" x14ac:dyDescent="0.25">
      <c r="A7" s="17" t="s">
        <v>61</v>
      </c>
      <c r="B7" s="18" t="s">
        <v>34</v>
      </c>
      <c r="C7" s="19">
        <f>600*1</f>
        <v>600</v>
      </c>
      <c r="D7" s="19" t="s">
        <v>45</v>
      </c>
      <c r="E7" s="19">
        <f>7*5</f>
        <v>35</v>
      </c>
      <c r="F7" s="26">
        <f t="shared" si="0"/>
        <v>17.142857142857142</v>
      </c>
      <c r="G7" s="26">
        <v>2.1</v>
      </c>
      <c r="H7" s="26">
        <f t="shared" si="1"/>
        <v>36</v>
      </c>
      <c r="I7" s="26">
        <v>2.5299999999999998</v>
      </c>
      <c r="J7" s="26">
        <f t="shared" si="2"/>
        <v>43.371428571428567</v>
      </c>
      <c r="K7" s="26">
        <v>0.2</v>
      </c>
      <c r="L7" s="26">
        <f t="shared" si="3"/>
        <v>7.2</v>
      </c>
      <c r="M7" s="26">
        <v>0.6</v>
      </c>
      <c r="N7" s="26">
        <f t="shared" si="4"/>
        <v>26.022857142857138</v>
      </c>
      <c r="O7" s="26">
        <f t="shared" si="5"/>
        <v>18.822857142857139</v>
      </c>
      <c r="P7" s="26">
        <f>8+9.14</f>
        <v>17.14</v>
      </c>
      <c r="Q7" s="26">
        <f t="shared" si="6"/>
        <v>2.8571428571417812E-3</v>
      </c>
      <c r="R7" s="19">
        <f>P7*E7</f>
        <v>599.9</v>
      </c>
      <c r="S7" s="19">
        <f t="shared" si="9"/>
        <v>359.9</v>
      </c>
      <c r="T7" s="26">
        <f>1/13</f>
        <v>7.6923076923076927E-2</v>
      </c>
      <c r="V7" s="19">
        <f t="shared" si="7"/>
        <v>0.15384615384615385</v>
      </c>
      <c r="W7" s="19">
        <f t="shared" si="8"/>
        <v>55.369230769230768</v>
      </c>
    </row>
    <row r="8" spans="1:23" s="19" customFormat="1" x14ac:dyDescent="0.25">
      <c r="A8" s="17" t="s">
        <v>63</v>
      </c>
      <c r="B8" s="18" t="s">
        <v>104</v>
      </c>
      <c r="C8" s="19">
        <f>600*1</f>
        <v>600</v>
      </c>
      <c r="D8" s="19" t="s">
        <v>45</v>
      </c>
      <c r="E8" s="19">
        <f>12*5</f>
        <v>60</v>
      </c>
      <c r="F8" s="26">
        <f t="shared" si="0"/>
        <v>10</v>
      </c>
      <c r="G8" s="26">
        <v>2.09</v>
      </c>
      <c r="H8" s="26">
        <f t="shared" si="1"/>
        <v>20.9</v>
      </c>
      <c r="I8" s="26">
        <v>3.4</v>
      </c>
      <c r="J8" s="26">
        <f t="shared" si="2"/>
        <v>34</v>
      </c>
      <c r="K8" s="26">
        <v>0.2</v>
      </c>
      <c r="L8" s="26">
        <f t="shared" si="3"/>
        <v>4.18</v>
      </c>
      <c r="M8" s="26">
        <v>0.6</v>
      </c>
      <c r="N8" s="26">
        <f t="shared" si="4"/>
        <v>20.399999999999999</v>
      </c>
      <c r="O8" s="26">
        <f t="shared" si="5"/>
        <v>16.22</v>
      </c>
      <c r="P8" s="26">
        <f>5+5</f>
        <v>10</v>
      </c>
      <c r="Q8" s="26">
        <f t="shared" si="6"/>
        <v>0</v>
      </c>
      <c r="R8" s="19">
        <f>P8*E8</f>
        <v>600</v>
      </c>
      <c r="S8" s="19">
        <f t="shared" si="9"/>
        <v>360</v>
      </c>
      <c r="T8" s="26">
        <f>1/13</f>
        <v>7.6923076923076927E-2</v>
      </c>
      <c r="V8" s="19">
        <f t="shared" si="7"/>
        <v>0.15384615384615385</v>
      </c>
      <c r="W8" s="19">
        <f t="shared" si="8"/>
        <v>55.384615384615387</v>
      </c>
    </row>
    <row r="9" spans="1:23" s="19" customFormat="1" x14ac:dyDescent="0.25">
      <c r="A9" s="17" t="s">
        <v>64</v>
      </c>
      <c r="B9" s="18" t="s">
        <v>105</v>
      </c>
      <c r="C9" s="19">
        <f>600*1</f>
        <v>600</v>
      </c>
      <c r="D9" s="19" t="s">
        <v>45</v>
      </c>
      <c r="E9" s="19">
        <f>7*5</f>
        <v>35</v>
      </c>
      <c r="F9" s="26">
        <f t="shared" si="0"/>
        <v>17.142857142857142</v>
      </c>
      <c r="G9" s="26">
        <v>1.49</v>
      </c>
      <c r="H9" s="26">
        <f t="shared" si="1"/>
        <v>25.542857142857141</v>
      </c>
      <c r="I9" s="26">
        <v>2.59</v>
      </c>
      <c r="J9" s="26">
        <f t="shared" si="2"/>
        <v>44.4</v>
      </c>
      <c r="K9" s="26">
        <v>0.2</v>
      </c>
      <c r="L9" s="26">
        <f t="shared" si="3"/>
        <v>5.1085714285714285</v>
      </c>
      <c r="M9" s="26">
        <v>0.6</v>
      </c>
      <c r="N9" s="26">
        <f t="shared" si="4"/>
        <v>26.639999999999997</v>
      </c>
      <c r="O9" s="26">
        <f t="shared" si="5"/>
        <v>21.53142857142857</v>
      </c>
      <c r="P9" s="26">
        <f>10+7.14</f>
        <v>17.14</v>
      </c>
      <c r="Q9" s="26">
        <f t="shared" si="6"/>
        <v>2.8571428571417812E-3</v>
      </c>
      <c r="R9" s="19">
        <f>P9*E9</f>
        <v>599.9</v>
      </c>
      <c r="S9" s="19">
        <f t="shared" si="9"/>
        <v>359.9</v>
      </c>
      <c r="T9" s="26">
        <f>1/13</f>
        <v>7.6923076923076927E-2</v>
      </c>
      <c r="V9" s="19">
        <f t="shared" si="7"/>
        <v>0.15384615384615385</v>
      </c>
      <c r="W9" s="19">
        <f t="shared" si="8"/>
        <v>55.369230769230768</v>
      </c>
    </row>
    <row r="10" spans="1:23" s="19" customFormat="1" x14ac:dyDescent="0.25">
      <c r="A10" s="17" t="s">
        <v>65</v>
      </c>
      <c r="B10" s="18" t="s">
        <v>106</v>
      </c>
      <c r="C10" s="19">
        <f>600*1</f>
        <v>600</v>
      </c>
      <c r="D10" s="19" t="s">
        <v>45</v>
      </c>
      <c r="E10" s="19">
        <f>9*5</f>
        <v>45</v>
      </c>
      <c r="F10" s="26">
        <f t="shared" si="0"/>
        <v>13.333333333333334</v>
      </c>
      <c r="G10" s="26">
        <v>1.5</v>
      </c>
      <c r="H10" s="26">
        <f t="shared" si="1"/>
        <v>20</v>
      </c>
      <c r="I10" s="26">
        <v>3.28</v>
      </c>
      <c r="J10" s="26">
        <f t="shared" si="2"/>
        <v>43.733333333333334</v>
      </c>
      <c r="K10" s="26">
        <v>0.2</v>
      </c>
      <c r="L10" s="26">
        <f t="shared" si="3"/>
        <v>4</v>
      </c>
      <c r="M10" s="26">
        <v>0.6</v>
      </c>
      <c r="N10" s="26">
        <f t="shared" si="4"/>
        <v>26.24</v>
      </c>
      <c r="O10" s="26">
        <f t="shared" si="5"/>
        <v>22.24</v>
      </c>
      <c r="P10" s="26">
        <f>10+3.33</f>
        <v>13.33</v>
      </c>
      <c r="Q10" s="26">
        <f t="shared" si="6"/>
        <v>3.3333333333338544E-3</v>
      </c>
      <c r="R10" s="19">
        <f>P10*E10</f>
        <v>599.85</v>
      </c>
      <c r="S10" s="19">
        <f t="shared" si="9"/>
        <v>359.85</v>
      </c>
      <c r="T10" s="26">
        <f>1/13</f>
        <v>7.6923076923076927E-2</v>
      </c>
      <c r="V10" s="19">
        <f t="shared" si="7"/>
        <v>0.15384615384615385</v>
      </c>
      <c r="W10" s="19">
        <f t="shared" si="8"/>
        <v>55.361538461538466</v>
      </c>
    </row>
    <row r="11" spans="1:23" s="19" customFormat="1" x14ac:dyDescent="0.25">
      <c r="A11" s="17" t="s">
        <v>66</v>
      </c>
      <c r="B11" s="18" t="s">
        <v>92</v>
      </c>
      <c r="C11" s="19">
        <f>600*1</f>
        <v>600</v>
      </c>
      <c r="D11" s="19" t="s">
        <v>45</v>
      </c>
      <c r="E11" s="19">
        <f>6*5</f>
        <v>30</v>
      </c>
      <c r="F11" s="26">
        <f t="shared" si="0"/>
        <v>20</v>
      </c>
      <c r="G11" s="26">
        <v>1.45</v>
      </c>
      <c r="H11" s="26">
        <f t="shared" si="1"/>
        <v>29</v>
      </c>
      <c r="I11" s="26">
        <v>2.15</v>
      </c>
      <c r="J11" s="26">
        <f t="shared" si="2"/>
        <v>43</v>
      </c>
      <c r="K11" s="26">
        <v>0.2</v>
      </c>
      <c r="L11" s="26">
        <f t="shared" si="3"/>
        <v>5.8000000000000007</v>
      </c>
      <c r="M11" s="26">
        <v>0.6</v>
      </c>
      <c r="N11" s="26">
        <f t="shared" si="4"/>
        <v>25.8</v>
      </c>
      <c r="O11" s="26">
        <f t="shared" si="5"/>
        <v>20</v>
      </c>
      <c r="P11" s="26">
        <f>8+12</f>
        <v>20</v>
      </c>
      <c r="Q11" s="26">
        <f t="shared" si="6"/>
        <v>0</v>
      </c>
      <c r="R11" s="19">
        <f>P11*E11</f>
        <v>600</v>
      </c>
      <c r="S11" s="19">
        <f t="shared" si="9"/>
        <v>360</v>
      </c>
      <c r="T11" s="26">
        <f>1/13</f>
        <v>7.6923076923076927E-2</v>
      </c>
      <c r="V11" s="19">
        <f t="shared" si="7"/>
        <v>0.15384615384615385</v>
      </c>
      <c r="W11" s="19">
        <f t="shared" si="8"/>
        <v>55.384615384615387</v>
      </c>
    </row>
    <row r="12" spans="1:23" ht="15.75" thickBot="1" x14ac:dyDescent="0.3"/>
    <row r="13" spans="1:23" s="32" customFormat="1" ht="45.75" customHeight="1" thickBot="1" x14ac:dyDescent="0.3">
      <c r="A13" s="183" t="s">
        <v>109</v>
      </c>
      <c r="B13" s="184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T13" s="33"/>
    </row>
    <row r="14" spans="1:23" ht="15.75" thickBot="1" x14ac:dyDescent="0.3">
      <c r="A14" s="41" t="s">
        <v>0</v>
      </c>
      <c r="B14" s="43" t="s">
        <v>103</v>
      </c>
      <c r="C14" s="45" t="s">
        <v>2</v>
      </c>
      <c r="D14" s="45" t="s">
        <v>36</v>
      </c>
      <c r="E14" s="45" t="s">
        <v>36</v>
      </c>
      <c r="F14" s="46" t="s">
        <v>93</v>
      </c>
      <c r="G14" s="48" t="s">
        <v>34</v>
      </c>
      <c r="H14" s="50" t="s">
        <v>104</v>
      </c>
      <c r="I14" s="48" t="s">
        <v>105</v>
      </c>
      <c r="J14" s="50" t="s">
        <v>106</v>
      </c>
      <c r="K14" s="48" t="s">
        <v>103</v>
      </c>
      <c r="L14" s="50" t="s">
        <v>92</v>
      </c>
      <c r="M14" s="48" t="s">
        <v>2</v>
      </c>
      <c r="N14" s="50" t="s">
        <v>93</v>
      </c>
    </row>
    <row r="15" spans="1:23" ht="15.75" thickBot="1" x14ac:dyDescent="0.3">
      <c r="A15" s="41"/>
      <c r="B15" s="43">
        <f>($P$3*$E$3)/2</f>
        <v>600</v>
      </c>
      <c r="C15" s="43">
        <f>$P$4*$E$4/2</f>
        <v>600</v>
      </c>
      <c r="D15" s="45">
        <f>$P$5*$E$5/2</f>
        <v>600</v>
      </c>
      <c r="E15" s="45">
        <f>$P$5*$E$5/2</f>
        <v>600</v>
      </c>
      <c r="F15" s="46">
        <f>$P$6*$E$6/2</f>
        <v>600</v>
      </c>
      <c r="G15" s="48" t="s">
        <v>86</v>
      </c>
      <c r="H15" s="50">
        <f>P8*E8</f>
        <v>600</v>
      </c>
      <c r="I15" s="48">
        <f>P9*E9</f>
        <v>599.9</v>
      </c>
      <c r="J15" s="50">
        <f>P10*E10</f>
        <v>599.85</v>
      </c>
      <c r="K15" s="43">
        <f>$P$3*$E$3/2</f>
        <v>600</v>
      </c>
      <c r="L15" s="50">
        <f>P11*E11</f>
        <v>600</v>
      </c>
      <c r="M15" s="43">
        <f>$P$4*$E$4/2</f>
        <v>600</v>
      </c>
      <c r="N15" s="46">
        <f>$P$6*$E$6/2</f>
        <v>600</v>
      </c>
    </row>
    <row r="16" spans="1:23" x14ac:dyDescent="0.25">
      <c r="A16" s="42" t="s">
        <v>110</v>
      </c>
      <c r="B16" s="44" t="s">
        <v>143</v>
      </c>
      <c r="C16" s="44" t="s">
        <v>146</v>
      </c>
      <c r="D16" s="44" t="s">
        <v>137</v>
      </c>
      <c r="E16" s="44" t="s">
        <v>137</v>
      </c>
      <c r="F16" s="44" t="s">
        <v>143</v>
      </c>
      <c r="G16" s="44" t="s">
        <v>142</v>
      </c>
      <c r="H16" s="44" t="s">
        <v>146</v>
      </c>
      <c r="I16" s="44" t="s">
        <v>145</v>
      </c>
      <c r="J16" s="44" t="s">
        <v>133</v>
      </c>
      <c r="K16" s="44" t="s">
        <v>143</v>
      </c>
      <c r="L16" s="44" t="s">
        <v>138</v>
      </c>
      <c r="M16" s="44" t="s">
        <v>146</v>
      </c>
      <c r="N16" s="44" t="s">
        <v>143</v>
      </c>
    </row>
    <row r="17" spans="1:14" x14ac:dyDescent="0.25">
      <c r="A17" s="42" t="s">
        <v>94</v>
      </c>
      <c r="B17" s="44" t="s">
        <v>142</v>
      </c>
      <c r="C17" s="44" t="s">
        <v>139</v>
      </c>
      <c r="D17" s="44" t="s">
        <v>131</v>
      </c>
      <c r="E17" s="44" t="s">
        <v>131</v>
      </c>
      <c r="F17" s="44" t="s">
        <v>135</v>
      </c>
      <c r="G17" s="44" t="s">
        <v>132</v>
      </c>
      <c r="H17" s="44" t="s">
        <v>138</v>
      </c>
      <c r="I17" s="44" t="s">
        <v>141</v>
      </c>
      <c r="J17" s="44" t="s">
        <v>138</v>
      </c>
      <c r="K17" s="44" t="s">
        <v>142</v>
      </c>
      <c r="L17" s="44" t="s">
        <v>139</v>
      </c>
      <c r="M17" s="44" t="s">
        <v>139</v>
      </c>
      <c r="N17" s="44" t="s">
        <v>135</v>
      </c>
    </row>
    <row r="18" spans="1:14" x14ac:dyDescent="0.25">
      <c r="A18" s="42" t="s">
        <v>95</v>
      </c>
      <c r="B18" s="44" t="s">
        <v>135</v>
      </c>
      <c r="C18" s="44" t="s">
        <v>142</v>
      </c>
      <c r="D18" s="44" t="s">
        <v>144</v>
      </c>
      <c r="E18" s="44" t="s">
        <v>144</v>
      </c>
      <c r="F18" s="44" t="s">
        <v>142</v>
      </c>
      <c r="G18" s="44" t="s">
        <v>139</v>
      </c>
      <c r="H18" s="44" t="s">
        <v>143</v>
      </c>
      <c r="I18" s="44" t="s">
        <v>145</v>
      </c>
      <c r="J18" s="44" t="s">
        <v>139</v>
      </c>
      <c r="K18" s="44" t="s">
        <v>135</v>
      </c>
      <c r="L18" s="44" t="s">
        <v>145</v>
      </c>
      <c r="M18" s="44" t="s">
        <v>142</v>
      </c>
      <c r="N18" s="44" t="s">
        <v>142</v>
      </c>
    </row>
    <row r="19" spans="1:14" x14ac:dyDescent="0.25">
      <c r="A19" s="42" t="s">
        <v>53</v>
      </c>
      <c r="B19" s="44" t="s">
        <v>144</v>
      </c>
      <c r="C19" s="44" t="s">
        <v>135</v>
      </c>
      <c r="D19" s="44" t="s">
        <v>146</v>
      </c>
      <c r="E19" s="44" t="s">
        <v>146</v>
      </c>
      <c r="F19" s="44" t="s">
        <v>146</v>
      </c>
      <c r="G19" s="44" t="s">
        <v>139</v>
      </c>
      <c r="H19" s="44" t="s">
        <v>133</v>
      </c>
      <c r="I19" s="44" t="s">
        <v>137</v>
      </c>
      <c r="J19" s="44" t="s">
        <v>146</v>
      </c>
      <c r="K19" s="44" t="s">
        <v>144</v>
      </c>
      <c r="L19" s="44" t="s">
        <v>143</v>
      </c>
      <c r="M19" s="44" t="s">
        <v>135</v>
      </c>
      <c r="N19" s="44" t="s">
        <v>146</v>
      </c>
    </row>
    <row r="20" spans="1:14" x14ac:dyDescent="0.25">
      <c r="A20" s="42" t="s">
        <v>61</v>
      </c>
      <c r="B20" s="44" t="s">
        <v>145</v>
      </c>
      <c r="C20" s="44" t="s">
        <v>144</v>
      </c>
      <c r="D20" s="44" t="s">
        <v>138</v>
      </c>
      <c r="E20" s="44" t="s">
        <v>138</v>
      </c>
      <c r="F20" s="44" t="s">
        <v>144</v>
      </c>
      <c r="G20" s="44" t="s">
        <v>143</v>
      </c>
      <c r="H20" s="44" t="s">
        <v>143</v>
      </c>
      <c r="I20" s="44" t="s">
        <v>144</v>
      </c>
      <c r="J20" s="44" t="s">
        <v>143</v>
      </c>
      <c r="K20" s="44" t="s">
        <v>145</v>
      </c>
      <c r="L20" s="44" t="s">
        <v>146</v>
      </c>
      <c r="M20" s="44" t="s">
        <v>144</v>
      </c>
      <c r="N20" s="44" t="s">
        <v>144</v>
      </c>
    </row>
    <row r="21" spans="1:14" x14ac:dyDescent="0.25">
      <c r="A21" s="42" t="s">
        <v>63</v>
      </c>
      <c r="B21" s="44" t="s">
        <v>133</v>
      </c>
      <c r="C21" s="44" t="s">
        <v>138</v>
      </c>
      <c r="D21" s="44" t="s">
        <v>145</v>
      </c>
      <c r="E21" s="44" t="s">
        <v>145</v>
      </c>
      <c r="F21" s="44" t="s">
        <v>139</v>
      </c>
      <c r="G21" s="44" t="s">
        <v>143</v>
      </c>
      <c r="H21" s="44" t="s">
        <v>143</v>
      </c>
      <c r="I21" s="44" t="s">
        <v>138</v>
      </c>
      <c r="J21" s="44" t="s">
        <v>145</v>
      </c>
      <c r="K21" s="44" t="s">
        <v>133</v>
      </c>
      <c r="L21" s="44" t="s">
        <v>133</v>
      </c>
      <c r="M21" s="44" t="s">
        <v>138</v>
      </c>
      <c r="N21" s="44" t="s">
        <v>139</v>
      </c>
    </row>
    <row r="22" spans="1:14" x14ac:dyDescent="0.25">
      <c r="A22" s="42" t="s">
        <v>64</v>
      </c>
      <c r="B22" s="44" t="s">
        <v>138</v>
      </c>
      <c r="C22" s="44" t="s">
        <v>137</v>
      </c>
      <c r="D22" s="44" t="s">
        <v>133</v>
      </c>
      <c r="E22" s="44" t="s">
        <v>133</v>
      </c>
      <c r="F22" s="44" t="s">
        <v>137</v>
      </c>
      <c r="G22" s="44" t="s">
        <v>137</v>
      </c>
      <c r="H22" s="44" t="s">
        <v>143</v>
      </c>
      <c r="I22" s="44" t="s">
        <v>143</v>
      </c>
      <c r="J22" s="44" t="s">
        <v>145</v>
      </c>
      <c r="K22" s="44" t="s">
        <v>138</v>
      </c>
      <c r="L22" s="44" t="s">
        <v>138</v>
      </c>
      <c r="M22" s="44" t="s">
        <v>137</v>
      </c>
      <c r="N22" s="44" t="s">
        <v>137</v>
      </c>
    </row>
    <row r="23" spans="1:14" x14ac:dyDescent="0.25">
      <c r="A23" s="42" t="s">
        <v>65</v>
      </c>
      <c r="B23" s="44" t="s">
        <v>146</v>
      </c>
      <c r="C23" s="44" t="s">
        <v>131</v>
      </c>
      <c r="D23" s="44" t="s">
        <v>142</v>
      </c>
      <c r="E23" s="44" t="s">
        <v>142</v>
      </c>
      <c r="F23" s="44" t="s">
        <v>131</v>
      </c>
      <c r="G23" s="44" t="s">
        <v>137</v>
      </c>
      <c r="H23" s="44" t="s">
        <v>143</v>
      </c>
      <c r="I23" s="44" t="s">
        <v>143</v>
      </c>
      <c r="J23" s="44" t="s">
        <v>131</v>
      </c>
      <c r="K23" s="44" t="s">
        <v>146</v>
      </c>
      <c r="L23" s="44" t="s">
        <v>138</v>
      </c>
      <c r="M23" s="44" t="s">
        <v>131</v>
      </c>
      <c r="N23" s="44" t="s">
        <v>131</v>
      </c>
    </row>
    <row r="24" spans="1:14" x14ac:dyDescent="0.25">
      <c r="A24" s="42" t="s">
        <v>66</v>
      </c>
      <c r="B24" s="44" t="s">
        <v>139</v>
      </c>
      <c r="C24" s="44" t="s">
        <v>134</v>
      </c>
      <c r="D24" s="44" t="s">
        <v>139</v>
      </c>
      <c r="E24" s="44" t="s">
        <v>139</v>
      </c>
      <c r="F24" s="44" t="s">
        <v>134</v>
      </c>
      <c r="G24" s="49"/>
      <c r="H24" s="44" t="s">
        <v>139</v>
      </c>
      <c r="I24" s="44" t="s">
        <v>143</v>
      </c>
      <c r="J24" s="44" t="s">
        <v>131</v>
      </c>
      <c r="K24" s="44" t="s">
        <v>139</v>
      </c>
      <c r="L24" s="51"/>
      <c r="M24" s="44" t="s">
        <v>134</v>
      </c>
      <c r="N24" s="44" t="s">
        <v>134</v>
      </c>
    </row>
    <row r="25" spans="1:14" x14ac:dyDescent="0.25">
      <c r="A25" s="42" t="s">
        <v>67</v>
      </c>
      <c r="B25" s="44" t="s">
        <v>132</v>
      </c>
      <c r="C25" s="44" t="s">
        <v>132</v>
      </c>
      <c r="D25" s="44" t="s">
        <v>146</v>
      </c>
      <c r="E25" s="44" t="s">
        <v>146</v>
      </c>
      <c r="F25" s="44" t="s">
        <v>132</v>
      </c>
      <c r="G25" s="49"/>
      <c r="H25" s="44" t="s">
        <v>139</v>
      </c>
      <c r="I25" s="44" t="s">
        <v>143</v>
      </c>
      <c r="J25" s="44" t="s">
        <v>131</v>
      </c>
      <c r="K25" s="44" t="s">
        <v>132</v>
      </c>
      <c r="L25" s="51"/>
      <c r="M25" s="44" t="s">
        <v>132</v>
      </c>
      <c r="N25" s="44" t="s">
        <v>132</v>
      </c>
    </row>
    <row r="26" spans="1:14" x14ac:dyDescent="0.25">
      <c r="A26" s="42" t="s">
        <v>68</v>
      </c>
      <c r="B26" s="44" t="s">
        <v>138</v>
      </c>
      <c r="C26" s="44" t="s">
        <v>143</v>
      </c>
      <c r="D26" s="44" t="s">
        <v>146</v>
      </c>
      <c r="E26" s="44" t="s">
        <v>146</v>
      </c>
      <c r="F26" s="44" t="s">
        <v>131</v>
      </c>
      <c r="G26" s="49"/>
      <c r="H26" s="51"/>
      <c r="I26" s="49"/>
      <c r="J26" s="44"/>
      <c r="K26" s="44" t="s">
        <v>138</v>
      </c>
      <c r="L26" s="51"/>
      <c r="M26" s="44" t="s">
        <v>143</v>
      </c>
      <c r="N26" s="44" t="s">
        <v>131</v>
      </c>
    </row>
    <row r="27" spans="1:14" x14ac:dyDescent="0.25">
      <c r="A27" s="42" t="s">
        <v>69</v>
      </c>
      <c r="B27" s="44" t="s">
        <v>138</v>
      </c>
      <c r="C27" s="44" t="s">
        <v>143</v>
      </c>
      <c r="D27" s="44" t="s">
        <v>146</v>
      </c>
      <c r="E27" s="44" t="s">
        <v>146</v>
      </c>
      <c r="F27" s="44" t="s">
        <v>131</v>
      </c>
      <c r="G27" s="49"/>
      <c r="H27" s="51"/>
      <c r="I27" s="49"/>
      <c r="J27" s="51"/>
      <c r="K27" s="44" t="s">
        <v>138</v>
      </c>
      <c r="L27" s="51"/>
      <c r="M27" s="44" t="s">
        <v>143</v>
      </c>
      <c r="N27" s="44" t="s">
        <v>131</v>
      </c>
    </row>
    <row r="28" spans="1:14" x14ac:dyDescent="0.25">
      <c r="A28" s="42" t="s">
        <v>70</v>
      </c>
      <c r="B28" s="44" t="s">
        <v>138</v>
      </c>
      <c r="C28" s="44" t="s">
        <v>138</v>
      </c>
      <c r="D28" s="44"/>
      <c r="E28" s="44"/>
      <c r="F28" s="47"/>
      <c r="G28" s="49"/>
      <c r="H28" s="51"/>
      <c r="I28" s="49"/>
      <c r="J28" s="51"/>
      <c r="K28" s="44" t="s">
        <v>138</v>
      </c>
      <c r="L28" s="51"/>
      <c r="M28" s="44" t="s">
        <v>138</v>
      </c>
      <c r="N28" s="51"/>
    </row>
    <row r="29" spans="1:14" x14ac:dyDescent="0.25">
      <c r="A29" s="42" t="s">
        <v>73</v>
      </c>
      <c r="B29" s="44" t="s">
        <v>138</v>
      </c>
      <c r="C29" s="44" t="s">
        <v>138</v>
      </c>
      <c r="D29" s="44"/>
      <c r="E29" s="44"/>
      <c r="F29" s="47"/>
      <c r="G29" s="49"/>
      <c r="H29" s="51"/>
      <c r="I29" s="49"/>
      <c r="J29" s="51"/>
      <c r="K29" s="44" t="s">
        <v>138</v>
      </c>
      <c r="L29" s="51"/>
      <c r="M29" s="44" t="s">
        <v>138</v>
      </c>
      <c r="N29" s="51"/>
    </row>
    <row r="30" spans="1:14" x14ac:dyDescent="0.25">
      <c r="A30" s="42" t="s">
        <v>77</v>
      </c>
      <c r="B30" s="44" t="s">
        <v>138</v>
      </c>
      <c r="C30" s="44" t="s">
        <v>138</v>
      </c>
      <c r="D30" s="44"/>
      <c r="E30" s="44"/>
      <c r="F30" s="47"/>
      <c r="G30" s="49"/>
      <c r="H30" s="51"/>
      <c r="I30" s="49"/>
      <c r="J30" s="51"/>
      <c r="K30" s="44" t="s">
        <v>138</v>
      </c>
      <c r="L30" s="51"/>
      <c r="M30" s="44" t="s">
        <v>138</v>
      </c>
      <c r="N30" s="51"/>
    </row>
    <row r="31" spans="1:14" x14ac:dyDescent="0.25">
      <c r="A31" s="42" t="s">
        <v>79</v>
      </c>
      <c r="B31" s="44" t="s">
        <v>138</v>
      </c>
      <c r="C31" s="44" t="s">
        <v>138</v>
      </c>
      <c r="D31" s="44"/>
      <c r="E31" s="44"/>
      <c r="F31" s="47"/>
      <c r="G31" s="49"/>
      <c r="H31" s="51"/>
      <c r="I31" s="49"/>
      <c r="J31" s="51"/>
      <c r="K31" s="44" t="s">
        <v>138</v>
      </c>
      <c r="L31" s="51"/>
      <c r="M31" s="44" t="s">
        <v>138</v>
      </c>
      <c r="N31" s="51"/>
    </row>
    <row r="32" spans="1:14" x14ac:dyDescent="0.25">
      <c r="A32" s="42" t="s">
        <v>81</v>
      </c>
      <c r="B32" s="44" t="s">
        <v>145</v>
      </c>
      <c r="C32" s="44" t="s">
        <v>132</v>
      </c>
      <c r="D32" s="44"/>
      <c r="E32" s="44"/>
      <c r="F32" s="47"/>
      <c r="G32" s="49"/>
      <c r="H32" s="51"/>
      <c r="I32" s="49"/>
      <c r="J32" s="51"/>
      <c r="K32" s="44" t="s">
        <v>145</v>
      </c>
      <c r="L32" s="51"/>
      <c r="M32" s="44" t="s">
        <v>132</v>
      </c>
      <c r="N32" s="51"/>
    </row>
    <row r="33" spans="1:14" x14ac:dyDescent="0.25">
      <c r="A33" s="42" t="s">
        <v>82</v>
      </c>
      <c r="B33" s="44" t="s">
        <v>145</v>
      </c>
      <c r="C33" s="44" t="s">
        <v>132</v>
      </c>
      <c r="D33" s="44"/>
      <c r="E33" s="44"/>
      <c r="F33" s="47"/>
      <c r="G33" s="49"/>
      <c r="H33" s="51"/>
      <c r="I33" s="49"/>
      <c r="J33" s="51"/>
      <c r="K33" s="44" t="s">
        <v>145</v>
      </c>
      <c r="L33" s="51"/>
      <c r="M33" s="44" t="s">
        <v>132</v>
      </c>
      <c r="N33" s="51"/>
    </row>
    <row r="34" spans="1:14" x14ac:dyDescent="0.25">
      <c r="A34" s="42" t="s">
        <v>85</v>
      </c>
      <c r="B34" s="44" t="s">
        <v>145</v>
      </c>
      <c r="C34" s="44" t="s">
        <v>217</v>
      </c>
      <c r="D34" s="44"/>
      <c r="E34" s="44"/>
      <c r="F34" s="47"/>
      <c r="G34" s="49"/>
      <c r="H34" s="51"/>
      <c r="I34" s="49"/>
      <c r="J34" s="51"/>
      <c r="K34" s="44" t="s">
        <v>145</v>
      </c>
      <c r="L34" s="51"/>
      <c r="M34" s="44" t="s">
        <v>217</v>
      </c>
      <c r="N34" s="51"/>
    </row>
    <row r="35" spans="1:14" x14ac:dyDescent="0.25">
      <c r="A35" s="42" t="s">
        <v>87</v>
      </c>
      <c r="B35" s="44" t="s">
        <v>145</v>
      </c>
      <c r="C35" s="44" t="s">
        <v>217</v>
      </c>
      <c r="D35" s="44"/>
      <c r="E35" s="44"/>
      <c r="F35" s="47"/>
      <c r="G35" s="49"/>
      <c r="H35" s="51"/>
      <c r="I35" s="49"/>
      <c r="J35" s="51"/>
      <c r="K35" s="44" t="s">
        <v>145</v>
      </c>
      <c r="L35" s="51"/>
      <c r="M35" s="44" t="s">
        <v>217</v>
      </c>
      <c r="N35" s="51"/>
    </row>
    <row r="36" spans="1:14" x14ac:dyDescent="0.25">
      <c r="A36" s="42" t="s">
        <v>111</v>
      </c>
      <c r="B36" s="44" t="s">
        <v>145</v>
      </c>
      <c r="C36" s="44" t="s">
        <v>217</v>
      </c>
      <c r="K36" s="44" t="s">
        <v>145</v>
      </c>
      <c r="M36" s="44" t="s">
        <v>217</v>
      </c>
    </row>
    <row r="37" spans="1:14" x14ac:dyDescent="0.25">
      <c r="A37" s="42" t="s">
        <v>112</v>
      </c>
      <c r="B37" s="44" t="s">
        <v>145</v>
      </c>
      <c r="K37" s="44" t="s">
        <v>145</v>
      </c>
    </row>
    <row r="38" spans="1:14" x14ac:dyDescent="0.25">
      <c r="A38" s="42" t="s">
        <v>113</v>
      </c>
      <c r="B38" s="44" t="s">
        <v>145</v>
      </c>
      <c r="K38" s="44" t="s">
        <v>145</v>
      </c>
    </row>
    <row r="39" spans="1:14" x14ac:dyDescent="0.25">
      <c r="A39" s="42" t="s">
        <v>114</v>
      </c>
      <c r="B39" s="44" t="s">
        <v>145</v>
      </c>
      <c r="K39" s="44" t="s">
        <v>145</v>
      </c>
    </row>
    <row r="40" spans="1:14" x14ac:dyDescent="0.25">
      <c r="A40" s="42" t="s">
        <v>115</v>
      </c>
      <c r="B40" s="44" t="s">
        <v>145</v>
      </c>
      <c r="K40" s="44" t="s">
        <v>145</v>
      </c>
    </row>
    <row r="41" spans="1:14" x14ac:dyDescent="0.25">
      <c r="A41" s="42" t="s">
        <v>116</v>
      </c>
      <c r="B41" s="44" t="s">
        <v>145</v>
      </c>
      <c r="K41" s="44" t="s">
        <v>145</v>
      </c>
    </row>
    <row r="42" spans="1:14" x14ac:dyDescent="0.25">
      <c r="A42" s="42" t="s">
        <v>117</v>
      </c>
      <c r="B42" s="44" t="s">
        <v>145</v>
      </c>
      <c r="K42" s="44" t="s">
        <v>145</v>
      </c>
    </row>
    <row r="43" spans="1:14" x14ac:dyDescent="0.25">
      <c r="A43" s="42" t="s">
        <v>118</v>
      </c>
      <c r="B43" s="44" t="s">
        <v>145</v>
      </c>
      <c r="K43" s="44" t="s">
        <v>145</v>
      </c>
    </row>
    <row r="44" spans="1:14" x14ac:dyDescent="0.25">
      <c r="A44" s="42" t="s">
        <v>119</v>
      </c>
      <c r="B44" s="44" t="s">
        <v>145</v>
      </c>
      <c r="K44" s="44" t="s">
        <v>145</v>
      </c>
    </row>
    <row r="45" spans="1:14" x14ac:dyDescent="0.25">
      <c r="A45" s="42" t="s">
        <v>120</v>
      </c>
      <c r="B45" s="4" t="s">
        <v>162</v>
      </c>
      <c r="K45" s="4" t="s">
        <v>162</v>
      </c>
    </row>
    <row r="46" spans="1:14" x14ac:dyDescent="0.25">
      <c r="A46" s="42" t="s">
        <v>121</v>
      </c>
      <c r="B46" s="4" t="s">
        <v>162</v>
      </c>
      <c r="K46" s="4" t="s">
        <v>162</v>
      </c>
    </row>
    <row r="47" spans="1:14" x14ac:dyDescent="0.25">
      <c r="A47" s="42" t="s">
        <v>122</v>
      </c>
      <c r="B47" s="4" t="s">
        <v>162</v>
      </c>
      <c r="K47" s="4" t="s">
        <v>162</v>
      </c>
    </row>
    <row r="48" spans="1:14" x14ac:dyDescent="0.25">
      <c r="A48" s="42" t="s">
        <v>123</v>
      </c>
      <c r="B48" s="4" t="s">
        <v>162</v>
      </c>
      <c r="K48" s="4" t="s">
        <v>162</v>
      </c>
    </row>
    <row r="49" spans="1:11" x14ac:dyDescent="0.25">
      <c r="A49" s="42" t="s">
        <v>124</v>
      </c>
      <c r="B49" s="4" t="s">
        <v>162</v>
      </c>
      <c r="K49" s="4" t="s">
        <v>162</v>
      </c>
    </row>
    <row r="50" spans="1:11" x14ac:dyDescent="0.25">
      <c r="A50" s="42" t="s">
        <v>125</v>
      </c>
      <c r="B50" s="4" t="s">
        <v>162</v>
      </c>
      <c r="K50" s="4" t="s">
        <v>162</v>
      </c>
    </row>
    <row r="51" spans="1:11" x14ac:dyDescent="0.25">
      <c r="A51" s="42" t="s">
        <v>126</v>
      </c>
      <c r="B51" s="4" t="s">
        <v>171</v>
      </c>
      <c r="K51" s="4" t="s">
        <v>171</v>
      </c>
    </row>
    <row r="52" spans="1:11" x14ac:dyDescent="0.25">
      <c r="A52" s="42" t="s">
        <v>127</v>
      </c>
      <c r="B52" s="4" t="s">
        <v>171</v>
      </c>
      <c r="K52" s="4" t="s">
        <v>171</v>
      </c>
    </row>
    <row r="53" spans="1:11" x14ac:dyDescent="0.25">
      <c r="A53" s="42" t="s">
        <v>128</v>
      </c>
      <c r="B53" s="4" t="s">
        <v>171</v>
      </c>
      <c r="K53" s="4" t="s">
        <v>171</v>
      </c>
    </row>
    <row r="54" spans="1:11" x14ac:dyDescent="0.25">
      <c r="A54" s="42" t="s">
        <v>129</v>
      </c>
      <c r="B54" s="4" t="s">
        <v>171</v>
      </c>
      <c r="K54" s="4" t="s">
        <v>171</v>
      </c>
    </row>
    <row r="55" spans="1:11" x14ac:dyDescent="0.25">
      <c r="A55" s="42" t="s">
        <v>130</v>
      </c>
      <c r="B55" s="4" t="s">
        <v>171</v>
      </c>
      <c r="K55" s="4" t="s">
        <v>171</v>
      </c>
    </row>
  </sheetData>
  <mergeCells count="1">
    <mergeCell ref="A13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دليل!$A$1:$A$50</xm:f>
          </x14:formula1>
          <xm:sqref>D3:D11 J26 H16:J25 B28:B44 L16:L23 B16:F27 M16:N27 G16:G23 K16:K44 C28:C31 M28:M31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دليل</vt:lpstr>
      <vt:lpstr>حسابات صالح</vt:lpstr>
      <vt:lpstr>Sheet1</vt:lpstr>
      <vt:lpstr>جرد توزيع الوان</vt:lpstr>
      <vt:lpstr>M001001</vt:lpstr>
      <vt:lpstr>M001002</vt:lpstr>
      <vt:lpstr>M001003</vt:lpstr>
      <vt:lpstr>M001005</vt:lpstr>
      <vt:lpstr>M001006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Ramez Ayad</cp:lastModifiedBy>
  <cp:lastPrinted>2020-09-15T17:26:11Z</cp:lastPrinted>
  <dcterms:created xsi:type="dcterms:W3CDTF">2020-08-12T11:36:06Z</dcterms:created>
  <dcterms:modified xsi:type="dcterms:W3CDTF">2020-09-21T11:25:39Z</dcterms:modified>
</cp:coreProperties>
</file>