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PORTFOLIO PROJECT\MODIFY MY MEDIA WITH ALL TIS FILE\"/>
    </mc:Choice>
  </mc:AlternateContent>
  <xr:revisionPtr revIDLastSave="0" documentId="13_ncr:1_{BB41DCDE-7B9C-4FC9-B4F5-0D6E0D42170A}" xr6:coauthVersionLast="47" xr6:coauthVersionMax="47" xr10:uidLastSave="{00000000-0000-0000-0000-000000000000}"/>
  <bookViews>
    <workbookView xWindow="-120" yWindow="-120" windowWidth="20730" windowHeight="11160" tabRatio="718" activeTab="1" xr2:uid="{26A1896A-F9D4-458F-839D-EA2B3B9DC3DC}"/>
  </bookViews>
  <sheets>
    <sheet name="Repay" sheetId="1" r:id="rId1"/>
    <sheet name="Anomalies" sheetId="15" r:id="rId2"/>
    <sheet name="Data Bar" sheetId="18" r:id="rId3"/>
    <sheet name="Heatmap" sheetId="19" r:id="rId4"/>
    <sheet name="Data Table" sheetId="9" r:id="rId5"/>
    <sheet name="Act vs Budget" sheetId="3" r:id="rId6"/>
  </sheets>
  <definedNames>
    <definedName name="_Fill" localSheetId="2" hidden="1">#REF!</definedName>
    <definedName name="_Fill" localSheetId="4" hidden="1">#REF!</definedName>
    <definedName name="_Fill" hidden="1">#REF!</definedName>
    <definedName name="_Order1" hidden="1">0</definedName>
    <definedName name="_Order2" hidden="1">0</definedName>
    <definedName name="CIQWBGuid" hidden="1">"2cd8126d-26c3-430c-b7fa-a069e3a1fc62"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40869.3787037037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A8" hidden="1">"$A$9:$A$261"</definedName>
    <definedName name="IQRB8" hidden="1">"$B$9:$B$261"</definedName>
    <definedName name="IQRC8" hidden="1">"$C$9:$C$261"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5" l="1"/>
  <c r="F13" i="15" s="1"/>
  <c r="E12" i="15"/>
  <c r="F12" i="15" s="1"/>
  <c r="E11" i="15"/>
  <c r="F11" i="15" s="1"/>
  <c r="E10" i="15"/>
  <c r="F10" i="15" s="1"/>
  <c r="E9" i="15"/>
  <c r="F9" i="15" s="1"/>
  <c r="E8" i="15"/>
  <c r="F8" i="15" s="1"/>
  <c r="E7" i="15"/>
  <c r="F7" i="15" s="1"/>
  <c r="E6" i="15"/>
  <c r="F6" i="15" s="1"/>
  <c r="E5" i="15"/>
  <c r="F5" i="15" s="1"/>
  <c r="E4" i="15"/>
  <c r="F4" i="15" s="1"/>
  <c r="E3" i="15"/>
  <c r="F3" i="15" s="1"/>
  <c r="E2" i="15"/>
  <c r="F2" i="15" s="1"/>
  <c r="G9" i="18" a="1"/>
  <c r="G9" i="18" s="1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I9" i="18" l="1" a="1"/>
  <c r="I9" i="18" s="1"/>
  <c r="F9" i="18" a="1"/>
  <c r="F9" i="18" s="1"/>
  <c r="G4" i="18"/>
  <c r="G6" i="18" s="1"/>
  <c r="G3" i="18"/>
  <c r="M13" i="15"/>
  <c r="N13" i="15" s="1"/>
  <c r="M12" i="15"/>
  <c r="N12" i="15" s="1"/>
  <c r="M11" i="15"/>
  <c r="N11" i="15" s="1"/>
  <c r="M10" i="15"/>
  <c r="N10" i="15" s="1"/>
  <c r="M9" i="15"/>
  <c r="N9" i="15" s="1"/>
  <c r="M8" i="15"/>
  <c r="N8" i="15" s="1"/>
  <c r="M7" i="15"/>
  <c r="N7" i="15" s="1"/>
  <c r="M6" i="15"/>
  <c r="N6" i="15" s="1"/>
  <c r="M5" i="15"/>
  <c r="N5" i="15" s="1"/>
  <c r="M4" i="15"/>
  <c r="N4" i="15" s="1"/>
  <c r="M3" i="15"/>
  <c r="N3" i="15" s="1"/>
  <c r="M2" i="15"/>
  <c r="N2" i="15" s="1"/>
  <c r="C38" i="1" a="1"/>
  <c r="C38" i="1" s="1"/>
  <c r="C8" i="1" a="1"/>
  <c r="C8" i="1" s="1"/>
  <c r="J9" i="18" l="1" a="1"/>
  <c r="J9" i="18" s="1"/>
  <c r="G5" i="18"/>
  <c r="C37" i="1" a="1"/>
  <c r="C37" i="1" s="1"/>
  <c r="C39" i="1" s="1" a="1"/>
  <c r="C39" i="1" s="1"/>
  <c r="D12" i="3"/>
  <c r="J12" i="3" l="1"/>
  <c r="E12" i="3"/>
  <c r="C40" i="1" a="1"/>
  <c r="C40" i="1" s="1"/>
  <c r="C41" i="1" a="1"/>
  <c r="C41" i="1" s="1"/>
  <c r="D11" i="3"/>
  <c r="I12" i="3"/>
  <c r="I11" i="3" l="1"/>
  <c r="E11" i="3"/>
  <c r="C42" i="1" a="1"/>
  <c r="C42" i="1" s="1"/>
  <c r="J11" i="3"/>
  <c r="B11" i="9"/>
  <c r="E5" i="9" s="1"/>
  <c r="E19" i="9" l="1"/>
  <c r="C7" i="1" l="1" a="1"/>
  <c r="C7" i="1" s="1"/>
  <c r="C9" i="1" s="1" a="1"/>
  <c r="C9" i="1" s="1"/>
  <c r="C11" i="1" l="1" a="1"/>
  <c r="C11" i="1" s="1"/>
  <c r="C10" i="1" a="1"/>
  <c r="C10" i="1" s="1"/>
  <c r="C12" i="1" l="1" a="1"/>
  <c r="C12" i="1" s="1"/>
  <c r="D3" i="3" l="1"/>
  <c r="D4" i="3"/>
  <c r="D5" i="3"/>
  <c r="D6" i="3"/>
  <c r="D7" i="3"/>
  <c r="D8" i="3"/>
  <c r="D9" i="3"/>
  <c r="D10" i="3"/>
  <c r="E10" i="3" l="1"/>
  <c r="E4" i="3"/>
  <c r="E9" i="3"/>
  <c r="E8" i="3"/>
  <c r="E7" i="3"/>
  <c r="E6" i="3"/>
  <c r="E5" i="3"/>
  <c r="E3" i="3"/>
  <c r="I10" i="3"/>
  <c r="J10" i="3"/>
  <c r="I5" i="3"/>
  <c r="J5" i="3"/>
  <c r="I8" i="3"/>
  <c r="J8" i="3"/>
  <c r="I7" i="3"/>
  <c r="J7" i="3"/>
  <c r="I4" i="3"/>
  <c r="J4" i="3"/>
  <c r="I6" i="3"/>
  <c r="J6" i="3"/>
  <c r="I3" i="3"/>
  <c r="J3" i="3"/>
  <c r="I9" i="3"/>
  <c r="J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<sst xmlns="http://schemas.openxmlformats.org/spreadsheetml/2006/main" count="146" uniqueCount="80">
  <si>
    <t>Annual Repayment</t>
  </si>
  <si>
    <t>SUM</t>
  </si>
  <si>
    <t>Principal Only</t>
  </si>
  <si>
    <t>PPMT</t>
  </si>
  <si>
    <t>Interest Only</t>
  </si>
  <si>
    <t>IPMT</t>
  </si>
  <si>
    <t>PMT</t>
  </si>
  <si>
    <t>Year</t>
  </si>
  <si>
    <t>Function</t>
  </si>
  <si>
    <t xml:space="preserve">Term </t>
  </si>
  <si>
    <t>Interest Rate</t>
  </si>
  <si>
    <t>Loan amount</t>
  </si>
  <si>
    <t>Example; we borrow $1m over ten years at an interest rate of 7.5%</t>
  </si>
  <si>
    <t>Product8</t>
  </si>
  <si>
    <t>Product7</t>
  </si>
  <si>
    <t>Product6</t>
  </si>
  <si>
    <t>Product5</t>
  </si>
  <si>
    <t>Product4</t>
  </si>
  <si>
    <t>Product3</t>
  </si>
  <si>
    <t>Product2</t>
  </si>
  <si>
    <t>Product1</t>
  </si>
  <si>
    <t>Variance</t>
  </si>
  <si>
    <t>Budget</t>
  </si>
  <si>
    <t>Actual</t>
  </si>
  <si>
    <t>Month</t>
  </si>
  <si>
    <t>Transactions</t>
  </si>
  <si>
    <t>Sales</t>
  </si>
  <si>
    <t>Costs</t>
  </si>
  <si>
    <t>Profit</t>
  </si>
  <si>
    <t>Profit Margin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</si>
  <si>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</si>
  <si>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</si>
  <si>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</si>
  <si>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</si>
  <si>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</si>
  <si>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</si>
  <si>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</si>
  <si>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</si>
  <si>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</si>
  <si>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</si>
  <si>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</si>
  <si>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</si>
  <si>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Date</t>
  </si>
  <si>
    <t>Customer</t>
  </si>
  <si>
    <t>SalesRep</t>
  </si>
  <si>
    <t>Sales Dashboard</t>
  </si>
  <si>
    <t>Andrew</t>
  </si>
  <si>
    <t>Raj</t>
  </si>
  <si>
    <t>Average Sales</t>
  </si>
  <si>
    <t>Jane</t>
  </si>
  <si>
    <t>Max Sale</t>
  </si>
  <si>
    <t>Cheryl</t>
  </si>
  <si>
    <t>Top Salesperson</t>
  </si>
  <si>
    <t>David</t>
  </si>
  <si>
    <t>Top Customer</t>
  </si>
  <si>
    <t>Chris</t>
  </si>
  <si>
    <t>CapitalElite</t>
  </si>
  <si>
    <t>Vanguard</t>
  </si>
  <si>
    <t>Fortuna</t>
  </si>
  <si>
    <t>Prospera</t>
  </si>
  <si>
    <t>Apex</t>
  </si>
  <si>
    <t>Bamble</t>
  </si>
  <si>
    <t>Month Sales</t>
  </si>
  <si>
    <t>Select Month:</t>
  </si>
  <si>
    <t>INTEREST RATE CALCULATOR</t>
  </si>
  <si>
    <t>Enter data here:</t>
  </si>
  <si>
    <t>Loan Amount</t>
  </si>
  <si>
    <t>Term of Loan (Years)</t>
  </si>
  <si>
    <t>Monthly Repayment</t>
  </si>
  <si>
    <t>Term of the Loan</t>
  </si>
  <si>
    <t xml:space="preserve">Sensitivity of Monthly Repayment to variables				</t>
  </si>
  <si>
    <t>Product</t>
  </si>
  <si>
    <t>Actual vs. Budget revenue variance report</t>
  </si>
  <si>
    <t>tolerance</t>
  </si>
  <si>
    <t>Product9</t>
  </si>
  <si>
    <t>Product10</t>
  </si>
  <si>
    <t>Splitting Interest and Principal Payments (completed version)</t>
  </si>
  <si>
    <t>Interest and Principal Payments</t>
  </si>
  <si>
    <t>INTEREST RATE CALCULATOR (completed)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</si>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</sst>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&quot;$&quot;#,##0;[Red]\-&quot;$&quot;#,##0"/>
    <numFmt numFmtId="166" formatCode="_(* #,##0_);_(* \(#,##0\);_(* &quot;-&quot;??_);_(@_)"/>
    <numFmt numFmtId="167" formatCode="_-* #,##0_-;\-* #,##0_-;_-* &quot;-&quot;??_-;_-@_-"/>
    <numFmt numFmtId="168" formatCode="&quot;$&quot;#,##0;\(&quot;$&quot;#,##0\)"/>
    <numFmt numFmtId="169" formatCode="0.0%"/>
    <numFmt numFmtId="170" formatCode="&quot;$&quot;#,##0"/>
    <numFmt numFmtId="171" formatCode="0.0000"/>
    <numFmt numFmtId="172" formatCode="0.0"/>
    <numFmt numFmtId="173" formatCode="0.0\x;&quot;nm&quot;_x;&quot;nm&quot;_x"/>
    <numFmt numFmtId="174" formatCode="0\ &quot;days&quot;_);\(0\ &quot;days&quot;\);\-\-\ &quot;days&quot;_)"/>
    <numFmt numFmtId="175" formatCode="&quot;Y&quot;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62626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Aptos Narrow"/>
      <family val="2"/>
      <scheme val="minor"/>
    </font>
    <font>
      <sz val="12"/>
      <color rgb="FF0D0D0D"/>
      <name val="Segoe UI"/>
      <family val="2"/>
    </font>
    <font>
      <i/>
      <sz val="11"/>
      <color theme="2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658E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1195A"/>
        <bgColor theme="7"/>
      </patternFill>
    </fill>
    <fill>
      <patternFill patternType="solid">
        <fgColor rgb="FFC0A4BF"/>
        <bgColor theme="7"/>
      </patternFill>
    </fill>
    <fill>
      <patternFill patternType="solid">
        <fgColor theme="4"/>
        <bgColor theme="7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indexed="9"/>
      </top>
      <bottom style="thin">
        <color rgb="FF7F7F7F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3" applyNumberFormat="0" applyFont="0" applyAlignment="0"/>
    <xf numFmtId="0" fontId="3" fillId="2" borderId="4"/>
    <xf numFmtId="0" fontId="2" fillId="3" borderId="1" applyNumberFormat="0" applyFont="0" applyAlignment="0"/>
    <xf numFmtId="0" fontId="3" fillId="5" borderId="5"/>
    <xf numFmtId="167" fontId="1" fillId="0" borderId="3" applyNumberFormat="0" applyFont="0" applyAlignment="0"/>
    <xf numFmtId="0" fontId="3" fillId="4" borderId="4"/>
    <xf numFmtId="167" fontId="1" fillId="0" borderId="3" applyNumberFormat="0" applyFont="0" applyAlignment="0"/>
    <xf numFmtId="0" fontId="1" fillId="0" borderId="0"/>
    <xf numFmtId="43" fontId="1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3" fillId="4" borderId="4" xfId="8"/>
    <xf numFmtId="166" fontId="4" fillId="0" borderId="0" xfId="2" applyNumberFormat="1" applyFont="1"/>
    <xf numFmtId="165" fontId="5" fillId="0" borderId="2" xfId="0" applyNumberFormat="1" applyFont="1" applyBorder="1"/>
    <xf numFmtId="0" fontId="5" fillId="0" borderId="0" xfId="0" applyFont="1"/>
    <xf numFmtId="168" fontId="0" fillId="0" borderId="3" xfId="3" applyNumberFormat="1" applyFont="1" applyAlignment="1">
      <alignment horizontal="right" vertical="center"/>
    </xf>
    <xf numFmtId="0" fontId="3" fillId="2" borderId="4" xfId="4"/>
    <xf numFmtId="0" fontId="2" fillId="3" borderId="1" xfId="5"/>
    <xf numFmtId="0" fontId="7" fillId="0" borderId="0" xfId="0" applyFont="1" applyAlignment="1">
      <alignment horizontal="left"/>
    </xf>
    <xf numFmtId="169" fontId="2" fillId="3" borderId="1" xfId="5" applyNumberFormat="1"/>
    <xf numFmtId="165" fontId="2" fillId="3" borderId="1" xfId="5" applyNumberFormat="1"/>
    <xf numFmtId="0" fontId="3" fillId="4" borderId="0" xfId="8" applyBorder="1"/>
    <xf numFmtId="170" fontId="0" fillId="0" borderId="0" xfId="0" applyNumberFormat="1"/>
    <xf numFmtId="170" fontId="0" fillId="0" borderId="3" xfId="9" applyNumberFormat="1" applyFont="1"/>
    <xf numFmtId="0" fontId="9" fillId="0" borderId="0" xfId="10" applyFont="1" applyAlignment="1">
      <alignment horizontal="left"/>
    </xf>
    <xf numFmtId="0" fontId="3" fillId="5" borderId="0" xfId="6" applyBorder="1"/>
    <xf numFmtId="0" fontId="8" fillId="4" borderId="0" xfId="8" applyFont="1" applyBorder="1"/>
    <xf numFmtId="171" fontId="0" fillId="0" borderId="0" xfId="11" applyNumberFormat="1" applyFont="1"/>
    <xf numFmtId="2" fontId="0" fillId="0" borderId="0" xfId="11" applyNumberFormat="1" applyFont="1"/>
    <xf numFmtId="0" fontId="0" fillId="0" borderId="0" xfId="11" applyNumberFormat="1" applyFont="1"/>
    <xf numFmtId="1" fontId="0" fillId="0" borderId="0" xfId="11" applyNumberFormat="1" applyFont="1"/>
    <xf numFmtId="172" fontId="0" fillId="0" borderId="0" xfId="11" applyNumberFormat="1" applyFont="1"/>
    <xf numFmtId="4" fontId="0" fillId="0" borderId="0" xfId="11" applyNumberFormat="1" applyFont="1"/>
    <xf numFmtId="167" fontId="0" fillId="0" borderId="0" xfId="11" applyNumberFormat="1" applyFont="1"/>
    <xf numFmtId="9" fontId="0" fillId="0" borderId="0" xfId="1" applyFont="1"/>
    <xf numFmtId="17" fontId="0" fillId="0" borderId="0" xfId="0" applyNumberFormat="1"/>
    <xf numFmtId="167" fontId="1" fillId="0" borderId="6" xfId="1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170" fontId="1" fillId="0" borderId="6" xfId="11" applyNumberFormat="1" applyFont="1" applyBorder="1" applyAlignment="1">
      <alignment horizontal="right"/>
    </xf>
    <xf numFmtId="0" fontId="12" fillId="0" borderId="0" xfId="0" applyFont="1"/>
    <xf numFmtId="0" fontId="3" fillId="6" borderId="4" xfId="4" applyFill="1"/>
    <xf numFmtId="17" fontId="0" fillId="3" borderId="7" xfId="5" applyNumberFormat="1" applyFont="1" applyBorder="1"/>
    <xf numFmtId="0" fontId="3" fillId="6" borderId="0" xfId="4" applyFill="1" applyBorder="1"/>
    <xf numFmtId="0" fontId="6" fillId="0" borderId="0" xfId="14" applyFont="1"/>
    <xf numFmtId="0" fontId="3" fillId="5" borderId="5" xfId="6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14"/>
    <xf numFmtId="170" fontId="2" fillId="3" borderId="1" xfId="5" applyNumberFormat="1" applyAlignment="1">
      <alignment horizontal="right"/>
    </xf>
    <xf numFmtId="170" fontId="1" fillId="0" borderId="8" xfId="14" applyNumberFormat="1" applyBorder="1" applyAlignment="1">
      <alignment horizontal="right" vertical="center"/>
    </xf>
    <xf numFmtId="10" fontId="2" fillId="3" borderId="1" xfId="5" applyNumberFormat="1" applyAlignment="1">
      <alignment horizontal="right"/>
    </xf>
    <xf numFmtId="167" fontId="2" fillId="3" borderId="1" xfId="5" applyNumberFormat="1" applyAlignment="1">
      <alignment horizontal="right"/>
    </xf>
    <xf numFmtId="170" fontId="0" fillId="0" borderId="3" xfId="9" applyNumberFormat="1" applyFont="1" applyAlignment="1">
      <alignment horizontal="right" vertical="center"/>
    </xf>
    <xf numFmtId="170" fontId="14" fillId="0" borderId="3" xfId="9" applyNumberFormat="1" applyFont="1"/>
    <xf numFmtId="0" fontId="14" fillId="0" borderId="0" xfId="0" applyFont="1"/>
    <xf numFmtId="167" fontId="14" fillId="0" borderId="0" xfId="11" applyNumberFormat="1" applyFont="1"/>
    <xf numFmtId="0" fontId="15" fillId="0" borderId="0" xfId="0" applyFont="1"/>
    <xf numFmtId="0" fontId="15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17" fillId="3" borderId="1" xfId="5" applyNumberFormat="1" applyFont="1" applyAlignment="1">
      <alignment horizontal="center"/>
    </xf>
    <xf numFmtId="175" fontId="3" fillId="2" borderId="4" xfId="4" applyNumberFormat="1"/>
    <xf numFmtId="170" fontId="0" fillId="0" borderId="0" xfId="1" applyNumberFormat="1" applyFont="1"/>
    <xf numFmtId="0" fontId="0" fillId="0" borderId="0" xfId="0" quotePrefix="1"/>
    <xf numFmtId="0" fontId="13" fillId="0" borderId="10" xfId="14" applyFont="1" applyBorder="1" applyAlignment="1">
      <alignment horizontal="center"/>
    </xf>
    <xf numFmtId="0" fontId="5" fillId="0" borderId="9" xfId="14" applyFont="1" applyBorder="1" applyAlignment="1">
      <alignment horizontal="right" vertical="center" textRotation="180"/>
    </xf>
  </cellXfs>
  <cellStyles count="15">
    <cellStyle name="Comma" xfId="11" builtinId="3"/>
    <cellStyle name="Comma 2" xfId="2" xr:uid="{B4922AEB-7BB5-424B-BE9C-5545EEF40504}"/>
    <cellStyle name="Days" xfId="13" xr:uid="{FCB3B794-F65C-48C0-90CD-92B8D67BC823}"/>
    <cellStyle name="Multiple1" xfId="12" xr:uid="{AF292E15-1098-4F4A-B7CA-23DA235E6313}"/>
    <cellStyle name="Normal" xfId="0" builtinId="0"/>
    <cellStyle name="Normal 2 2 2 2" xfId="10" xr:uid="{6D7D58CE-1255-452C-BA33-8488F0D8C6E6}"/>
    <cellStyle name="Normal 3" xfId="14" xr:uid="{AEF4850C-4DAC-4A34-A42A-F3A91A79837E}"/>
    <cellStyle name="Percent" xfId="1" builtinId="5"/>
    <cellStyle name="Plum 1 2" xfId="8" xr:uid="{E6F85D74-BA3F-4069-94BA-9236B7067F59}"/>
    <cellStyle name="Plum 2" xfId="4" xr:uid="{CEF4677F-FEC7-4F87-B6ED-9F66AC4F44AB}"/>
    <cellStyle name="Plum 3" xfId="6" xr:uid="{25515498-0903-49DC-9687-2E10C74F34C7}"/>
    <cellStyle name="Plum Formula" xfId="3" xr:uid="{DB9426D0-00BD-41E9-89B3-34817E4636FC}"/>
    <cellStyle name="Plum Formula 2 3" xfId="9" xr:uid="{85B6912F-5667-42EC-99F0-CA247DC19770}"/>
    <cellStyle name="Plum Formula 3" xfId="7" xr:uid="{412F55B7-36E4-4C47-A9BD-057C99124698}"/>
    <cellStyle name="Plum Input" xfId="5" xr:uid="{0E2B711B-B9C7-42D9-AEE6-E5B7D57A295A}"/>
  </cellStyles>
  <dxfs count="14">
    <dxf>
      <font>
        <color rgb="FFC00000"/>
      </font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numFmt numFmtId="170" formatCode="&quot;$&quot;#,##0"/>
    </dxf>
    <dxf>
      <numFmt numFmtId="22" formatCode="mmm\-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0A4BF"/>
      <color rgb="FF61195A"/>
      <color rgb="FF9065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Repay!$A$1</c:f>
          <c:strCache>
            <c:ptCount val="1"/>
            <c:pt idx="0">
              <c:v>Interest and Principal Payments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Repay!$B$10</c:f>
              <c:strCache>
                <c:ptCount val="1"/>
                <c:pt idx="0">
                  <c:v>Interest Only</c:v>
                </c:pt>
              </c:strCache>
            </c:strRef>
          </c:tx>
          <c:spPr>
            <a:solidFill>
              <a:srgbClr val="90658E"/>
            </a:solidFill>
            <a:ln>
              <a:noFill/>
            </a:ln>
            <a:effectLst/>
          </c:spPr>
          <c:invertIfNegative val="0"/>
          <c:cat>
            <c:numRef>
              <c:f>Repay!$C$8:$L$8</c:f>
              <c:numCache>
                <c:formatCode>"Y"0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Repay!$C$10:$L$10</c:f>
              <c:numCache>
                <c:formatCode>"$"#\ ##0;\("$"#\ ##0\)</c:formatCode>
                <c:ptCount val="10"/>
                <c:pt idx="0">
                  <c:v>75000</c:v>
                </c:pt>
                <c:pt idx="1">
                  <c:v>69698.555443040823</c:v>
                </c:pt>
                <c:pt idx="2">
                  <c:v>63999.502544309718</c:v>
                </c:pt>
                <c:pt idx="3">
                  <c:v>57873.020678173772</c:v>
                </c:pt>
                <c:pt idx="4">
                  <c:v>51287.052672077625</c:v>
                </c:pt>
                <c:pt idx="5">
                  <c:v>44207.137065524286</c:v>
                </c:pt>
                <c:pt idx="6">
                  <c:v>36596.227788479431</c:v>
                </c:pt>
                <c:pt idx="7">
                  <c:v>28414.500315656212</c:v>
                </c:pt>
                <c:pt idx="8">
                  <c:v>19619.143282371257</c:v>
                </c:pt>
                <c:pt idx="9">
                  <c:v>10164.134471589927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C32-B24A-9D20D722B5D1}"/>
            </c:ext>
          </c:extLst>
        </c:ser>
        <c:ser>
          <c:idx val="1"/>
          <c:order val="1"/>
          <c:tx>
            <c:strRef>
              <c:f>Repay!$B$11</c:f>
              <c:strCache>
                <c:ptCount val="1"/>
                <c:pt idx="0">
                  <c:v>Principal Only</c:v>
                </c:pt>
              </c:strCache>
            </c:strRef>
          </c:tx>
          <c:spPr>
            <a:solidFill>
              <a:srgbClr val="61195A"/>
            </a:solidFill>
            <a:ln>
              <a:noFill/>
            </a:ln>
            <a:effectLst/>
          </c:spPr>
          <c:invertIfNegative val="0"/>
          <c:cat>
            <c:numRef>
              <c:f>Repay!$C$8:$L$8</c:f>
              <c:numCache>
                <c:formatCode>"Y"0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Repay!$C$11:$L$11</c:f>
              <c:numCache>
                <c:formatCode>"$"#\ ##0;\("$"#\ ##0\)</c:formatCode>
                <c:ptCount val="10"/>
                <c:pt idx="0">
                  <c:v>70685.927426122318</c:v>
                </c:pt>
                <c:pt idx="1">
                  <c:v>75987.371983081481</c:v>
                </c:pt>
                <c:pt idx="2">
                  <c:v>81686.424881812593</c:v>
                </c:pt>
                <c:pt idx="3">
                  <c:v>87812.906747948538</c:v>
                </c:pt>
                <c:pt idx="4">
                  <c:v>94398.874754044678</c:v>
                </c:pt>
                <c:pt idx="5">
                  <c:v>101478.79036059802</c:v>
                </c:pt>
                <c:pt idx="6">
                  <c:v>109089.69963764287</c:v>
                </c:pt>
                <c:pt idx="7">
                  <c:v>117271.42711046609</c:v>
                </c:pt>
                <c:pt idx="8">
                  <c:v>126066.78414375107</c:v>
                </c:pt>
                <c:pt idx="9">
                  <c:v>135521.79295453237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2-4C32-B24A-9D20D722B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04762176"/>
        <c:axId val="204760512"/>
      </c:barChart>
      <c:catAx>
        <c:axId val="204762176"/>
        <c:scaling>
          <c:orientation val="minMax"/>
        </c:scaling>
        <c:delete val="0"/>
        <c:axPos val="b"/>
        <c:numFmt formatCode="&quot;Y&quot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760512"/>
        <c:crosses val="autoZero"/>
        <c:auto val="1"/>
        <c:lblAlgn val="ctr"/>
        <c:lblOffset val="100"/>
        <c:noMultiLvlLbl val="0"/>
      </c:catAx>
      <c:valAx>
        <c:axId val="2047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;\(&quot;$&quot;#\ 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Additional travel </a:t>
            </a:r>
            <a:r>
              <a:rPr lang="en-AU">
                <a:solidFill>
                  <a:srgbClr val="C00000"/>
                </a:solidFill>
              </a:rPr>
              <a:t>costs in April </a:t>
            </a:r>
            <a:r>
              <a:rPr lang="en-AU"/>
              <a:t>reduced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Anomalies!$K$1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Anomalies!$K$2:$K$13</c:f>
              <c:numCache>
                <c:formatCode>"$"#\ ##0</c:formatCode>
                <c:ptCount val="12"/>
                <c:pt idx="0">
                  <c:v>771120</c:v>
                </c:pt>
                <c:pt idx="1">
                  <c:v>326160.24</c:v>
                </c:pt>
                <c:pt idx="2">
                  <c:v>681840</c:v>
                </c:pt>
                <c:pt idx="3">
                  <c:v>827520</c:v>
                </c:pt>
                <c:pt idx="4">
                  <c:v>985440</c:v>
                </c:pt>
                <c:pt idx="5">
                  <c:v>967680.25399999996</c:v>
                </c:pt>
                <c:pt idx="6">
                  <c:v>1160640</c:v>
                </c:pt>
                <c:pt idx="7">
                  <c:v>823200</c:v>
                </c:pt>
                <c:pt idx="8">
                  <c:v>545040</c:v>
                </c:pt>
                <c:pt idx="9">
                  <c:v>743280.24699999997</c:v>
                </c:pt>
                <c:pt idx="10">
                  <c:v>360240</c:v>
                </c:pt>
                <c:pt idx="11">
                  <c:v>924240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Anomalies!$I$2:$I$13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B20-4828-BDBC-543562FB6AF3}"/>
            </c:ext>
          </c:extLst>
        </c:ser>
        <c:ser>
          <c:idx val="2"/>
          <c:order val="1"/>
          <c:tx>
            <c:strRef>
              <c:f>Anomalies!$L$1</c:f>
              <c:strCache>
                <c:ptCount val="1"/>
                <c:pt idx="0">
                  <c:v>Costs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Anomalies!$L$2:$L$13</c:f>
              <c:numCache>
                <c:formatCode>"$"#\ ##0</c:formatCode>
                <c:ptCount val="12"/>
                <c:pt idx="0">
                  <c:v>560598.24</c:v>
                </c:pt>
                <c:pt idx="1">
                  <c:v>276148.00000000006</c:v>
                </c:pt>
                <c:pt idx="2">
                  <c:v>611838.25470000005</c:v>
                </c:pt>
                <c:pt idx="3">
                  <c:v>1089303</c:v>
                </c:pt>
                <c:pt idx="4">
                  <c:v>825279.99999999965</c:v>
                </c:pt>
                <c:pt idx="5">
                  <c:v>822998.25</c:v>
                </c:pt>
                <c:pt idx="6">
                  <c:v>956177</c:v>
                </c:pt>
                <c:pt idx="7">
                  <c:v>740213.99999999965</c:v>
                </c:pt>
                <c:pt idx="8">
                  <c:v>485817.99999999983</c:v>
                </c:pt>
                <c:pt idx="9">
                  <c:v>636765.99999999965</c:v>
                </c:pt>
                <c:pt idx="10">
                  <c:v>337365.54784999997</c:v>
                </c:pt>
                <c:pt idx="11">
                  <c:v>870070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Anomalies!$I$2:$I$13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B20-4828-BDBC-543562FB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622208"/>
        <c:axId val="1434627968"/>
      </c:barChart>
      <c:lineChart>
        <c:grouping val="standard"/>
        <c:varyColors val="0"/>
        <c:ser>
          <c:idx val="4"/>
          <c:order val="2"/>
          <c:tx>
            <c:strRef>
              <c:f>Anomalies!$N$1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Anomalies!$N$2:$N$13</c:f>
              <c:numCache>
                <c:formatCode>0%</c:formatCode>
                <c:ptCount val="12"/>
                <c:pt idx="0">
                  <c:v>0.27300778089013383</c:v>
                </c:pt>
                <c:pt idx="1">
                  <c:v>0.15333640912209268</c:v>
                </c:pt>
                <c:pt idx="2">
                  <c:v>0.10266594112988377</c:v>
                </c:pt>
                <c:pt idx="3">
                  <c:v>-0.31634643271461715</c:v>
                </c:pt>
                <c:pt idx="4">
                  <c:v>0.162526384153272</c:v>
                </c:pt>
                <c:pt idx="5">
                  <c:v>0.1495142671372521</c:v>
                </c:pt>
                <c:pt idx="6">
                  <c:v>0.17616401295836781</c:v>
                </c:pt>
                <c:pt idx="7">
                  <c:v>0.10080903790087506</c:v>
                </c:pt>
                <c:pt idx="8">
                  <c:v>0.108656245413181</c:v>
                </c:pt>
                <c:pt idx="9">
                  <c:v>0.14330294317642525</c:v>
                </c:pt>
                <c:pt idx="10">
                  <c:v>6.3497812985787327E-2</c:v>
                </c:pt>
                <c:pt idx="11">
                  <c:v>5.8610317666406994E-2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Anomalies!$I$2:$I$13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1B20-4828-BDBC-543562FB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623648"/>
        <c:axId val="1434613568"/>
      </c:lineChart>
      <c:catAx>
        <c:axId val="14346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627968"/>
        <c:crosses val="autoZero"/>
        <c:auto val="1"/>
        <c:lblAlgn val="ctr"/>
        <c:lblOffset val="100"/>
        <c:noMultiLvlLbl val="0"/>
      </c:catAx>
      <c:valAx>
        <c:axId val="14346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622208"/>
        <c:crosses val="autoZero"/>
        <c:crossBetween val="between"/>
      </c:valAx>
      <c:valAx>
        <c:axId val="143461356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623648"/>
        <c:crosses val="max"/>
        <c:crossBetween val="between"/>
      </c:valAx>
      <c:catAx>
        <c:axId val="1434623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4613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131969</xdr:colOff>
      <xdr:row>13</xdr:row>
      <xdr:rowOff>95747</xdr:rowOff>
    </xdr:from>
    <xdr:to>
      <xdr:col>9</xdr:col>
      <xdr:colOff>551962</xdr:colOff>
      <xdr:row>27</xdr:row>
      <xdr:rowOff>134482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A9436-D4F3-4BD3-A9E7-85DE3D063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</xdr:row>
      <xdr:rowOff>34925</xdr:rowOff>
    </xdr:from>
    <xdr:to>
      <xdr:col>23</xdr:col>
      <xdr:colOff>107950</xdr:colOff>
      <xdr:row>15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D6150-F11E-B972-09D2-F015406F4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4</xdr:row>
      <xdr:rowOff>70485</xdr:rowOff>
    </xdr:to>
    <xdr:pic>
      <xdr:nvPicPr>
        <xdr:cNvPr id="2" name="Picture 2" descr="logo-01-hi.jpg">
          <a:extLst>
            <a:ext uri="{FF2B5EF4-FFF2-40B4-BE49-F238E27FC236}">
              <a16:creationId xmlns:a16="http://schemas.microsoft.com/office/drawing/2014/main" id="{1BBE1E77-BAFC-4E48-8FB1-77723C284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0"/>
          <a:ext cx="0" cy="854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19D61D-5DDC-4102-8091-8C7E58AD1D42}" name="Sales" displayName="Sales" ref="A1:D19" totalsRowShown="0">
  <tableColumns count="4">
    <tableColumn id="1" xr3:uid="{D3EFF405-4977-435C-88B7-3ECC5DD05108}" name="Date" dataDxfId="3"/>
    <tableColumn id="2" xr3:uid="{57E5091F-3D53-4BAE-A342-F13023BFD2A0}" name="Sales" dataDxfId="2"/>
    <tableColumn id="3" xr3:uid="{620D0F68-E97C-4C30-934A-BACCEBDC9E62}" name="Customer"/>
    <tableColumn id="4" xr3:uid="{2392A97F-A8AF-4E93-B4F9-E590533FEDDE}" name="SalesR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D939-E8E0-4D65-B56C-882BBA470580}">
  <sheetPr>
    <pageSetUpPr fitToPage="1"/>
  </sheetPr>
  <dimension ref="A1:L43"/>
  <sheetViews>
    <sheetView showGridLines="0" zoomScaleNormal="100" workbookViewId="0">
      <selection activeCell="G4" sqref="G4"/>
    </sheetView>
  </sheetViews>
  <sheetFormatPr defaultColWidth="8.875" defaultRowHeight="14.25" outlineLevelRow="1"/>
  <cols>
    <col min="2" max="2" width="19.875" customWidth="1"/>
    <col min="3" max="3" width="11.125" customWidth="1"/>
    <col min="4" max="12" width="10.125" customWidth="1"/>
  </cols>
  <sheetData>
    <row r="1" spans="1:12" ht="15">
      <c r="A1" s="11" t="s">
        <v>77</v>
      </c>
      <c r="B1" s="11"/>
      <c r="C1" s="11"/>
      <c r="D1" s="11"/>
      <c r="E1" s="11"/>
    </row>
    <row r="2" spans="1:12" ht="15">
      <c r="A2" s="16" t="s">
        <v>12</v>
      </c>
      <c r="B2" s="11"/>
      <c r="C2" s="11"/>
      <c r="D2" s="11"/>
      <c r="E2" s="11"/>
    </row>
    <row r="4" spans="1:12">
      <c r="B4" t="s">
        <v>11</v>
      </c>
      <c r="C4" s="10">
        <v>1000000</v>
      </c>
    </row>
    <row r="5" spans="1:12">
      <c r="B5" t="s">
        <v>10</v>
      </c>
      <c r="C5" s="9">
        <v>7.4999999999999997E-2</v>
      </c>
      <c r="E5" s="8"/>
    </row>
    <row r="6" spans="1:12">
      <c r="B6" t="s">
        <v>9</v>
      </c>
      <c r="C6" s="7">
        <v>10</v>
      </c>
    </row>
    <row r="7" spans="1:12">
      <c r="C7" s="29" cm="1">
        <f t="array" ref="C7:L7">_xlfn.SEQUENCE(,C6,1,0)</f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</row>
    <row r="8" spans="1:12" ht="15">
      <c r="A8" s="6" t="s">
        <v>8</v>
      </c>
      <c r="B8" s="6" t="s">
        <v>7</v>
      </c>
      <c r="C8" s="51" cm="1">
        <f t="array" ref="C8:L8">_xlfn.SEQUENCE(,C6)</f>
        <v>1</v>
      </c>
      <c r="D8" s="51">
        <v>2</v>
      </c>
      <c r="E8" s="51">
        <v>3</v>
      </c>
      <c r="F8" s="51">
        <v>4</v>
      </c>
      <c r="G8" s="51">
        <v>5</v>
      </c>
      <c r="H8" s="51">
        <v>6</v>
      </c>
      <c r="I8" s="51">
        <v>7</v>
      </c>
      <c r="J8" s="51">
        <v>8</v>
      </c>
      <c r="K8" s="51">
        <v>9</v>
      </c>
      <c r="L8" s="51">
        <v>10</v>
      </c>
    </row>
    <row r="9" spans="1:12" ht="15">
      <c r="A9" t="s">
        <v>6</v>
      </c>
      <c r="B9" s="4" t="s">
        <v>0</v>
      </c>
      <c r="C9" s="5" cm="1">
        <f t="array" ref="C9:L9">PMT($C$5,$C$6,$C$4)*-_xlfn.ANCHORARRAY(C7)</f>
        <v>145685.9274261223</v>
      </c>
      <c r="D9" s="5">
        <v>145685.9274261223</v>
      </c>
      <c r="E9" s="5">
        <v>145685.9274261223</v>
      </c>
      <c r="F9" s="5">
        <v>145685.9274261223</v>
      </c>
      <c r="G9" s="5">
        <v>145685.9274261223</v>
      </c>
      <c r="H9" s="5">
        <v>145685.9274261223</v>
      </c>
      <c r="I9" s="5">
        <v>145685.9274261223</v>
      </c>
      <c r="J9" s="5">
        <v>145685.9274261223</v>
      </c>
      <c r="K9" s="5">
        <v>145685.9274261223</v>
      </c>
      <c r="L9" s="5">
        <v>145685.9274261223</v>
      </c>
    </row>
    <row r="10" spans="1:12" ht="15">
      <c r="A10" t="s">
        <v>5</v>
      </c>
      <c r="B10" s="4" t="s">
        <v>4</v>
      </c>
      <c r="C10" s="5" cm="1">
        <f t="array" ref="C10:L10">IPMT($C$5,_xlfn.ANCHORARRAY(C8),$C$6,$C$4)*-_xlfn.ANCHORARRAY(C7)</f>
        <v>75000</v>
      </c>
      <c r="D10" s="5">
        <v>69698.555443040823</v>
      </c>
      <c r="E10" s="5">
        <v>63999.502544309718</v>
      </c>
      <c r="F10" s="5">
        <v>57873.020678173772</v>
      </c>
      <c r="G10" s="5">
        <v>51287.052672077625</v>
      </c>
      <c r="H10" s="5">
        <v>44207.137065524286</v>
      </c>
      <c r="I10" s="5">
        <v>36596.227788479431</v>
      </c>
      <c r="J10" s="5">
        <v>28414.500315656212</v>
      </c>
      <c r="K10" s="5">
        <v>19619.143282371257</v>
      </c>
      <c r="L10" s="5">
        <v>10164.134471589927</v>
      </c>
    </row>
    <row r="11" spans="1:12" ht="15">
      <c r="A11" t="s">
        <v>3</v>
      </c>
      <c r="B11" s="4" t="s">
        <v>2</v>
      </c>
      <c r="C11" s="5" cm="1">
        <f t="array" ref="C11:L11">PPMT($C$5,_xlfn.ANCHORARRAY(C8),$C$6,$C$4)*-_xlfn.ANCHORARRAY(C7)</f>
        <v>70685.927426122318</v>
      </c>
      <c r="D11" s="5">
        <v>75987.371983081481</v>
      </c>
      <c r="E11" s="5">
        <v>81686.424881812593</v>
      </c>
      <c r="F11" s="5">
        <v>87812.906747948538</v>
      </c>
      <c r="G11" s="5">
        <v>94398.874754044678</v>
      </c>
      <c r="H11" s="5">
        <v>101478.79036059802</v>
      </c>
      <c r="I11" s="5">
        <v>109089.69963764287</v>
      </c>
      <c r="J11" s="5">
        <v>117271.42711046609</v>
      </c>
      <c r="K11" s="5">
        <v>126066.78414375107</v>
      </c>
      <c r="L11" s="5">
        <v>135521.79295453237</v>
      </c>
    </row>
    <row r="12" spans="1:12" ht="15">
      <c r="A12" t="s">
        <v>1</v>
      </c>
      <c r="B12" s="4" t="s">
        <v>0</v>
      </c>
      <c r="C12" s="3" cm="1">
        <f t="array" ref="C12:L12">_xlfn.ANCHORARRAY(C10)+_xlfn.ANCHORARRAY(C11)</f>
        <v>145685.9274261223</v>
      </c>
      <c r="D12" s="3">
        <v>145685.9274261223</v>
      </c>
      <c r="E12" s="3">
        <v>145685.9274261223</v>
      </c>
      <c r="F12" s="3">
        <v>145685.9274261223</v>
      </c>
      <c r="G12" s="3">
        <v>145685.9274261223</v>
      </c>
      <c r="H12" s="3">
        <v>145685.9274261223</v>
      </c>
      <c r="I12" s="3">
        <v>145685.9274261223</v>
      </c>
      <c r="J12" s="3">
        <v>145685.9274261223</v>
      </c>
      <c r="K12" s="3">
        <v>145685.92742612233</v>
      </c>
      <c r="L12" s="3">
        <v>145685.9274261223</v>
      </c>
    </row>
    <row r="13" spans="1:12">
      <c r="C13" s="2"/>
      <c r="D13" s="2"/>
      <c r="E13" s="2"/>
      <c r="F13" s="2"/>
      <c r="G13" s="2"/>
      <c r="H13" s="2"/>
      <c r="I13" s="2"/>
      <c r="J13" s="2"/>
      <c r="K13" s="2"/>
      <c r="L13" s="2"/>
    </row>
    <row r="31" spans="1:5" ht="15" hidden="1" outlineLevel="1">
      <c r="A31" s="1" t="s">
        <v>76</v>
      </c>
      <c r="B31" s="1"/>
      <c r="C31" s="1"/>
      <c r="D31" s="1"/>
      <c r="E31" s="1"/>
    </row>
    <row r="32" spans="1:5" ht="15" hidden="1" outlineLevel="1">
      <c r="A32" s="16" t="s">
        <v>12</v>
      </c>
      <c r="B32" s="1"/>
      <c r="C32" s="1"/>
      <c r="D32" s="1"/>
      <c r="E32" s="1"/>
    </row>
    <row r="33" spans="1:12" hidden="1" outlineLevel="1"/>
    <row r="34" spans="1:12" hidden="1" outlineLevel="1">
      <c r="B34" t="s">
        <v>11</v>
      </c>
      <c r="C34" s="10">
        <v>1000000</v>
      </c>
    </row>
    <row r="35" spans="1:12" hidden="1" outlineLevel="1">
      <c r="B35" t="s">
        <v>10</v>
      </c>
      <c r="C35" s="9">
        <v>7.4999999999999997E-2</v>
      </c>
      <c r="E35" s="8"/>
    </row>
    <row r="36" spans="1:12" hidden="1" outlineLevel="1">
      <c r="B36" t="s">
        <v>9</v>
      </c>
      <c r="C36" s="7">
        <v>10</v>
      </c>
    </row>
    <row r="37" spans="1:12" hidden="1" outlineLevel="1">
      <c r="C37" s="29" cm="1">
        <f t="array" ref="C37:L37">_xlfn.SEQUENCE(,C36,1,0)</f>
        <v>1</v>
      </c>
      <c r="D37" s="29">
        <v>1</v>
      </c>
      <c r="E37" s="29">
        <v>1</v>
      </c>
      <c r="F37" s="29">
        <v>1</v>
      </c>
      <c r="G37" s="29">
        <v>1</v>
      </c>
      <c r="H37" s="29">
        <v>1</v>
      </c>
      <c r="I37" s="29">
        <v>1</v>
      </c>
      <c r="J37" s="29">
        <v>1</v>
      </c>
      <c r="K37" s="29">
        <v>1</v>
      </c>
      <c r="L37" s="29">
        <v>1</v>
      </c>
    </row>
    <row r="38" spans="1:12" ht="15" hidden="1" outlineLevel="1">
      <c r="A38" s="6" t="s">
        <v>8</v>
      </c>
      <c r="B38" s="6" t="s">
        <v>7</v>
      </c>
      <c r="C38" s="51" cm="1">
        <f t="array" ref="C38:L38">_xlfn.SEQUENCE(,C36)</f>
        <v>1</v>
      </c>
      <c r="D38" s="51">
        <v>2</v>
      </c>
      <c r="E38" s="51">
        <v>3</v>
      </c>
      <c r="F38" s="51">
        <v>4</v>
      </c>
      <c r="G38" s="51">
        <v>5</v>
      </c>
      <c r="H38" s="51">
        <v>6</v>
      </c>
      <c r="I38" s="51">
        <v>7</v>
      </c>
      <c r="J38" s="51">
        <v>8</v>
      </c>
      <c r="K38" s="51">
        <v>9</v>
      </c>
      <c r="L38" s="51">
        <v>10</v>
      </c>
    </row>
    <row r="39" spans="1:12" ht="15" hidden="1" outlineLevel="1">
      <c r="A39" t="s">
        <v>6</v>
      </c>
      <c r="B39" s="4" t="s">
        <v>0</v>
      </c>
      <c r="C39" s="5" cm="1">
        <f t="array" ref="C39:L39">PMT($C$35,$C$36,$C$34)*-_xlfn.ANCHORARRAY(C37)</f>
        <v>145685.9274261223</v>
      </c>
      <c r="D39" s="5">
        <v>145685.9274261223</v>
      </c>
      <c r="E39" s="5">
        <v>145685.9274261223</v>
      </c>
      <c r="F39" s="5">
        <v>145685.9274261223</v>
      </c>
      <c r="G39" s="5">
        <v>145685.9274261223</v>
      </c>
      <c r="H39" s="5">
        <v>145685.9274261223</v>
      </c>
      <c r="I39" s="5">
        <v>145685.9274261223</v>
      </c>
      <c r="J39" s="5">
        <v>145685.9274261223</v>
      </c>
      <c r="K39" s="5">
        <v>145685.9274261223</v>
      </c>
      <c r="L39" s="5">
        <v>145685.9274261223</v>
      </c>
    </row>
    <row r="40" spans="1:12" ht="15" hidden="1" outlineLevel="1">
      <c r="A40" t="s">
        <v>5</v>
      </c>
      <c r="B40" s="4" t="s">
        <v>4</v>
      </c>
      <c r="C40" s="5" cm="1">
        <f t="array" ref="C40:L40">IPMT($C$35,_xlfn.ANCHORARRAY(C38),$C$36,$C$34)*-_xlfn.ANCHORARRAY(C37)</f>
        <v>75000</v>
      </c>
      <c r="D40" s="5">
        <v>69698.555443040823</v>
      </c>
      <c r="E40" s="5">
        <v>63999.502544309718</v>
      </c>
      <c r="F40" s="5">
        <v>57873.020678173772</v>
      </c>
      <c r="G40" s="5">
        <v>51287.052672077625</v>
      </c>
      <c r="H40" s="5">
        <v>44207.137065524286</v>
      </c>
      <c r="I40" s="5">
        <v>36596.227788479431</v>
      </c>
      <c r="J40" s="5">
        <v>28414.500315656212</v>
      </c>
      <c r="K40" s="5">
        <v>19619.143282371257</v>
      </c>
      <c r="L40" s="5">
        <v>10164.134471589927</v>
      </c>
    </row>
    <row r="41" spans="1:12" ht="15" hidden="1" outlineLevel="1">
      <c r="A41" t="s">
        <v>3</v>
      </c>
      <c r="B41" s="4" t="s">
        <v>2</v>
      </c>
      <c r="C41" s="5" cm="1">
        <f t="array" ref="C41:L41">PPMT($C$35,_xlfn.ANCHORARRAY(C38),$C$36,$C$34)*-_xlfn.ANCHORARRAY(C37)</f>
        <v>70685.927426122318</v>
      </c>
      <c r="D41" s="5">
        <v>75987.371983081481</v>
      </c>
      <c r="E41" s="5">
        <v>81686.424881812593</v>
      </c>
      <c r="F41" s="5">
        <v>87812.906747948538</v>
      </c>
      <c r="G41" s="5">
        <v>94398.874754044678</v>
      </c>
      <c r="H41" s="5">
        <v>101478.79036059802</v>
      </c>
      <c r="I41" s="5">
        <v>109089.69963764287</v>
      </c>
      <c r="J41" s="5">
        <v>117271.42711046609</v>
      </c>
      <c r="K41" s="5">
        <v>126066.78414375107</v>
      </c>
      <c r="L41" s="5">
        <v>135521.79295453237</v>
      </c>
    </row>
    <row r="42" spans="1:12" ht="15" hidden="1" outlineLevel="1">
      <c r="A42" t="s">
        <v>1</v>
      </c>
      <c r="B42" s="4" t="s">
        <v>0</v>
      </c>
      <c r="C42" s="3" cm="1">
        <f t="array" ref="C42:L42">_xlfn.ANCHORARRAY(C40)+_xlfn.ANCHORARRAY(C41)</f>
        <v>145685.9274261223</v>
      </c>
      <c r="D42" s="3">
        <v>145685.9274261223</v>
      </c>
      <c r="E42" s="3">
        <v>145685.9274261223</v>
      </c>
      <c r="F42" s="3">
        <v>145685.9274261223</v>
      </c>
      <c r="G42" s="3">
        <v>145685.9274261223</v>
      </c>
      <c r="H42" s="3">
        <v>145685.9274261223</v>
      </c>
      <c r="I42" s="3">
        <v>145685.9274261223</v>
      </c>
      <c r="J42" s="3">
        <v>145685.9274261223</v>
      </c>
      <c r="K42" s="3">
        <v>145685.92742612233</v>
      </c>
      <c r="L42" s="3">
        <v>145685.9274261223</v>
      </c>
    </row>
    <row r="43" spans="1:12" collapsed="1"/>
  </sheetData>
  <conditionalFormatting sqref="C40:L40">
    <cfRule type="colorScale" priority="2">
      <colorScale>
        <cfvo type="min"/>
        <cfvo type="max"/>
        <color rgb="FFFCFCFF"/>
        <color rgb="FFC0A4BF"/>
      </colorScale>
    </cfRule>
  </conditionalFormatting>
  <conditionalFormatting sqref="C41:L41">
    <cfRule type="colorScale" priority="1">
      <colorScale>
        <cfvo type="min"/>
        <cfvo type="max"/>
        <color rgb="FFFCFCFF"/>
        <color rgb="FFC0A4BF"/>
      </colorScale>
    </cfRule>
  </conditionalFormatting>
  <pageMargins left="0.7" right="0.7" top="0.75" bottom="0.75" header="0.3" footer="0.3"/>
  <pageSetup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9AF4-B047-49EC-ABC7-599B14FB61A0}">
  <dimension ref="A1:X13"/>
  <sheetViews>
    <sheetView showGridLines="0" tabSelected="1" topLeftCell="L1" workbookViewId="0">
      <selection activeCell="D4" sqref="D4"/>
    </sheetView>
  </sheetViews>
  <sheetFormatPr defaultColWidth="8.875" defaultRowHeight="14.25" outlineLevelCol="1"/>
  <cols>
    <col min="1" max="8" width="12.625" customWidth="1"/>
    <col min="9" max="14" width="12.625" customWidth="1" outlineLevel="1"/>
    <col min="15" max="24" width="9.125" customWidth="1" outlineLevel="1"/>
    <col min="25" max="25" width="9.125"/>
  </cols>
  <sheetData>
    <row r="1" spans="1:14" ht="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t="s">
        <v>31</v>
      </c>
      <c r="B2" s="17">
        <v>3213</v>
      </c>
      <c r="C2" s="18">
        <v>771120</v>
      </c>
      <c r="D2" s="17">
        <v>560598.24</v>
      </c>
      <c r="E2" s="18">
        <f>C2-D2</f>
        <v>210521.76</v>
      </c>
      <c r="F2" s="19">
        <f>E2/C2</f>
        <v>0.27300778089013383</v>
      </c>
      <c r="G2" s="19"/>
      <c r="H2" s="19"/>
      <c r="I2" t="s">
        <v>31</v>
      </c>
      <c r="J2" s="23">
        <v>3213</v>
      </c>
      <c r="K2" s="52">
        <v>771120</v>
      </c>
      <c r="L2" s="52">
        <v>560598.24</v>
      </c>
      <c r="M2" s="52">
        <f>K2-L2</f>
        <v>210521.76</v>
      </c>
      <c r="N2" s="24">
        <f>M2/K2</f>
        <v>0.27300778089013383</v>
      </c>
    </row>
    <row r="3" spans="1:14">
      <c r="A3" t="s">
        <v>32</v>
      </c>
      <c r="B3" s="18">
        <v>1359</v>
      </c>
      <c r="C3" s="17">
        <v>326160.24</v>
      </c>
      <c r="D3" s="17">
        <v>276148.00000000006</v>
      </c>
      <c r="E3" s="17">
        <f t="shared" ref="E3:E13" si="0">C3-D3</f>
        <v>50012.239999999932</v>
      </c>
      <c r="F3">
        <f t="shared" ref="F3:F13" si="1">E3/C3</f>
        <v>0.15333640912209268</v>
      </c>
      <c r="I3" t="s">
        <v>32</v>
      </c>
      <c r="J3" s="23">
        <v>1359</v>
      </c>
      <c r="K3" s="52">
        <v>326160.24</v>
      </c>
      <c r="L3" s="52">
        <v>276148.00000000006</v>
      </c>
      <c r="M3" s="52">
        <f t="shared" ref="M3:M13" si="2">K3-L3</f>
        <v>50012.239999999932</v>
      </c>
      <c r="N3" s="24">
        <f t="shared" ref="N3:N13" si="3">M3/K3</f>
        <v>0.15333640912209268</v>
      </c>
    </row>
    <row r="4" spans="1:14">
      <c r="A4" t="s">
        <v>33</v>
      </c>
      <c r="B4" s="17">
        <v>2841.2539999999999</v>
      </c>
      <c r="C4" s="20">
        <v>681840</v>
      </c>
      <c r="D4" s="17">
        <v>611838.25470000005</v>
      </c>
      <c r="E4" s="17">
        <f t="shared" si="0"/>
        <v>70001.745299999951</v>
      </c>
      <c r="F4">
        <f t="shared" si="1"/>
        <v>0.10266594112988377</v>
      </c>
      <c r="I4" t="s">
        <v>33</v>
      </c>
      <c r="J4" s="23">
        <v>2841.2539999999999</v>
      </c>
      <c r="K4" s="52">
        <v>681840</v>
      </c>
      <c r="L4" s="52">
        <v>611838.25470000005</v>
      </c>
      <c r="M4" s="52">
        <f t="shared" si="2"/>
        <v>70001.745299999951</v>
      </c>
      <c r="N4" s="24">
        <f t="shared" si="3"/>
        <v>0.10266594112988377</v>
      </c>
    </row>
    <row r="5" spans="1:14">
      <c r="A5" t="s">
        <v>34</v>
      </c>
      <c r="B5" s="17">
        <v>3448.4</v>
      </c>
      <c r="C5" s="17">
        <v>827520</v>
      </c>
      <c r="D5" s="17">
        <v>1089303</v>
      </c>
      <c r="E5" s="17">
        <f t="shared" si="0"/>
        <v>-261783</v>
      </c>
      <c r="F5">
        <f t="shared" si="1"/>
        <v>-0.31634643271461715</v>
      </c>
      <c r="I5" t="s">
        <v>34</v>
      </c>
      <c r="J5" s="23">
        <v>3448.4</v>
      </c>
      <c r="K5" s="52">
        <v>827520</v>
      </c>
      <c r="L5" s="52">
        <v>1089303</v>
      </c>
      <c r="M5" s="52">
        <f t="shared" si="2"/>
        <v>-261783</v>
      </c>
      <c r="N5" s="24">
        <f t="shared" si="3"/>
        <v>-0.31634643271461715</v>
      </c>
    </row>
    <row r="6" spans="1:14">
      <c r="A6" t="s">
        <v>30</v>
      </c>
      <c r="B6" s="17">
        <v>4106</v>
      </c>
      <c r="C6" s="17">
        <v>985440</v>
      </c>
      <c r="D6" s="18">
        <v>825279.99999999965</v>
      </c>
      <c r="E6" s="17">
        <f t="shared" si="0"/>
        <v>160160.00000000035</v>
      </c>
      <c r="F6">
        <f t="shared" si="1"/>
        <v>0.162526384153272</v>
      </c>
      <c r="I6" t="s">
        <v>30</v>
      </c>
      <c r="J6" s="23">
        <v>4106</v>
      </c>
      <c r="K6" s="52">
        <v>985440</v>
      </c>
      <c r="L6" s="52">
        <v>825279.99999999965</v>
      </c>
      <c r="M6" s="52">
        <f t="shared" si="2"/>
        <v>160160.00000000035</v>
      </c>
      <c r="N6" s="24">
        <f t="shared" si="3"/>
        <v>0.162526384153272</v>
      </c>
    </row>
    <row r="7" spans="1:14">
      <c r="A7" t="s">
        <v>35</v>
      </c>
      <c r="B7" s="17">
        <v>4032</v>
      </c>
      <c r="C7" s="17">
        <v>967680.25399999996</v>
      </c>
      <c r="D7" s="17">
        <v>822998.25</v>
      </c>
      <c r="E7" s="17">
        <f t="shared" si="0"/>
        <v>144682.00399999996</v>
      </c>
      <c r="F7" s="18">
        <f t="shared" si="1"/>
        <v>0.1495142671372521</v>
      </c>
      <c r="G7" s="18"/>
      <c r="H7" s="18"/>
      <c r="I7" t="s">
        <v>35</v>
      </c>
      <c r="J7" s="23">
        <v>4032</v>
      </c>
      <c r="K7" s="52">
        <v>967680.25399999996</v>
      </c>
      <c r="L7" s="52">
        <v>822998.25</v>
      </c>
      <c r="M7" s="52">
        <f t="shared" si="2"/>
        <v>144682.00399999996</v>
      </c>
      <c r="N7" s="24">
        <f t="shared" si="3"/>
        <v>0.1495142671372521</v>
      </c>
    </row>
    <row r="8" spans="1:14">
      <c r="A8" t="s">
        <v>36</v>
      </c>
      <c r="B8" s="17">
        <v>4836</v>
      </c>
      <c r="C8" s="17">
        <v>1160640</v>
      </c>
      <c r="D8" s="20">
        <v>956177</v>
      </c>
      <c r="E8" s="17">
        <f t="shared" si="0"/>
        <v>204463</v>
      </c>
      <c r="F8">
        <f t="shared" si="1"/>
        <v>0.17616401295836781</v>
      </c>
      <c r="I8" t="s">
        <v>36</v>
      </c>
      <c r="J8" s="23">
        <v>4836</v>
      </c>
      <c r="K8" s="52">
        <v>1160640</v>
      </c>
      <c r="L8" s="52">
        <v>956177</v>
      </c>
      <c r="M8" s="52">
        <f t="shared" si="2"/>
        <v>204463</v>
      </c>
      <c r="N8" s="24">
        <f t="shared" si="3"/>
        <v>0.17616401295836781</v>
      </c>
    </row>
    <row r="9" spans="1:14">
      <c r="A9" t="s">
        <v>37</v>
      </c>
      <c r="B9" s="17">
        <v>3430</v>
      </c>
      <c r="C9" s="18">
        <v>823200</v>
      </c>
      <c r="D9" s="17">
        <v>740213.99999999965</v>
      </c>
      <c r="E9" s="17">
        <f t="shared" si="0"/>
        <v>82986.000000000349</v>
      </c>
      <c r="F9">
        <f t="shared" si="1"/>
        <v>0.10080903790087506</v>
      </c>
      <c r="I9" t="s">
        <v>37</v>
      </c>
      <c r="J9" s="23">
        <v>3430</v>
      </c>
      <c r="K9" s="52">
        <v>823200</v>
      </c>
      <c r="L9" s="52">
        <v>740213.99999999965</v>
      </c>
      <c r="M9" s="52">
        <f t="shared" si="2"/>
        <v>82986.000000000349</v>
      </c>
      <c r="N9" s="24">
        <f t="shared" si="3"/>
        <v>0.10080903790087506</v>
      </c>
    </row>
    <row r="10" spans="1:14">
      <c r="A10" t="s">
        <v>38</v>
      </c>
      <c r="B10" s="21">
        <v>2271</v>
      </c>
      <c r="C10" s="17">
        <v>545040</v>
      </c>
      <c r="D10" s="17">
        <v>485817.99999999983</v>
      </c>
      <c r="E10" s="17">
        <f t="shared" si="0"/>
        <v>59222.000000000175</v>
      </c>
      <c r="F10">
        <f t="shared" si="1"/>
        <v>0.108656245413181</v>
      </c>
      <c r="I10" t="s">
        <v>38</v>
      </c>
      <c r="J10" s="23">
        <v>2271</v>
      </c>
      <c r="K10" s="52">
        <v>545040</v>
      </c>
      <c r="L10" s="52">
        <v>485817.99999999983</v>
      </c>
      <c r="M10" s="52">
        <f t="shared" si="2"/>
        <v>59222.000000000175</v>
      </c>
      <c r="N10" s="24">
        <f t="shared" si="3"/>
        <v>0.108656245413181</v>
      </c>
    </row>
    <row r="11" spans="1:14">
      <c r="A11" t="s">
        <v>39</v>
      </c>
      <c r="B11" s="17">
        <v>3097</v>
      </c>
      <c r="C11" s="17">
        <v>743280.24699999997</v>
      </c>
      <c r="D11" s="17">
        <v>636765.99999999965</v>
      </c>
      <c r="E11" s="17">
        <f t="shared" si="0"/>
        <v>106514.24700000032</v>
      </c>
      <c r="F11">
        <f t="shared" si="1"/>
        <v>0.14330294317642525</v>
      </c>
      <c r="I11" t="s">
        <v>39</v>
      </c>
      <c r="J11" s="23">
        <v>3097</v>
      </c>
      <c r="K11" s="52">
        <v>743280.24699999997</v>
      </c>
      <c r="L11" s="52">
        <v>636765.99999999965</v>
      </c>
      <c r="M11" s="52">
        <f t="shared" si="2"/>
        <v>106514.24700000032</v>
      </c>
      <c r="N11" s="24">
        <f t="shared" si="3"/>
        <v>0.14330294317642525</v>
      </c>
    </row>
    <row r="12" spans="1:14">
      <c r="A12" t="s">
        <v>40</v>
      </c>
      <c r="B12" s="17">
        <v>1501.2539999999999</v>
      </c>
      <c r="C12" s="17">
        <v>360240</v>
      </c>
      <c r="D12" s="18">
        <v>337365.54784999997</v>
      </c>
      <c r="E12" s="17">
        <f t="shared" si="0"/>
        <v>22874.452150000026</v>
      </c>
      <c r="F12">
        <f t="shared" si="1"/>
        <v>6.3497812985787327E-2</v>
      </c>
      <c r="I12" t="s">
        <v>40</v>
      </c>
      <c r="J12" s="23">
        <v>1501.2539999999999</v>
      </c>
      <c r="K12" s="52">
        <v>360240</v>
      </c>
      <c r="L12" s="52">
        <v>337365.54784999997</v>
      </c>
      <c r="M12" s="52">
        <f t="shared" si="2"/>
        <v>22874.452150000026</v>
      </c>
      <c r="N12" s="24">
        <f t="shared" si="3"/>
        <v>6.3497812985787327E-2</v>
      </c>
    </row>
    <row r="13" spans="1:14">
      <c r="A13" t="s">
        <v>41</v>
      </c>
      <c r="B13" s="17">
        <v>3851</v>
      </c>
      <c r="C13" s="17">
        <v>924240</v>
      </c>
      <c r="D13" s="22">
        <v>870070</v>
      </c>
      <c r="E13" s="17">
        <f t="shared" si="0"/>
        <v>54170</v>
      </c>
      <c r="F13">
        <f t="shared" si="1"/>
        <v>5.8610317666406994E-2</v>
      </c>
      <c r="I13" t="s">
        <v>41</v>
      </c>
      <c r="J13" s="23">
        <v>3851</v>
      </c>
      <c r="K13" s="52">
        <v>924240</v>
      </c>
      <c r="L13" s="52">
        <v>870070</v>
      </c>
      <c r="M13" s="52">
        <f t="shared" si="2"/>
        <v>54170</v>
      </c>
      <c r="N13" s="24">
        <f t="shared" si="3"/>
        <v>5.8610317666406994E-2</v>
      </c>
    </row>
  </sheetData>
  <conditionalFormatting sqref="J2:J13">
    <cfRule type="top10" dxfId="13" priority="1" percent="1" rank="10"/>
    <cfRule type="top10" dxfId="12" priority="2" percent="1" bottom="1" rank="10"/>
  </conditionalFormatting>
  <conditionalFormatting sqref="K2:K13">
    <cfRule type="top10" dxfId="11" priority="3" percent="1" rank="10"/>
    <cfRule type="top10" dxfId="10" priority="4" percent="1" bottom="1" rank="10"/>
  </conditionalFormatting>
  <conditionalFormatting sqref="L2:L13">
    <cfRule type="top10" dxfId="9" priority="5" percent="1" rank="10"/>
    <cfRule type="top10" dxfId="8" priority="6" percent="1" bottom="1" rank="10"/>
  </conditionalFormatting>
  <conditionalFormatting sqref="M2:M13">
    <cfRule type="top10" dxfId="7" priority="7" percent="1" rank="10"/>
    <cfRule type="top10" dxfId="6" priority="8" percent="1" bottom="1" rank="10"/>
  </conditionalFormatting>
  <conditionalFormatting sqref="N2:N13">
    <cfRule type="top10" dxfId="5" priority="9" percent="1" rank="10"/>
    <cfRule type="top10" dxfId="4" priority="10" percent="1" bottom="1" rank="10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8B98-B555-475D-BBD1-B771FDCB2E48}">
  <dimension ref="A1:J20"/>
  <sheetViews>
    <sheetView topLeftCell="B1" zoomScaleNormal="100" workbookViewId="0">
      <selection activeCell="I5" sqref="I5"/>
    </sheetView>
  </sheetViews>
  <sheetFormatPr defaultColWidth="8.875" defaultRowHeight="14.25" outlineLevelCol="1"/>
  <cols>
    <col min="1" max="1" width="9.125" style="25"/>
    <col min="2" max="2" width="10.5" style="12" bestFit="1" customWidth="1"/>
    <col min="3" max="3" width="11.5" customWidth="1"/>
    <col min="4" max="4" width="11.375" customWidth="1"/>
    <col min="6" max="6" width="16.125" bestFit="1" customWidth="1"/>
    <col min="7" max="7" width="12.5" bestFit="1" customWidth="1"/>
    <col min="8" max="8" width="10.5" bestFit="1" customWidth="1"/>
    <col min="9" max="10" width="10.5" customWidth="1" outlineLevel="1"/>
    <col min="11" max="11" width="9.125"/>
  </cols>
  <sheetData>
    <row r="1" spans="1:10" ht="15">
      <c r="A1" s="25" t="s">
        <v>42</v>
      </c>
      <c r="B1" s="12" t="s">
        <v>26</v>
      </c>
      <c r="C1" t="s">
        <v>43</v>
      </c>
      <c r="D1" t="s">
        <v>44</v>
      </c>
      <c r="F1" s="32" t="s">
        <v>45</v>
      </c>
      <c r="G1" s="32"/>
    </row>
    <row r="2" spans="1:10">
      <c r="A2" s="25">
        <v>46023</v>
      </c>
      <c r="B2" s="12">
        <v>16043</v>
      </c>
      <c r="C2" t="s">
        <v>56</v>
      </c>
      <c r="D2" t="s">
        <v>46</v>
      </c>
      <c r="F2" t="s">
        <v>63</v>
      </c>
      <c r="G2" s="31">
        <v>46023</v>
      </c>
    </row>
    <row r="3" spans="1:10" ht="17.25">
      <c r="A3" s="25">
        <v>46023</v>
      </c>
      <c r="B3" s="12">
        <v>16051</v>
      </c>
      <c r="C3" t="s">
        <v>59</v>
      </c>
      <c r="D3" t="s">
        <v>47</v>
      </c>
      <c r="F3" t="s">
        <v>48</v>
      </c>
      <c r="G3" s="28">
        <f>AVERAGEIFS(Sales[Sales],Sales[Date],G2)</f>
        <v>14507.166666666666</v>
      </c>
      <c r="J3" s="27"/>
    </row>
    <row r="4" spans="1:10" ht="17.25">
      <c r="A4" s="25">
        <v>46023</v>
      </c>
      <c r="B4" s="12">
        <v>16997</v>
      </c>
      <c r="C4" t="s">
        <v>60</v>
      </c>
      <c r="D4" t="s">
        <v>49</v>
      </c>
      <c r="F4" t="s">
        <v>50</v>
      </c>
      <c r="G4" s="28">
        <f>_xlfn.MAXIFS(Sales[Sales],Sales[Date],G2)</f>
        <v>16997</v>
      </c>
      <c r="J4" s="27"/>
    </row>
    <row r="5" spans="1:10" ht="17.25">
      <c r="A5" s="25">
        <v>46023</v>
      </c>
      <c r="B5" s="12">
        <v>12285</v>
      </c>
      <c r="C5" t="s">
        <v>57</v>
      </c>
      <c r="D5" t="s">
        <v>51</v>
      </c>
      <c r="F5" t="s">
        <v>52</v>
      </c>
      <c r="G5" s="26" t="str">
        <f>_xlfn.XLOOKUP(G4,Sales[Sales],Sales[SalesRep])</f>
        <v>Jane</v>
      </c>
      <c r="J5" s="27"/>
    </row>
    <row r="6" spans="1:10" ht="17.25">
      <c r="A6" s="25">
        <v>46023</v>
      </c>
      <c r="B6" s="12">
        <v>12708</v>
      </c>
      <c r="C6" t="s">
        <v>58</v>
      </c>
      <c r="D6" t="s">
        <v>53</v>
      </c>
      <c r="F6" t="s">
        <v>54</v>
      </c>
      <c r="G6" s="26" t="str">
        <f>_xlfn.XLOOKUP(G4,Sales[Sales],Sales[Customer])</f>
        <v>Apex</v>
      </c>
      <c r="J6" s="27"/>
    </row>
    <row r="7" spans="1:10" ht="17.25">
      <c r="A7" s="25">
        <v>46023</v>
      </c>
      <c r="B7" s="12">
        <v>12959</v>
      </c>
      <c r="C7" t="s">
        <v>61</v>
      </c>
      <c r="D7" t="s">
        <v>55</v>
      </c>
      <c r="J7" s="27"/>
    </row>
    <row r="8" spans="1:10" ht="15">
      <c r="A8" s="25">
        <v>46054</v>
      </c>
      <c r="B8" s="12">
        <v>19647</v>
      </c>
      <c r="C8" t="s">
        <v>56</v>
      </c>
      <c r="D8" t="s">
        <v>49</v>
      </c>
      <c r="F8" s="30" t="s">
        <v>43</v>
      </c>
      <c r="G8" s="30" t="s">
        <v>62</v>
      </c>
      <c r="I8" s="30" t="s">
        <v>43</v>
      </c>
      <c r="J8" s="30" t="s">
        <v>62</v>
      </c>
    </row>
    <row r="9" spans="1:10">
      <c r="A9" s="25">
        <v>46054</v>
      </c>
      <c r="B9" s="12">
        <v>16902</v>
      </c>
      <c r="C9" t="s">
        <v>59</v>
      </c>
      <c r="D9" t="s">
        <v>47</v>
      </c>
      <c r="F9" t="str" cm="1">
        <f t="array" ref="F9:F14">_xlfn.UNIQUE(Sales[Customer])</f>
        <v>CapitalElite</v>
      </c>
      <c r="G9" s="12" cm="1">
        <f t="array" ref="G9:G14">SUMIFS(Sales[Sales],Sales[Date],G2,Sales[Customer],_xlfn.ANCHORARRAY(F9))</f>
        <v>16043</v>
      </c>
      <c r="I9" t="str" cm="1">
        <f t="array" ref="I9:I14">_xlfn.UNIQUE(Sales[Customer])</f>
        <v>CapitalElite</v>
      </c>
      <c r="J9" s="12" cm="1">
        <f t="array" ref="J9:J14">SUMIFS(Sales[Sales],Sales[Date],G2,Sales[Customer],_xlfn.ANCHORARRAY(F9))</f>
        <v>16043</v>
      </c>
    </row>
    <row r="10" spans="1:10">
      <c r="A10" s="25">
        <v>46054</v>
      </c>
      <c r="B10" s="12">
        <v>15871</v>
      </c>
      <c r="C10" t="s">
        <v>60</v>
      </c>
      <c r="D10" t="s">
        <v>46</v>
      </c>
      <c r="F10" t="str">
        <v>Prospera</v>
      </c>
      <c r="G10" s="12">
        <v>16051</v>
      </c>
      <c r="I10" t="str">
        <v>Prospera</v>
      </c>
      <c r="J10" s="12">
        <v>16051</v>
      </c>
    </row>
    <row r="11" spans="1:10">
      <c r="A11" s="25">
        <v>46054</v>
      </c>
      <c r="B11" s="12">
        <v>17161</v>
      </c>
      <c r="C11" t="s">
        <v>57</v>
      </c>
      <c r="D11" t="s">
        <v>53</v>
      </c>
      <c r="F11" t="str">
        <v>Apex</v>
      </c>
      <c r="G11" s="12">
        <v>16997</v>
      </c>
      <c r="I11" t="str">
        <v>Apex</v>
      </c>
      <c r="J11" s="12">
        <v>16997</v>
      </c>
    </row>
    <row r="12" spans="1:10">
      <c r="A12" s="25">
        <v>46054</v>
      </c>
      <c r="B12" s="12">
        <v>17206</v>
      </c>
      <c r="C12" t="s">
        <v>58</v>
      </c>
      <c r="D12" t="s">
        <v>51</v>
      </c>
      <c r="F12" t="str">
        <v>Vanguard</v>
      </c>
      <c r="G12" s="12">
        <v>12285</v>
      </c>
      <c r="I12" t="str">
        <v>Vanguard</v>
      </c>
      <c r="J12" s="12">
        <v>12285</v>
      </c>
    </row>
    <row r="13" spans="1:10">
      <c r="A13" s="25">
        <v>46054</v>
      </c>
      <c r="B13" s="12">
        <v>17116</v>
      </c>
      <c r="C13" t="s">
        <v>61</v>
      </c>
      <c r="D13" t="s">
        <v>55</v>
      </c>
      <c r="F13" t="str">
        <v>Fortuna</v>
      </c>
      <c r="G13" s="12">
        <v>12708</v>
      </c>
      <c r="I13" t="str">
        <v>Fortuna</v>
      </c>
      <c r="J13" s="12">
        <v>12708</v>
      </c>
    </row>
    <row r="14" spans="1:10">
      <c r="A14" s="25">
        <v>46082</v>
      </c>
      <c r="B14" s="12">
        <v>11221</v>
      </c>
      <c r="C14" t="s">
        <v>56</v>
      </c>
      <c r="D14" t="s">
        <v>46</v>
      </c>
      <c r="F14" t="str">
        <v>Bamble</v>
      </c>
      <c r="G14" s="12">
        <v>12959</v>
      </c>
      <c r="I14" t="str">
        <v>Bamble</v>
      </c>
      <c r="J14" s="12">
        <v>12959</v>
      </c>
    </row>
    <row r="15" spans="1:10">
      <c r="A15" s="25">
        <v>46082</v>
      </c>
      <c r="B15" s="12">
        <v>13267</v>
      </c>
      <c r="C15" t="s">
        <v>59</v>
      </c>
      <c r="D15" t="s">
        <v>49</v>
      </c>
      <c r="G15" s="12"/>
      <c r="J15" s="12"/>
    </row>
    <row r="16" spans="1:10">
      <c r="A16" s="25">
        <v>46082</v>
      </c>
      <c r="B16" s="12">
        <v>15231</v>
      </c>
      <c r="C16" t="s">
        <v>60</v>
      </c>
      <c r="D16" t="s">
        <v>47</v>
      </c>
      <c r="G16" s="12"/>
      <c r="J16" s="12"/>
    </row>
    <row r="17" spans="1:10">
      <c r="A17" s="25">
        <v>46082</v>
      </c>
      <c r="B17" s="12">
        <v>18000</v>
      </c>
      <c r="C17" t="s">
        <v>57</v>
      </c>
      <c r="D17" t="s">
        <v>51</v>
      </c>
      <c r="G17" s="12"/>
      <c r="J17" s="12"/>
    </row>
    <row r="18" spans="1:10">
      <c r="A18" s="25">
        <v>46082</v>
      </c>
      <c r="B18" s="12">
        <v>15871</v>
      </c>
      <c r="C18" t="s">
        <v>58</v>
      </c>
      <c r="D18" t="s">
        <v>55</v>
      </c>
      <c r="G18" s="12"/>
      <c r="J18" s="12"/>
    </row>
    <row r="19" spans="1:10">
      <c r="A19" s="25">
        <v>46082</v>
      </c>
      <c r="B19" s="12">
        <v>12352</v>
      </c>
      <c r="C19" t="s">
        <v>61</v>
      </c>
      <c r="D19" t="s">
        <v>53</v>
      </c>
      <c r="G19" s="12"/>
    </row>
    <row r="20" spans="1:10">
      <c r="G20" s="12"/>
    </row>
  </sheetData>
  <conditionalFormatting sqref="G2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{9971224A-D29E-4622-A8FE-8433427C7C92}</x14:id>
        </ext>
      </extLst>
    </cfRule>
  </conditionalFormatting>
  <conditionalFormatting sqref="J9:J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{7543C54A-208E-4C3A-9FCA-411FE346B1DF}</x14:id>
        </ext>
      </extLst>
    </cfRule>
  </conditionalFormatting>
  <dataValidations count="1">
    <dataValidation type="list" allowBlank="1" showInputMessage="1" showErrorMessage="1" sqref="G2" xr:uid="{DA7102D8-A5BB-41C8-984F-1ACA0B069B7C}">
      <formula1>$A$2:$A$19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71224A-D29E-4622-A8FE-8433427C7C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7543C54A-208E-4C3A-9FCA-411FE346B1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29A5-1C60-422B-8542-517F13A7C44D}">
  <dimension ref="B2:S17"/>
  <sheetViews>
    <sheetView workbookViewId="0">
      <selection activeCell="R3" sqref="R3"/>
    </sheetView>
  </sheetViews>
  <sheetFormatPr defaultColWidth="8.875" defaultRowHeight="14.25"/>
  <cols>
    <col min="1" max="15" width="4.125" customWidth="1"/>
    <col min="19" max="19" width="12" bestFit="1" customWidth="1"/>
  </cols>
  <sheetData>
    <row r="2" spans="2:19">
      <c r="B2" s="49">
        <f ca="1">RANDBETWEEN(0,100)</f>
        <v>91</v>
      </c>
      <c r="C2" s="49">
        <f t="shared" ref="C2:O17" ca="1" si="0">RANDBETWEEN(0,100)</f>
        <v>22</v>
      </c>
      <c r="D2" s="49">
        <f t="shared" ca="1" si="0"/>
        <v>100</v>
      </c>
      <c r="E2" s="49">
        <f t="shared" ca="1" si="0"/>
        <v>96</v>
      </c>
      <c r="F2" s="49">
        <f t="shared" ca="1" si="0"/>
        <v>82</v>
      </c>
      <c r="G2" s="49">
        <f t="shared" ca="1" si="0"/>
        <v>56</v>
      </c>
      <c r="H2" s="49">
        <f t="shared" ca="1" si="0"/>
        <v>67</v>
      </c>
      <c r="I2" s="49">
        <f t="shared" ca="1" si="0"/>
        <v>98</v>
      </c>
      <c r="J2" s="49">
        <f t="shared" ca="1" si="0"/>
        <v>77</v>
      </c>
      <c r="K2" s="49">
        <f t="shared" ca="1" si="0"/>
        <v>25</v>
      </c>
      <c r="L2" s="49">
        <f t="shared" ca="1" si="0"/>
        <v>74</v>
      </c>
      <c r="M2" s="49">
        <f t="shared" ca="1" si="0"/>
        <v>2</v>
      </c>
      <c r="N2" s="49">
        <f t="shared" ca="1" si="0"/>
        <v>43</v>
      </c>
      <c r="O2" s="49">
        <f t="shared" ca="1" si="0"/>
        <v>78</v>
      </c>
    </row>
    <row r="3" spans="2:19">
      <c r="B3" s="49">
        <f t="shared" ref="B3:B17" ca="1" si="1">RANDBETWEEN(0,100)</f>
        <v>89</v>
      </c>
      <c r="C3" s="49">
        <f t="shared" ca="1" si="0"/>
        <v>25</v>
      </c>
      <c r="D3" s="49">
        <f t="shared" ca="1" si="0"/>
        <v>56</v>
      </c>
      <c r="E3" s="49">
        <f t="shared" ca="1" si="0"/>
        <v>26</v>
      </c>
      <c r="F3" s="49">
        <f t="shared" ca="1" si="0"/>
        <v>58</v>
      </c>
      <c r="G3" s="49">
        <f t="shared" ca="1" si="0"/>
        <v>89</v>
      </c>
      <c r="H3" s="49">
        <f t="shared" ca="1" si="0"/>
        <v>56</v>
      </c>
      <c r="I3" s="49">
        <f t="shared" ca="1" si="0"/>
        <v>86</v>
      </c>
      <c r="J3" s="49">
        <f t="shared" ca="1" si="0"/>
        <v>64</v>
      </c>
      <c r="K3" s="49">
        <f t="shared" ca="1" si="0"/>
        <v>71</v>
      </c>
      <c r="L3" s="49">
        <f t="shared" ca="1" si="0"/>
        <v>45</v>
      </c>
      <c r="M3" s="49">
        <f t="shared" ca="1" si="0"/>
        <v>54</v>
      </c>
      <c r="N3" s="49">
        <f t="shared" ca="1" si="0"/>
        <v>48</v>
      </c>
      <c r="O3" s="49">
        <f t="shared" ca="1" si="0"/>
        <v>60</v>
      </c>
      <c r="S3" s="53" t="s">
        <v>79</v>
      </c>
    </row>
    <row r="4" spans="2:19">
      <c r="B4" s="49">
        <f t="shared" ca="1" si="1"/>
        <v>20</v>
      </c>
      <c r="C4" s="49">
        <f t="shared" ca="1" si="0"/>
        <v>3</v>
      </c>
      <c r="D4" s="49">
        <f t="shared" ca="1" si="0"/>
        <v>93</v>
      </c>
      <c r="E4" s="49">
        <f t="shared" ca="1" si="0"/>
        <v>37</v>
      </c>
      <c r="F4" s="49">
        <f t="shared" ca="1" si="0"/>
        <v>97</v>
      </c>
      <c r="G4" s="49">
        <f t="shared" ca="1" si="0"/>
        <v>32</v>
      </c>
      <c r="H4" s="49">
        <f t="shared" ca="1" si="0"/>
        <v>66</v>
      </c>
      <c r="I4" s="49">
        <f t="shared" ca="1" si="0"/>
        <v>42</v>
      </c>
      <c r="J4" s="49">
        <f t="shared" ca="1" si="0"/>
        <v>84</v>
      </c>
      <c r="K4" s="49">
        <f t="shared" ca="1" si="0"/>
        <v>100</v>
      </c>
      <c r="L4" s="49">
        <f t="shared" ca="1" si="0"/>
        <v>78</v>
      </c>
      <c r="M4" s="49">
        <f t="shared" ca="1" si="0"/>
        <v>80</v>
      </c>
      <c r="N4" s="49">
        <f t="shared" ca="1" si="0"/>
        <v>33</v>
      </c>
      <c r="O4" s="49">
        <f t="shared" ca="1" si="0"/>
        <v>75</v>
      </c>
    </row>
    <row r="5" spans="2:19">
      <c r="B5" s="49">
        <f t="shared" ca="1" si="1"/>
        <v>94</v>
      </c>
      <c r="C5" s="49">
        <f t="shared" ca="1" si="0"/>
        <v>7</v>
      </c>
      <c r="D5" s="49">
        <f t="shared" ca="1" si="0"/>
        <v>31</v>
      </c>
      <c r="E5" s="49">
        <f t="shared" ca="1" si="0"/>
        <v>57</v>
      </c>
      <c r="F5" s="49">
        <f t="shared" ca="1" si="0"/>
        <v>78</v>
      </c>
      <c r="G5" s="49">
        <f t="shared" ca="1" si="0"/>
        <v>74</v>
      </c>
      <c r="H5" s="49">
        <f t="shared" ca="1" si="0"/>
        <v>92</v>
      </c>
      <c r="I5" s="49">
        <f t="shared" ca="1" si="0"/>
        <v>55</v>
      </c>
      <c r="J5" s="49">
        <f t="shared" ca="1" si="0"/>
        <v>72</v>
      </c>
      <c r="K5" s="49">
        <f t="shared" ca="1" si="0"/>
        <v>41</v>
      </c>
      <c r="L5" s="49">
        <f t="shared" ca="1" si="0"/>
        <v>6</v>
      </c>
      <c r="M5" s="49">
        <f t="shared" ca="1" si="0"/>
        <v>83</v>
      </c>
      <c r="N5" s="49">
        <f t="shared" ca="1" si="0"/>
        <v>40</v>
      </c>
      <c r="O5" s="49">
        <f t="shared" ca="1" si="0"/>
        <v>17</v>
      </c>
    </row>
    <row r="6" spans="2:19">
      <c r="B6" s="49">
        <f t="shared" ca="1" si="1"/>
        <v>9</v>
      </c>
      <c r="C6" s="49">
        <f t="shared" ca="1" si="0"/>
        <v>25</v>
      </c>
      <c r="D6" s="49">
        <f t="shared" ca="1" si="0"/>
        <v>20</v>
      </c>
      <c r="E6" s="49">
        <f t="shared" ca="1" si="0"/>
        <v>28</v>
      </c>
      <c r="F6" s="49">
        <f t="shared" ca="1" si="0"/>
        <v>5</v>
      </c>
      <c r="G6" s="49">
        <f t="shared" ca="1" si="0"/>
        <v>31</v>
      </c>
      <c r="H6" s="49">
        <f t="shared" ca="1" si="0"/>
        <v>64</v>
      </c>
      <c r="I6" s="49">
        <f t="shared" ca="1" si="0"/>
        <v>45</v>
      </c>
      <c r="J6" s="49">
        <f t="shared" ca="1" si="0"/>
        <v>51</v>
      </c>
      <c r="K6" s="49">
        <f t="shared" ca="1" si="0"/>
        <v>11</v>
      </c>
      <c r="L6" s="49">
        <f t="shared" ca="1" si="0"/>
        <v>29</v>
      </c>
      <c r="M6" s="49">
        <f t="shared" ca="1" si="0"/>
        <v>57</v>
      </c>
      <c r="N6" s="49">
        <f t="shared" ca="1" si="0"/>
        <v>67</v>
      </c>
      <c r="O6" s="49">
        <f t="shared" ca="1" si="0"/>
        <v>78</v>
      </c>
    </row>
    <row r="7" spans="2:19">
      <c r="B7" s="49">
        <f t="shared" ca="1" si="1"/>
        <v>22</v>
      </c>
      <c r="C7" s="49">
        <f t="shared" ca="1" si="0"/>
        <v>32</v>
      </c>
      <c r="D7" s="49">
        <f t="shared" ca="1" si="0"/>
        <v>3</v>
      </c>
      <c r="E7" s="49">
        <f t="shared" ca="1" si="0"/>
        <v>35</v>
      </c>
      <c r="F7" s="49">
        <f t="shared" ca="1" si="0"/>
        <v>32</v>
      </c>
      <c r="G7" s="49">
        <f t="shared" ca="1" si="0"/>
        <v>52</v>
      </c>
      <c r="H7" s="49">
        <f t="shared" ca="1" si="0"/>
        <v>34</v>
      </c>
      <c r="I7" s="49">
        <f t="shared" ca="1" si="0"/>
        <v>85</v>
      </c>
      <c r="J7" s="49">
        <f t="shared" ca="1" si="0"/>
        <v>58</v>
      </c>
      <c r="K7" s="49">
        <f t="shared" ca="1" si="0"/>
        <v>21</v>
      </c>
      <c r="L7" s="49">
        <f t="shared" ca="1" si="0"/>
        <v>88</v>
      </c>
      <c r="M7" s="49">
        <f t="shared" ca="1" si="0"/>
        <v>62</v>
      </c>
      <c r="N7" s="49">
        <f t="shared" ca="1" si="0"/>
        <v>71</v>
      </c>
      <c r="O7" s="49">
        <f t="shared" ca="1" si="0"/>
        <v>67</v>
      </c>
    </row>
    <row r="8" spans="2:19">
      <c r="B8" s="49">
        <f t="shared" ca="1" si="1"/>
        <v>94</v>
      </c>
      <c r="C8" s="49">
        <f t="shared" ca="1" si="0"/>
        <v>55</v>
      </c>
      <c r="D8" s="49">
        <f t="shared" ca="1" si="0"/>
        <v>72</v>
      </c>
      <c r="E8" s="49">
        <f t="shared" ca="1" si="0"/>
        <v>13</v>
      </c>
      <c r="F8" s="49">
        <f t="shared" ca="1" si="0"/>
        <v>46</v>
      </c>
      <c r="G8" s="49">
        <f t="shared" ca="1" si="0"/>
        <v>97</v>
      </c>
      <c r="H8" s="49">
        <f t="shared" ca="1" si="0"/>
        <v>93</v>
      </c>
      <c r="I8" s="49">
        <f t="shared" ca="1" si="0"/>
        <v>83</v>
      </c>
      <c r="J8" s="49">
        <f t="shared" ca="1" si="0"/>
        <v>27</v>
      </c>
      <c r="K8" s="49">
        <f t="shared" ca="1" si="0"/>
        <v>60</v>
      </c>
      <c r="L8" s="49">
        <f t="shared" ca="1" si="0"/>
        <v>60</v>
      </c>
      <c r="M8" s="49">
        <f t="shared" ca="1" si="0"/>
        <v>11</v>
      </c>
      <c r="N8" s="49">
        <f t="shared" ca="1" si="0"/>
        <v>39</v>
      </c>
      <c r="O8" s="49">
        <f t="shared" ca="1" si="0"/>
        <v>7</v>
      </c>
    </row>
    <row r="9" spans="2:19">
      <c r="B9" s="49">
        <f t="shared" ca="1" si="1"/>
        <v>62</v>
      </c>
      <c r="C9" s="49">
        <f t="shared" ca="1" si="0"/>
        <v>74</v>
      </c>
      <c r="D9" s="49">
        <f t="shared" ca="1" si="0"/>
        <v>15</v>
      </c>
      <c r="E9" s="49">
        <f t="shared" ca="1" si="0"/>
        <v>72</v>
      </c>
      <c r="F9" s="49">
        <f t="shared" ca="1" si="0"/>
        <v>99</v>
      </c>
      <c r="G9" s="49">
        <f t="shared" ca="1" si="0"/>
        <v>93</v>
      </c>
      <c r="H9" s="49">
        <f t="shared" ca="1" si="0"/>
        <v>13</v>
      </c>
      <c r="I9" s="49">
        <f t="shared" ca="1" si="0"/>
        <v>24</v>
      </c>
      <c r="J9" s="49">
        <f t="shared" ca="1" si="0"/>
        <v>7</v>
      </c>
      <c r="K9" s="49">
        <f t="shared" ca="1" si="0"/>
        <v>96</v>
      </c>
      <c r="L9" s="49">
        <f t="shared" ca="1" si="0"/>
        <v>81</v>
      </c>
      <c r="M9" s="49">
        <f t="shared" ca="1" si="0"/>
        <v>76</v>
      </c>
      <c r="N9" s="49">
        <f t="shared" ca="1" si="0"/>
        <v>88</v>
      </c>
      <c r="O9" s="49">
        <f t="shared" ca="1" si="0"/>
        <v>58</v>
      </c>
    </row>
    <row r="10" spans="2:19">
      <c r="B10" s="49">
        <f t="shared" ca="1" si="1"/>
        <v>75</v>
      </c>
      <c r="C10" s="49">
        <f t="shared" ca="1" si="0"/>
        <v>52</v>
      </c>
      <c r="D10" s="49">
        <f t="shared" ca="1" si="0"/>
        <v>85</v>
      </c>
      <c r="E10" s="49">
        <f t="shared" ca="1" si="0"/>
        <v>36</v>
      </c>
      <c r="F10" s="49">
        <f t="shared" ca="1" si="0"/>
        <v>75</v>
      </c>
      <c r="G10" s="49">
        <f t="shared" ca="1" si="0"/>
        <v>41</v>
      </c>
      <c r="H10" s="49">
        <f t="shared" ca="1" si="0"/>
        <v>52</v>
      </c>
      <c r="I10" s="49">
        <f t="shared" ca="1" si="0"/>
        <v>12</v>
      </c>
      <c r="J10" s="49">
        <f t="shared" ca="1" si="0"/>
        <v>20</v>
      </c>
      <c r="K10" s="49">
        <f t="shared" ca="1" si="0"/>
        <v>40</v>
      </c>
      <c r="L10" s="49">
        <f t="shared" ca="1" si="0"/>
        <v>12</v>
      </c>
      <c r="M10" s="49">
        <f t="shared" ca="1" si="0"/>
        <v>18</v>
      </c>
      <c r="N10" s="49">
        <f t="shared" ca="1" si="0"/>
        <v>43</v>
      </c>
      <c r="O10" s="49">
        <f t="shared" ca="1" si="0"/>
        <v>70</v>
      </c>
    </row>
    <row r="11" spans="2:19">
      <c r="B11" s="49">
        <f t="shared" ca="1" si="1"/>
        <v>40</v>
      </c>
      <c r="C11" s="49">
        <f t="shared" ca="1" si="0"/>
        <v>99</v>
      </c>
      <c r="D11" s="49">
        <f t="shared" ca="1" si="0"/>
        <v>34</v>
      </c>
      <c r="E11" s="49">
        <f t="shared" ca="1" si="0"/>
        <v>68</v>
      </c>
      <c r="F11" s="49">
        <f t="shared" ca="1" si="0"/>
        <v>66</v>
      </c>
      <c r="G11" s="49">
        <f t="shared" ca="1" si="0"/>
        <v>91</v>
      </c>
      <c r="H11" s="49">
        <f t="shared" ca="1" si="0"/>
        <v>87</v>
      </c>
      <c r="I11" s="49">
        <f t="shared" ca="1" si="0"/>
        <v>4</v>
      </c>
      <c r="J11" s="49">
        <f t="shared" ca="1" si="0"/>
        <v>90</v>
      </c>
      <c r="K11" s="49">
        <f t="shared" ca="1" si="0"/>
        <v>48</v>
      </c>
      <c r="L11" s="49">
        <f t="shared" ca="1" si="0"/>
        <v>40</v>
      </c>
      <c r="M11" s="49">
        <f t="shared" ca="1" si="0"/>
        <v>37</v>
      </c>
      <c r="N11" s="49">
        <f t="shared" ca="1" si="0"/>
        <v>28</v>
      </c>
      <c r="O11" s="49">
        <f t="shared" ca="1" si="0"/>
        <v>35</v>
      </c>
    </row>
    <row r="12" spans="2:19">
      <c r="B12" s="49">
        <f t="shared" ca="1" si="1"/>
        <v>21</v>
      </c>
      <c r="C12" s="49">
        <f t="shared" ca="1" si="0"/>
        <v>46</v>
      </c>
      <c r="D12" s="49">
        <f t="shared" ca="1" si="0"/>
        <v>9</v>
      </c>
      <c r="E12" s="49">
        <f t="shared" ca="1" si="0"/>
        <v>21</v>
      </c>
      <c r="F12" s="49">
        <f t="shared" ca="1" si="0"/>
        <v>48</v>
      </c>
      <c r="G12" s="49">
        <f t="shared" ca="1" si="0"/>
        <v>92</v>
      </c>
      <c r="H12" s="49">
        <f t="shared" ca="1" si="0"/>
        <v>29</v>
      </c>
      <c r="I12" s="49">
        <f t="shared" ca="1" si="0"/>
        <v>63</v>
      </c>
      <c r="J12" s="49">
        <f t="shared" ca="1" si="0"/>
        <v>49</v>
      </c>
      <c r="K12" s="49">
        <f t="shared" ca="1" si="0"/>
        <v>11</v>
      </c>
      <c r="L12" s="49">
        <f t="shared" ca="1" si="0"/>
        <v>91</v>
      </c>
      <c r="M12" s="49">
        <f t="shared" ca="1" si="0"/>
        <v>94</v>
      </c>
      <c r="N12" s="49">
        <f t="shared" ca="1" si="0"/>
        <v>21</v>
      </c>
      <c r="O12" s="49">
        <f t="shared" ca="1" si="0"/>
        <v>99</v>
      </c>
    </row>
    <row r="13" spans="2:19">
      <c r="B13" s="49">
        <f t="shared" ca="1" si="1"/>
        <v>43</v>
      </c>
      <c r="C13" s="49">
        <f t="shared" ca="1" si="0"/>
        <v>100</v>
      </c>
      <c r="D13" s="49">
        <f t="shared" ca="1" si="0"/>
        <v>89</v>
      </c>
      <c r="E13" s="49">
        <f t="shared" ca="1" si="0"/>
        <v>87</v>
      </c>
      <c r="F13" s="49">
        <f t="shared" ca="1" si="0"/>
        <v>61</v>
      </c>
      <c r="G13" s="49">
        <f t="shared" ca="1" si="0"/>
        <v>17</v>
      </c>
      <c r="H13" s="49">
        <f t="shared" ca="1" si="0"/>
        <v>56</v>
      </c>
      <c r="I13" s="49">
        <f t="shared" ca="1" si="0"/>
        <v>82</v>
      </c>
      <c r="J13" s="49">
        <f t="shared" ca="1" si="0"/>
        <v>19</v>
      </c>
      <c r="K13" s="49">
        <f t="shared" ca="1" si="0"/>
        <v>12</v>
      </c>
      <c r="L13" s="49">
        <f t="shared" ca="1" si="0"/>
        <v>42</v>
      </c>
      <c r="M13" s="49">
        <f t="shared" ca="1" si="0"/>
        <v>76</v>
      </c>
      <c r="N13" s="49">
        <f t="shared" ca="1" si="0"/>
        <v>97</v>
      </c>
      <c r="O13" s="49">
        <f t="shared" ca="1" si="0"/>
        <v>21</v>
      </c>
    </row>
    <row r="14" spans="2:19">
      <c r="B14" s="49">
        <f t="shared" ca="1" si="1"/>
        <v>8</v>
      </c>
      <c r="C14" s="49">
        <f t="shared" ca="1" si="0"/>
        <v>10</v>
      </c>
      <c r="D14" s="49">
        <f t="shared" ca="1" si="0"/>
        <v>30</v>
      </c>
      <c r="E14" s="49">
        <f t="shared" ca="1" si="0"/>
        <v>31</v>
      </c>
      <c r="F14" s="49">
        <f t="shared" ca="1" si="0"/>
        <v>27</v>
      </c>
      <c r="G14" s="49">
        <f t="shared" ca="1" si="0"/>
        <v>93</v>
      </c>
      <c r="H14" s="49">
        <f t="shared" ca="1" si="0"/>
        <v>16</v>
      </c>
      <c r="I14" s="49">
        <f t="shared" ca="1" si="0"/>
        <v>28</v>
      </c>
      <c r="J14" s="49">
        <f t="shared" ca="1" si="0"/>
        <v>66</v>
      </c>
      <c r="K14" s="49">
        <f t="shared" ca="1" si="0"/>
        <v>14</v>
      </c>
      <c r="L14" s="49">
        <f t="shared" ca="1" si="0"/>
        <v>91</v>
      </c>
      <c r="M14" s="49">
        <f t="shared" ca="1" si="0"/>
        <v>10</v>
      </c>
      <c r="N14" s="49">
        <f t="shared" ca="1" si="0"/>
        <v>11</v>
      </c>
      <c r="O14" s="49">
        <f t="shared" ca="1" si="0"/>
        <v>40</v>
      </c>
    </row>
    <row r="15" spans="2:19">
      <c r="B15" s="49">
        <f t="shared" ca="1" si="1"/>
        <v>35</v>
      </c>
      <c r="C15" s="49">
        <f t="shared" ca="1" si="0"/>
        <v>13</v>
      </c>
      <c r="D15" s="49">
        <f t="shared" ca="1" si="0"/>
        <v>29</v>
      </c>
      <c r="E15" s="49">
        <f t="shared" ca="1" si="0"/>
        <v>64</v>
      </c>
      <c r="F15" s="49">
        <f t="shared" ca="1" si="0"/>
        <v>78</v>
      </c>
      <c r="G15" s="49">
        <f t="shared" ca="1" si="0"/>
        <v>85</v>
      </c>
      <c r="H15" s="49">
        <f t="shared" ca="1" si="0"/>
        <v>55</v>
      </c>
      <c r="I15" s="49">
        <f t="shared" ca="1" si="0"/>
        <v>72</v>
      </c>
      <c r="J15" s="49">
        <f t="shared" ca="1" si="0"/>
        <v>53</v>
      </c>
      <c r="K15" s="49">
        <f t="shared" ca="1" si="0"/>
        <v>99</v>
      </c>
      <c r="L15" s="49">
        <f t="shared" ca="1" si="0"/>
        <v>21</v>
      </c>
      <c r="M15" s="49">
        <f t="shared" ca="1" si="0"/>
        <v>60</v>
      </c>
      <c r="N15" s="49">
        <f t="shared" ca="1" si="0"/>
        <v>99</v>
      </c>
      <c r="O15" s="49">
        <f t="shared" ca="1" si="0"/>
        <v>30</v>
      </c>
    </row>
    <row r="16" spans="2:19">
      <c r="B16" s="49">
        <f t="shared" ca="1" si="1"/>
        <v>64</v>
      </c>
      <c r="C16" s="49">
        <f t="shared" ca="1" si="0"/>
        <v>42</v>
      </c>
      <c r="D16" s="49">
        <f t="shared" ca="1" si="0"/>
        <v>28</v>
      </c>
      <c r="E16" s="49">
        <f t="shared" ca="1" si="0"/>
        <v>56</v>
      </c>
      <c r="F16" s="49">
        <f t="shared" ca="1" si="0"/>
        <v>3</v>
      </c>
      <c r="G16" s="49">
        <f t="shared" ca="1" si="0"/>
        <v>62</v>
      </c>
      <c r="H16" s="49">
        <f t="shared" ca="1" si="0"/>
        <v>81</v>
      </c>
      <c r="I16" s="49">
        <f t="shared" ca="1" si="0"/>
        <v>35</v>
      </c>
      <c r="J16" s="49">
        <f t="shared" ca="1" si="0"/>
        <v>83</v>
      </c>
      <c r="K16" s="49">
        <f t="shared" ca="1" si="0"/>
        <v>51</v>
      </c>
      <c r="L16" s="49">
        <f t="shared" ca="1" si="0"/>
        <v>46</v>
      </c>
      <c r="M16" s="49">
        <f t="shared" ca="1" si="0"/>
        <v>92</v>
      </c>
      <c r="N16" s="49">
        <f t="shared" ca="1" si="0"/>
        <v>64</v>
      </c>
      <c r="O16" s="49">
        <f t="shared" ca="1" si="0"/>
        <v>99</v>
      </c>
    </row>
    <row r="17" spans="2:15">
      <c r="B17" s="49">
        <f t="shared" ca="1" si="1"/>
        <v>44</v>
      </c>
      <c r="C17" s="49">
        <f t="shared" ca="1" si="0"/>
        <v>100</v>
      </c>
      <c r="D17" s="49">
        <f t="shared" ca="1" si="0"/>
        <v>30</v>
      </c>
      <c r="E17" s="49">
        <f t="shared" ca="1" si="0"/>
        <v>68</v>
      </c>
      <c r="F17" s="49">
        <f t="shared" ca="1" si="0"/>
        <v>81</v>
      </c>
      <c r="G17" s="49">
        <f t="shared" ca="1" si="0"/>
        <v>100</v>
      </c>
      <c r="H17" s="49">
        <f t="shared" ca="1" si="0"/>
        <v>66</v>
      </c>
      <c r="I17" s="49">
        <f t="shared" ca="1" si="0"/>
        <v>79</v>
      </c>
      <c r="J17" s="49">
        <f t="shared" ca="1" si="0"/>
        <v>74</v>
      </c>
      <c r="K17" s="49">
        <f t="shared" ca="1" si="0"/>
        <v>86</v>
      </c>
      <c r="L17" s="49">
        <f t="shared" ca="1" si="0"/>
        <v>56</v>
      </c>
      <c r="M17" s="49">
        <f t="shared" ca="1" si="0"/>
        <v>19</v>
      </c>
      <c r="N17" s="49">
        <f t="shared" ca="1" si="0"/>
        <v>49</v>
      </c>
      <c r="O17" s="49">
        <f t="shared" ca="1" si="0"/>
        <v>80</v>
      </c>
    </row>
  </sheetData>
  <conditionalFormatting sqref="B2:S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460-795E-4C34-9416-8A62A6C187B1}">
  <sheetPr>
    <pageSetUpPr fitToPage="1"/>
  </sheetPr>
  <dimension ref="A1:L25"/>
  <sheetViews>
    <sheetView topLeftCell="A9" zoomScaleNormal="100" workbookViewId="0">
      <selection activeCell="J43" sqref="J43"/>
    </sheetView>
  </sheetViews>
  <sheetFormatPr defaultColWidth="9.625" defaultRowHeight="14.25" outlineLevelRow="1"/>
  <cols>
    <col min="1" max="1" width="21.375" style="37" customWidth="1"/>
    <col min="2" max="2" width="12.5" style="37" customWidth="1"/>
    <col min="3" max="3" width="11.125" style="37" customWidth="1"/>
    <col min="4" max="4" width="3.625" style="37" customWidth="1"/>
    <col min="5" max="5" width="9" style="37" customWidth="1"/>
    <col min="6" max="6" width="11.625" style="37" customWidth="1"/>
    <col min="7" max="9" width="10" style="37" bestFit="1" customWidth="1"/>
    <col min="10" max="16384" width="9.625" style="37"/>
  </cols>
  <sheetData>
    <row r="1" spans="1:12" s="33" customFormat="1" ht="15">
      <c r="A1" s="11" t="s">
        <v>64</v>
      </c>
      <c r="B1" s="11"/>
      <c r="C1" s="11"/>
      <c r="D1" s="11"/>
      <c r="E1" s="11"/>
      <c r="F1" s="11"/>
      <c r="G1" s="11"/>
      <c r="H1" s="11"/>
      <c r="I1" s="11"/>
    </row>
    <row r="2" spans="1:12" s="33" customFormat="1" ht="15" customHeight="1"/>
    <row r="3" spans="1:12" ht="16.5" customHeight="1">
      <c r="A3" s="35"/>
      <c r="B3" s="36" t="s">
        <v>65</v>
      </c>
      <c r="E3" s="34" t="s">
        <v>70</v>
      </c>
      <c r="F3" s="34"/>
      <c r="G3" s="34"/>
      <c r="H3" s="34"/>
      <c r="I3" s="34"/>
      <c r="K3" s="33"/>
      <c r="L3" s="33"/>
    </row>
    <row r="4" spans="1:12" ht="15" thickBot="1">
      <c r="F4" s="54" t="s">
        <v>69</v>
      </c>
      <c r="G4" s="54"/>
      <c r="H4" s="54"/>
      <c r="I4" s="54"/>
    </row>
    <row r="5" spans="1:12" ht="15" thickBot="1">
      <c r="A5" s="37" t="s">
        <v>66</v>
      </c>
      <c r="B5" s="38">
        <v>350000</v>
      </c>
      <c r="E5" s="39">
        <f>B11</f>
        <v>2586.4691222911079</v>
      </c>
      <c r="F5" s="41">
        <v>20</v>
      </c>
      <c r="G5" s="41">
        <v>25</v>
      </c>
      <c r="H5" s="41">
        <v>30</v>
      </c>
      <c r="I5" s="41">
        <v>35</v>
      </c>
    </row>
    <row r="6" spans="1:12" ht="15" customHeight="1">
      <c r="D6" s="55" t="s">
        <v>10</v>
      </c>
      <c r="E6" s="40">
        <v>0.06</v>
      </c>
      <c r="F6" s="43"/>
      <c r="G6" s="43"/>
      <c r="H6" s="43"/>
      <c r="I6" s="43"/>
    </row>
    <row r="7" spans="1:12">
      <c r="A7" s="37" t="s">
        <v>10</v>
      </c>
      <c r="B7" s="40">
        <v>7.4999999999999997E-2</v>
      </c>
      <c r="D7" s="55"/>
      <c r="E7" s="40">
        <v>6.5000000000000002E-2</v>
      </c>
      <c r="F7" s="43"/>
      <c r="G7" s="43"/>
      <c r="H7" s="43"/>
      <c r="I7" s="43"/>
    </row>
    <row r="8" spans="1:12">
      <c r="D8" s="55"/>
      <c r="E8" s="40">
        <v>7.0000000000000007E-2</v>
      </c>
      <c r="F8" s="43"/>
      <c r="G8" s="43"/>
      <c r="H8" s="43"/>
      <c r="I8" s="43"/>
    </row>
    <row r="9" spans="1:12">
      <c r="A9" s="37" t="s">
        <v>67</v>
      </c>
      <c r="B9" s="41">
        <v>25</v>
      </c>
      <c r="D9" s="55"/>
      <c r="E9" s="40">
        <v>7.4999999999999997E-2</v>
      </c>
      <c r="F9" s="43"/>
      <c r="G9" s="43"/>
      <c r="H9" s="43"/>
      <c r="I9" s="43"/>
    </row>
    <row r="10" spans="1:12">
      <c r="D10" s="55"/>
      <c r="E10" s="40">
        <v>0.08</v>
      </c>
      <c r="F10" s="43"/>
      <c r="G10" s="43"/>
      <c r="H10" s="43"/>
      <c r="I10" s="43"/>
    </row>
    <row r="11" spans="1:12">
      <c r="A11" s="37" t="s">
        <v>68</v>
      </c>
      <c r="B11" s="42">
        <f>-PMT(B7/12,B9*12,B5)</f>
        <v>2586.4691222911079</v>
      </c>
      <c r="D11" s="55"/>
      <c r="E11" s="40">
        <v>8.5000000000000006E-2</v>
      </c>
      <c r="F11" s="43"/>
      <c r="G11" s="43"/>
      <c r="H11" s="43"/>
      <c r="I11" s="43"/>
    </row>
    <row r="15" spans="1:12" s="33" customFormat="1" ht="15" outlineLevel="1">
      <c r="A15" s="11" t="s">
        <v>78</v>
      </c>
      <c r="B15" s="11"/>
      <c r="C15" s="11"/>
      <c r="D15" s="11"/>
      <c r="E15" s="11"/>
      <c r="F15" s="11"/>
      <c r="G15" s="11"/>
      <c r="H15" s="11"/>
      <c r="I15" s="11"/>
    </row>
    <row r="16" spans="1:12" outlineLevel="1"/>
    <row r="17" spans="4:9" ht="15" outlineLevel="1">
      <c r="E17" s="34" t="s">
        <v>70</v>
      </c>
      <c r="F17" s="34"/>
      <c r="G17" s="34"/>
      <c r="H17" s="34"/>
      <c r="I17" s="34"/>
    </row>
    <row r="18" spans="4:9" ht="15" outlineLevel="1" thickBot="1">
      <c r="F18" s="54" t="s">
        <v>69</v>
      </c>
      <c r="G18" s="54"/>
      <c r="H18" s="54"/>
      <c r="I18" s="54"/>
    </row>
    <row r="19" spans="4:9" ht="14.45" customHeight="1" outlineLevel="1" thickBot="1">
      <c r="E19" s="39">
        <f>B11</f>
        <v>2586.4691222911079</v>
      </c>
      <c r="F19" s="41">
        <v>20</v>
      </c>
      <c r="G19" s="41">
        <v>25</v>
      </c>
      <c r="H19" s="41">
        <v>30</v>
      </c>
      <c r="I19" s="41">
        <v>35</v>
      </c>
    </row>
    <row r="20" spans="4:9" outlineLevel="1">
      <c r="D20" s="55" t="s">
        <v>10</v>
      </c>
      <c r="E20" s="40">
        <v>0.06</v>
      </c>
      <c r="F20" s="43">
        <f t="dataTable" ref="F20:I25" dt2D="1" dtr="1" r1="B9" r2="B7"/>
        <v>2507.5087046735771</v>
      </c>
      <c r="G20" s="43">
        <v>2255.0549051992798</v>
      </c>
      <c r="H20" s="43">
        <v>2098.426838034633</v>
      </c>
      <c r="I20" s="43">
        <v>1995.6639783572671</v>
      </c>
    </row>
    <row r="21" spans="4:9" outlineLevel="1">
      <c r="D21" s="55"/>
      <c r="E21" s="40">
        <v>6.5000000000000002E-2</v>
      </c>
      <c r="F21" s="43">
        <v>2609.5059743028396</v>
      </c>
      <c r="G21" s="43">
        <v>2363.2250647167389</v>
      </c>
      <c r="H21" s="43">
        <v>2212.2380822253731</v>
      </c>
      <c r="I21" s="43">
        <v>2114.5401126943898</v>
      </c>
    </row>
    <row r="22" spans="4:9" outlineLevel="1">
      <c r="D22" s="55"/>
      <c r="E22" s="40">
        <v>7.0000000000000007E-2</v>
      </c>
      <c r="F22" s="43">
        <v>2713.546274666061</v>
      </c>
      <c r="G22" s="43">
        <v>2473.727190462821</v>
      </c>
      <c r="H22" s="43">
        <v>2328.5587331271408</v>
      </c>
      <c r="I22" s="43">
        <v>2235.9972548430733</v>
      </c>
    </row>
    <row r="23" spans="4:9" outlineLevel="1">
      <c r="D23" s="55"/>
      <c r="E23" s="40">
        <v>7.4999999999999997E-2</v>
      </c>
      <c r="F23" s="43">
        <v>2819.576177431325</v>
      </c>
      <c r="G23" s="43">
        <v>2586.4691222911079</v>
      </c>
      <c r="H23" s="43">
        <v>2447.2507799347272</v>
      </c>
      <c r="I23" s="43">
        <v>2359.8490979572298</v>
      </c>
    </row>
    <row r="24" spans="4:9" outlineLevel="1">
      <c r="D24" s="55"/>
      <c r="E24" s="40">
        <v>0.08</v>
      </c>
      <c r="F24" s="43">
        <v>2927.5402414771197</v>
      </c>
      <c r="G24" s="43">
        <v>2701.3567678055106</v>
      </c>
      <c r="H24" s="43">
        <v>2568.1760085778164</v>
      </c>
      <c r="I24" s="43">
        <v>2485.9130763411363</v>
      </c>
    </row>
    <row r="25" spans="4:9" outlineLevel="1">
      <c r="D25" s="55"/>
      <c r="E25" s="40">
        <v>8.5000000000000006E-2</v>
      </c>
      <c r="F25" s="43">
        <v>3037.3813167793687</v>
      </c>
      <c r="G25" s="43">
        <v>2818.2947921174596</v>
      </c>
      <c r="H25" s="43">
        <v>2691.1971925451676</v>
      </c>
      <c r="I25" s="43">
        <v>2614.0120011200584</v>
      </c>
    </row>
  </sheetData>
  <mergeCells count="4">
    <mergeCell ref="F4:I4"/>
    <mergeCell ref="D6:D11"/>
    <mergeCell ref="F18:I18"/>
    <mergeCell ref="D20:D25"/>
  </mergeCells>
  <conditionalFormatting sqref="F20:I25">
    <cfRule type="cellIs" dxfId="1" priority="1" operator="equal">
      <formula>$B$11</formula>
    </cfRule>
    <cfRule type="colorScale" priority="2">
      <colorScale>
        <cfvo type="min"/>
        <cfvo type="max"/>
        <color rgb="FFFCFCFF"/>
        <color rgb="FFC0A4BF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027B-F322-45EC-906A-AB204F8B7B7C}">
  <dimension ref="A1:K12"/>
  <sheetViews>
    <sheetView zoomScaleNormal="100" workbookViewId="0">
      <selection activeCell="F4" sqref="F4"/>
    </sheetView>
  </sheetViews>
  <sheetFormatPr defaultColWidth="8.875" defaultRowHeight="14.25" outlineLevelCol="1"/>
  <cols>
    <col min="1" max="1" width="10.125" customWidth="1"/>
    <col min="4" max="4" width="9.875" customWidth="1"/>
    <col min="5" max="6" width="5" customWidth="1"/>
    <col min="9" max="9" width="4" style="44" customWidth="1" outlineLevel="1"/>
    <col min="10" max="10" width="5" style="49" customWidth="1" outlineLevel="1"/>
    <col min="11" max="11" width="12.625" customWidth="1" outlineLevel="1"/>
    <col min="12" max="12" width="9.125"/>
  </cols>
  <sheetData>
    <row r="1" spans="1:11" ht="15">
      <c r="A1" s="15" t="s">
        <v>72</v>
      </c>
      <c r="B1" s="15"/>
      <c r="C1" s="15"/>
      <c r="D1" s="15"/>
      <c r="J1" s="47"/>
    </row>
    <row r="2" spans="1:11" ht="15">
      <c r="A2" s="1" t="s">
        <v>71</v>
      </c>
      <c r="B2" s="1" t="s">
        <v>23</v>
      </c>
      <c r="C2" s="1" t="s">
        <v>22</v>
      </c>
      <c r="D2" s="1" t="s">
        <v>21</v>
      </c>
      <c r="J2" s="50">
        <v>0.15</v>
      </c>
      <c r="K2" s="46" t="s">
        <v>73</v>
      </c>
    </row>
    <row r="3" spans="1:11" ht="15">
      <c r="A3" s="14" t="s">
        <v>20</v>
      </c>
      <c r="B3" s="13">
        <v>808</v>
      </c>
      <c r="C3" s="13">
        <v>968</v>
      </c>
      <c r="D3" s="13">
        <f t="shared" ref="D3:D10" si="0">B3-C3</f>
        <v>-160</v>
      </c>
      <c r="E3">
        <f>IF(D3&lt;0,1,2)</f>
        <v>1</v>
      </c>
      <c r="I3" s="45">
        <f>IF(D3&lt;0,1,2)</f>
        <v>1</v>
      </c>
      <c r="J3" s="48" t="str">
        <f>IF(ABS(D3/C3)&gt;=$J$2,"⚠️","")</f>
        <v>⚠️</v>
      </c>
      <c r="K3" s="24"/>
    </row>
    <row r="4" spans="1:11" ht="15">
      <c r="A4" s="14" t="s">
        <v>19</v>
      </c>
      <c r="B4" s="13">
        <v>549</v>
      </c>
      <c r="C4" s="13">
        <v>566</v>
      </c>
      <c r="D4" s="13">
        <f t="shared" si="0"/>
        <v>-17</v>
      </c>
      <c r="E4">
        <f t="shared" ref="E4:E12" si="1">IF(D4&lt;0,1,2)</f>
        <v>1</v>
      </c>
      <c r="I4" s="45">
        <f t="shared" ref="I4:I12" si="2">IF(D4&lt;0,1,2)</f>
        <v>1</v>
      </c>
      <c r="J4" s="48" t="str">
        <f t="shared" ref="J4:J10" si="3">IF(ABS(D4/C4)&gt;=$J$2,"⚠️","")</f>
        <v/>
      </c>
      <c r="K4" s="24"/>
    </row>
    <row r="5" spans="1:11" ht="15">
      <c r="A5" s="14" t="s">
        <v>18</v>
      </c>
      <c r="B5" s="13">
        <v>326</v>
      </c>
      <c r="C5" s="13">
        <v>314</v>
      </c>
      <c r="D5" s="13">
        <f t="shared" si="0"/>
        <v>12</v>
      </c>
      <c r="E5">
        <f t="shared" si="1"/>
        <v>2</v>
      </c>
      <c r="I5" s="45">
        <f t="shared" si="2"/>
        <v>2</v>
      </c>
      <c r="J5" s="48" t="str">
        <f t="shared" si="3"/>
        <v/>
      </c>
      <c r="K5" s="24"/>
    </row>
    <row r="6" spans="1:11" ht="15">
      <c r="A6" s="14" t="s">
        <v>17</v>
      </c>
      <c r="B6" s="13">
        <v>239</v>
      </c>
      <c r="C6" s="13">
        <v>175</v>
      </c>
      <c r="D6" s="13">
        <f t="shared" si="0"/>
        <v>64</v>
      </c>
      <c r="E6">
        <f t="shared" si="1"/>
        <v>2</v>
      </c>
      <c r="I6" s="45">
        <f t="shared" si="2"/>
        <v>2</v>
      </c>
      <c r="J6" s="48" t="str">
        <f t="shared" si="3"/>
        <v>⚠️</v>
      </c>
      <c r="K6" s="24"/>
    </row>
    <row r="7" spans="1:11" ht="15">
      <c r="A7" s="14" t="s">
        <v>16</v>
      </c>
      <c r="B7" s="13">
        <v>195</v>
      </c>
      <c r="C7" s="13">
        <v>201</v>
      </c>
      <c r="D7" s="13">
        <f t="shared" si="0"/>
        <v>-6</v>
      </c>
      <c r="E7">
        <f t="shared" si="1"/>
        <v>1</v>
      </c>
      <c r="I7" s="45">
        <f t="shared" si="2"/>
        <v>1</v>
      </c>
      <c r="J7" s="48" t="str">
        <f t="shared" si="3"/>
        <v/>
      </c>
      <c r="K7" s="24"/>
    </row>
    <row r="8" spans="1:11" ht="15">
      <c r="A8" s="14" t="s">
        <v>15</v>
      </c>
      <c r="B8" s="13">
        <v>255</v>
      </c>
      <c r="C8" s="13">
        <v>248</v>
      </c>
      <c r="D8" s="13">
        <f t="shared" si="0"/>
        <v>7</v>
      </c>
      <c r="E8">
        <f t="shared" si="1"/>
        <v>2</v>
      </c>
      <c r="I8" s="45">
        <f t="shared" si="2"/>
        <v>2</v>
      </c>
      <c r="J8" s="48" t="str">
        <f t="shared" si="3"/>
        <v/>
      </c>
      <c r="K8" s="24"/>
    </row>
    <row r="9" spans="1:11" ht="15">
      <c r="A9" s="14" t="s">
        <v>14</v>
      </c>
      <c r="B9" s="13">
        <v>500</v>
      </c>
      <c r="C9" s="13">
        <v>535</v>
      </c>
      <c r="D9" s="13">
        <f t="shared" si="0"/>
        <v>-35</v>
      </c>
      <c r="E9">
        <f t="shared" si="1"/>
        <v>1</v>
      </c>
      <c r="I9" s="45">
        <f t="shared" si="2"/>
        <v>1</v>
      </c>
      <c r="J9" s="48" t="str">
        <f t="shared" si="3"/>
        <v/>
      </c>
      <c r="K9" s="24"/>
    </row>
    <row r="10" spans="1:11" ht="15">
      <c r="A10" s="14" t="s">
        <v>13</v>
      </c>
      <c r="B10" s="13">
        <v>782</v>
      </c>
      <c r="C10" s="13">
        <v>753</v>
      </c>
      <c r="D10" s="13">
        <f t="shared" si="0"/>
        <v>29</v>
      </c>
      <c r="E10">
        <f t="shared" si="1"/>
        <v>2</v>
      </c>
      <c r="I10" s="45">
        <f t="shared" si="2"/>
        <v>2</v>
      </c>
      <c r="J10" s="48" t="str">
        <f t="shared" si="3"/>
        <v/>
      </c>
      <c r="K10" s="24"/>
    </row>
    <row r="11" spans="1:11" ht="15">
      <c r="A11" s="14" t="s">
        <v>74</v>
      </c>
      <c r="B11" s="13">
        <v>456.75</v>
      </c>
      <c r="C11" s="13">
        <v>470</v>
      </c>
      <c r="D11" s="13">
        <f t="shared" ref="D11:D12" si="4">B11-C11</f>
        <v>-13.25</v>
      </c>
      <c r="E11">
        <f t="shared" si="1"/>
        <v>1</v>
      </c>
      <c r="I11" s="45">
        <f t="shared" si="2"/>
        <v>1</v>
      </c>
      <c r="J11" s="48" t="str">
        <f t="shared" ref="J11:J12" si="5">IF(ABS(D11/C11)&gt;=$J$2,"⚠️","")</f>
        <v/>
      </c>
      <c r="K11" s="24"/>
    </row>
    <row r="12" spans="1:11" ht="15">
      <c r="A12" s="14" t="s">
        <v>75</v>
      </c>
      <c r="B12" s="13">
        <v>127.5</v>
      </c>
      <c r="C12" s="13">
        <v>124</v>
      </c>
      <c r="D12" s="13">
        <f t="shared" si="4"/>
        <v>3.5</v>
      </c>
      <c r="E12">
        <f t="shared" si="1"/>
        <v>2</v>
      </c>
      <c r="I12" s="45">
        <f t="shared" si="2"/>
        <v>2</v>
      </c>
      <c r="J12" s="48" t="str">
        <f t="shared" si="5"/>
        <v/>
      </c>
      <c r="K12" s="24"/>
    </row>
  </sheetData>
  <phoneticPr fontId="16" type="noConversion"/>
  <conditionalFormatting sqref="I3:I12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J3:J12">
    <cfRule type="cellIs" dxfId="0" priority="9" operator="equal">
      <formula>"⚠️"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Repay</vt:lpstr>
      <vt:lpstr>Anomalies</vt:lpstr>
      <vt:lpstr>Data Bar</vt:lpstr>
      <vt:lpstr>Heatmap</vt:lpstr>
      <vt:lpstr>Data Table</vt:lpstr>
      <vt:lpstr>Act vs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Stein Fairhurst</dc:creator>
  <cp:lastModifiedBy>Merouane Ned</cp:lastModifiedBy>
  <dcterms:created xsi:type="dcterms:W3CDTF">2024-04-25T04:56:16Z</dcterms:created>
  <dcterms:modified xsi:type="dcterms:W3CDTF">2025-03-14T07:14:11Z</dcterms:modified>
</cp:coreProperties>
</file>