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ty\Desktop\"/>
    </mc:Choice>
  </mc:AlternateContent>
  <xr:revisionPtr revIDLastSave="0" documentId="13_ncr:1_{1B7A112F-B6F7-4D4F-A1AA-96837B9C2E3B}" xr6:coauthVersionLast="47" xr6:coauthVersionMax="47" xr10:uidLastSave="{00000000-0000-0000-0000-000000000000}"/>
  <bookViews>
    <workbookView xWindow="-120" yWindow="-120" windowWidth="29040" windowHeight="15840" xr2:uid="{B236E6DF-1E82-4500-9BEE-5F62E248C790}"/>
  </bookViews>
  <sheets>
    <sheet name="TTF" sheetId="1" r:id="rId1"/>
    <sheet name="JKM" sheetId="2" r:id="rId2"/>
    <sheet name="Bre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" i="1"/>
  <c r="A1" i="4"/>
  <c r="A1262" i="1" l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</calcChain>
</file>

<file path=xl/sharedStrings.xml><?xml version="1.0" encoding="utf-8"?>
<sst xmlns="http://schemas.openxmlformats.org/spreadsheetml/2006/main" count="9" uniqueCount="8">
  <si>
    <t>%TFM 1!-ICN</t>
  </si>
  <si>
    <t>Last</t>
  </si>
  <si>
    <t>Volume</t>
  </si>
  <si>
    <t>Date</t>
  </si>
  <si>
    <t>JKM assessment price</t>
  </si>
  <si>
    <t>%BRN 1!-ICE</t>
  </si>
  <si>
    <t>BRENT CRUDE FUTURES - NORTH SEA - SEP24</t>
  </si>
  <si>
    <t>Last[S:USD/MMBTU]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</si>
</sst>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\ \t\t"/>
    <numFmt numFmtId="168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4" fontId="0" fillId="0" borderId="0" xfId="0" applyNumberFormat="1"/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F49B-CC20-4E14-9AB6-91E39A9BDCFF}">
  <dimension ref="A1:D1299"/>
  <sheetViews>
    <sheetView tabSelected="1" workbookViewId="0">
      <selection activeCell="F16" sqref="F16"/>
    </sheetView>
  </sheetViews>
  <sheetFormatPr defaultRowHeight="15" x14ac:dyDescent="0.25"/>
  <cols>
    <col min="1" max="1" width="16.140625" bestFit="1" customWidth="1"/>
  </cols>
  <sheetData>
    <row r="1" spans="1:4" x14ac:dyDescent="0.25">
      <c r="A1" t="str">
        <f>_xll.ICESeries(B1:D1,B2:D2,"I60",DATE(2024,1,1),DATE(2024,6,30),,"TimelineMerge=Union","Sort=Ascending","DayOfWeek=12345")</f>
        <v>Time Series</v>
      </c>
      <c r="B1" s="1" t="s">
        <v>0</v>
      </c>
      <c r="C1" s="1"/>
      <c r="D1" s="1"/>
    </row>
    <row r="2" spans="1:4" x14ac:dyDescent="0.25">
      <c r="B2" t="s">
        <v>1</v>
      </c>
      <c r="C2" t="s">
        <v>2</v>
      </c>
      <c r="D2" t="s">
        <v>7</v>
      </c>
    </row>
    <row r="4" spans="1:4" x14ac:dyDescent="0.25">
      <c r="A4" s="3">
        <f>SUM(DATE(2024,1,2),TIME(15,0,0))</f>
        <v>45293.625</v>
      </c>
      <c r="B4">
        <v>32.645000000000003</v>
      </c>
      <c r="C4">
        <v>4100</v>
      </c>
      <c r="D4" s="4">
        <v>10.530645161290323</v>
      </c>
    </row>
    <row r="5" spans="1:4" x14ac:dyDescent="0.25">
      <c r="A5" s="3">
        <f>SUM(DATE(2024,1,2),TIME(16,0,0))</f>
        <v>45293.666666666664</v>
      </c>
      <c r="B5">
        <v>32.555</v>
      </c>
      <c r="C5">
        <v>4350</v>
      </c>
      <c r="D5" s="4">
        <v>10.501612903225807</v>
      </c>
    </row>
    <row r="6" spans="1:4" x14ac:dyDescent="0.25">
      <c r="A6" s="3">
        <f>SUM(DATE(2024,1,2),TIME(17,0,0))</f>
        <v>45293.708333333336</v>
      </c>
      <c r="B6">
        <v>32.270000000000003</v>
      </c>
      <c r="C6">
        <v>3090</v>
      </c>
      <c r="D6" s="4">
        <v>10.409677419354839</v>
      </c>
    </row>
    <row r="7" spans="1:4" x14ac:dyDescent="0.25">
      <c r="A7" s="3">
        <f>SUM(DATE(2024,1,2),TIME(18,0,0))</f>
        <v>45293.75</v>
      </c>
      <c r="B7">
        <v>31.725000000000001</v>
      </c>
      <c r="C7">
        <v>4085</v>
      </c>
      <c r="D7" s="4">
        <v>10.233870967741936</v>
      </c>
    </row>
    <row r="8" spans="1:4" x14ac:dyDescent="0.25">
      <c r="A8" s="3">
        <f>SUM(DATE(2024,1,2),TIME(19,0,0))</f>
        <v>45293.791666666664</v>
      </c>
      <c r="B8">
        <v>31.725000000000001</v>
      </c>
      <c r="C8">
        <v>3175</v>
      </c>
      <c r="D8" s="4">
        <v>10.233870967741936</v>
      </c>
    </row>
    <row r="9" spans="1:4" x14ac:dyDescent="0.25">
      <c r="A9" s="3">
        <f>SUM(DATE(2024,1,2),TIME(20,0,0))</f>
        <v>45293.833333333336</v>
      </c>
      <c r="B9">
        <v>32.049999999999997</v>
      </c>
      <c r="C9">
        <v>1865</v>
      </c>
      <c r="D9" s="4">
        <v>10.338709677419354</v>
      </c>
    </row>
    <row r="10" spans="1:4" x14ac:dyDescent="0.25">
      <c r="A10" s="3">
        <f>SUM(DATE(2024,1,2),TIME(21,0,0))</f>
        <v>45293.875</v>
      </c>
      <c r="B10">
        <v>31.95</v>
      </c>
      <c r="C10">
        <v>3070</v>
      </c>
      <c r="D10" s="4">
        <v>10.306451612903226</v>
      </c>
    </row>
    <row r="11" spans="1:4" x14ac:dyDescent="0.25">
      <c r="A11" s="3">
        <f>SUM(DATE(2024,1,2),TIME(22,0,0))</f>
        <v>45293.916666666664</v>
      </c>
      <c r="B11">
        <v>30.8</v>
      </c>
      <c r="C11">
        <v>7110</v>
      </c>
      <c r="D11" s="4">
        <v>9.935483870967742</v>
      </c>
    </row>
    <row r="12" spans="1:4" x14ac:dyDescent="0.25">
      <c r="A12" s="3">
        <f>SUM(DATE(2024,1,2),TIME(23,0,0))</f>
        <v>45293.958333333336</v>
      </c>
      <c r="B12">
        <v>30.8</v>
      </c>
      <c r="C12">
        <v>3610</v>
      </c>
      <c r="D12" s="4">
        <v>9.935483870967742</v>
      </c>
    </row>
    <row r="13" spans="1:4" x14ac:dyDescent="0.25">
      <c r="A13" s="3">
        <f>SUM(DATE(2024,1,3),TIME(0,0,0))</f>
        <v>45294</v>
      </c>
      <c r="B13">
        <v>30.274999999999999</v>
      </c>
      <c r="C13">
        <v>11755</v>
      </c>
      <c r="D13" s="4">
        <v>9.7661290322580641</v>
      </c>
    </row>
    <row r="14" spans="1:4" x14ac:dyDescent="0.25">
      <c r="A14" s="3">
        <f>SUM(DATE(2024,1,3),TIME(15,0,0))</f>
        <v>45294.625</v>
      </c>
      <c r="B14">
        <v>31.195</v>
      </c>
      <c r="C14">
        <v>3670</v>
      </c>
      <c r="D14" s="4">
        <v>10.062903225806451</v>
      </c>
    </row>
    <row r="15" spans="1:4" x14ac:dyDescent="0.25">
      <c r="A15" s="3">
        <f>SUM(DATE(2024,1,3),TIME(16,0,0))</f>
        <v>45294.666666666664</v>
      </c>
      <c r="B15">
        <v>31.375</v>
      </c>
      <c r="C15">
        <v>6255</v>
      </c>
      <c r="D15" s="4">
        <v>10.120967741935484</v>
      </c>
    </row>
    <row r="16" spans="1:4" x14ac:dyDescent="0.25">
      <c r="A16" s="3">
        <f>SUM(DATE(2024,1,3),TIME(17,0,0))</f>
        <v>45294.708333333336</v>
      </c>
      <c r="B16">
        <v>31.765000000000001</v>
      </c>
      <c r="C16">
        <v>5620</v>
      </c>
      <c r="D16" s="4">
        <v>10.246774193548386</v>
      </c>
    </row>
    <row r="17" spans="1:4" x14ac:dyDescent="0.25">
      <c r="A17" s="3">
        <f>SUM(DATE(2024,1,3),TIME(18,0,0))</f>
        <v>45294.75</v>
      </c>
      <c r="B17">
        <v>32</v>
      </c>
      <c r="C17">
        <v>5470</v>
      </c>
      <c r="D17" s="4">
        <v>10.32258064516129</v>
      </c>
    </row>
    <row r="18" spans="1:4" x14ac:dyDescent="0.25">
      <c r="A18" s="3">
        <f>SUM(DATE(2024,1,3),TIME(19,0,0))</f>
        <v>45294.791666666664</v>
      </c>
      <c r="B18">
        <v>32.25</v>
      </c>
      <c r="C18">
        <v>7335</v>
      </c>
      <c r="D18" s="4">
        <v>10.403225806451612</v>
      </c>
    </row>
    <row r="19" spans="1:4" x14ac:dyDescent="0.25">
      <c r="A19" s="3">
        <f>SUM(DATE(2024,1,3),TIME(20,0,0))</f>
        <v>45294.833333333336</v>
      </c>
      <c r="B19">
        <v>31.97</v>
      </c>
      <c r="C19">
        <v>4055</v>
      </c>
      <c r="D19" s="4">
        <v>10.312903225806451</v>
      </c>
    </row>
    <row r="20" spans="1:4" x14ac:dyDescent="0.25">
      <c r="A20" s="3">
        <f>SUM(DATE(2024,1,3),TIME(21,0,0))</f>
        <v>45294.875</v>
      </c>
      <c r="B20">
        <v>31.91</v>
      </c>
      <c r="C20">
        <v>2695</v>
      </c>
      <c r="D20" s="4">
        <v>10.293548387096774</v>
      </c>
    </row>
    <row r="21" spans="1:4" x14ac:dyDescent="0.25">
      <c r="A21" s="3">
        <f>SUM(DATE(2024,1,3),TIME(22,0,0))</f>
        <v>45294.916666666664</v>
      </c>
      <c r="B21">
        <v>32.25</v>
      </c>
      <c r="C21">
        <v>5050</v>
      </c>
      <c r="D21" s="4">
        <v>10.403225806451612</v>
      </c>
    </row>
    <row r="22" spans="1:4" x14ac:dyDescent="0.25">
      <c r="A22" s="3">
        <f>SUM(DATE(2024,1,3),TIME(23,0,0))</f>
        <v>45294.958333333336</v>
      </c>
      <c r="B22">
        <v>32.685000000000002</v>
      </c>
      <c r="C22">
        <v>7070</v>
      </c>
      <c r="D22" s="4">
        <v>10.543548387096775</v>
      </c>
    </row>
    <row r="23" spans="1:4" x14ac:dyDescent="0.25">
      <c r="A23" s="3">
        <f>SUM(DATE(2024,1,4),TIME(0,0,0))</f>
        <v>45295</v>
      </c>
      <c r="B23">
        <v>33.055</v>
      </c>
      <c r="C23">
        <v>12725</v>
      </c>
      <c r="D23" s="4">
        <v>10.662903225806451</v>
      </c>
    </row>
    <row r="24" spans="1:4" x14ac:dyDescent="0.25">
      <c r="A24" s="3">
        <f>SUM(DATE(2024,1,4),TIME(15,0,0))</f>
        <v>45295.625</v>
      </c>
      <c r="B24">
        <v>33.9</v>
      </c>
      <c r="C24">
        <v>5835</v>
      </c>
      <c r="D24" s="4">
        <v>10.935483870967742</v>
      </c>
    </row>
    <row r="25" spans="1:4" x14ac:dyDescent="0.25">
      <c r="A25" s="3">
        <f>SUM(DATE(2024,1,4),TIME(16,0,0))</f>
        <v>45295.666666666664</v>
      </c>
      <c r="B25">
        <v>33.53</v>
      </c>
      <c r="C25">
        <v>5475</v>
      </c>
      <c r="D25" s="4">
        <v>10.816129032258065</v>
      </c>
    </row>
    <row r="26" spans="1:4" x14ac:dyDescent="0.25">
      <c r="A26" s="3">
        <f>SUM(DATE(2024,1,4),TIME(17,0,0))</f>
        <v>45295.708333333336</v>
      </c>
      <c r="B26">
        <v>33.6</v>
      </c>
      <c r="C26">
        <v>4335</v>
      </c>
      <c r="D26" s="4">
        <v>10.838709677419356</v>
      </c>
    </row>
    <row r="27" spans="1:4" x14ac:dyDescent="0.25">
      <c r="A27" s="3">
        <f>SUM(DATE(2024,1,4),TIME(18,0,0))</f>
        <v>45295.75</v>
      </c>
      <c r="B27">
        <v>33.295000000000002</v>
      </c>
      <c r="C27">
        <v>6215</v>
      </c>
      <c r="D27" s="4">
        <v>10.740322580645161</v>
      </c>
    </row>
    <row r="28" spans="1:4" x14ac:dyDescent="0.25">
      <c r="A28" s="3">
        <f>SUM(DATE(2024,1,4),TIME(19,0,0))</f>
        <v>45295.791666666664</v>
      </c>
      <c r="B28">
        <v>33.594999999999999</v>
      </c>
      <c r="C28">
        <v>3490</v>
      </c>
      <c r="D28" s="4">
        <v>10.837096774193547</v>
      </c>
    </row>
    <row r="29" spans="1:4" x14ac:dyDescent="0.25">
      <c r="A29" s="3">
        <f>SUM(DATE(2024,1,4),TIME(20,0,0))</f>
        <v>45295.833333333336</v>
      </c>
      <c r="B29">
        <v>33.475000000000001</v>
      </c>
      <c r="C29">
        <v>2335</v>
      </c>
      <c r="D29" s="4">
        <v>10.798387096774194</v>
      </c>
    </row>
    <row r="30" spans="1:4" x14ac:dyDescent="0.25">
      <c r="A30" s="3">
        <f>SUM(DATE(2024,1,4),TIME(21,0,0))</f>
        <v>45295.875</v>
      </c>
      <c r="B30">
        <v>32.5</v>
      </c>
      <c r="C30">
        <v>9080</v>
      </c>
      <c r="D30" s="4">
        <v>10.483870967741936</v>
      </c>
    </row>
    <row r="31" spans="1:4" x14ac:dyDescent="0.25">
      <c r="A31" s="3">
        <f>SUM(DATE(2024,1,4),TIME(22,0,0))</f>
        <v>45295.916666666664</v>
      </c>
      <c r="B31">
        <v>32.450000000000003</v>
      </c>
      <c r="C31">
        <v>5985</v>
      </c>
      <c r="D31" s="4">
        <v>10.467741935483872</v>
      </c>
    </row>
    <row r="32" spans="1:4" x14ac:dyDescent="0.25">
      <c r="A32" s="3">
        <f>SUM(DATE(2024,1,4),TIME(23,0,0))</f>
        <v>45295.958333333336</v>
      </c>
      <c r="B32">
        <v>33.65</v>
      </c>
      <c r="C32">
        <v>9365</v>
      </c>
      <c r="D32" s="4">
        <v>10.854838709677418</v>
      </c>
    </row>
    <row r="33" spans="1:4" x14ac:dyDescent="0.25">
      <c r="A33" s="3">
        <f>SUM(DATE(2024,1,5),TIME(0,0,0))</f>
        <v>45296</v>
      </c>
      <c r="B33">
        <v>33.784999999999997</v>
      </c>
      <c r="C33">
        <v>11835</v>
      </c>
      <c r="D33" s="4">
        <v>10.898387096774192</v>
      </c>
    </row>
    <row r="34" spans="1:4" x14ac:dyDescent="0.25">
      <c r="A34" s="3">
        <f>SUM(DATE(2024,1,5),TIME(15,0,0))</f>
        <v>45296.625</v>
      </c>
      <c r="B34">
        <v>32.86</v>
      </c>
      <c r="C34">
        <v>4260</v>
      </c>
      <c r="D34" s="4">
        <v>10.6</v>
      </c>
    </row>
    <row r="35" spans="1:4" x14ac:dyDescent="0.25">
      <c r="A35" s="3">
        <f>SUM(DATE(2024,1,5),TIME(16,0,0))</f>
        <v>45296.666666666664</v>
      </c>
      <c r="B35">
        <v>33.14</v>
      </c>
      <c r="C35">
        <v>5625</v>
      </c>
      <c r="D35" s="4">
        <v>10.69032258064516</v>
      </c>
    </row>
    <row r="36" spans="1:4" x14ac:dyDescent="0.25">
      <c r="A36" s="3">
        <f>SUM(DATE(2024,1,5),TIME(17,0,0))</f>
        <v>45296.708333333336</v>
      </c>
      <c r="B36">
        <v>33.93</v>
      </c>
      <c r="C36">
        <v>6380</v>
      </c>
      <c r="D36" s="4">
        <v>10.945161290322581</v>
      </c>
    </row>
    <row r="37" spans="1:4" x14ac:dyDescent="0.25">
      <c r="A37" s="3">
        <f>SUM(DATE(2024,1,5),TIME(18,0,0))</f>
        <v>45296.75</v>
      </c>
      <c r="B37">
        <v>33.82</v>
      </c>
      <c r="C37">
        <v>6255</v>
      </c>
      <c r="D37" s="4">
        <v>10.909677419354839</v>
      </c>
    </row>
    <row r="38" spans="1:4" x14ac:dyDescent="0.25">
      <c r="A38" s="3">
        <f>SUM(DATE(2024,1,5),TIME(19,0,0))</f>
        <v>45296.791666666664</v>
      </c>
      <c r="B38">
        <v>34.715000000000003</v>
      </c>
      <c r="C38">
        <v>6205</v>
      </c>
      <c r="D38" s="4">
        <v>11.198387096774194</v>
      </c>
    </row>
    <row r="39" spans="1:4" x14ac:dyDescent="0.25">
      <c r="A39" s="3">
        <f>SUM(DATE(2024,1,5),TIME(20,0,0))</f>
        <v>45296.833333333336</v>
      </c>
      <c r="B39">
        <v>34.35</v>
      </c>
      <c r="C39">
        <v>5070</v>
      </c>
      <c r="D39" s="4">
        <v>11.080645161290322</v>
      </c>
    </row>
    <row r="40" spans="1:4" x14ac:dyDescent="0.25">
      <c r="A40" s="3">
        <f>SUM(DATE(2024,1,5),TIME(21,0,0))</f>
        <v>45296.875</v>
      </c>
      <c r="B40">
        <v>34.76</v>
      </c>
      <c r="C40">
        <v>4475</v>
      </c>
      <c r="D40" s="4">
        <v>11.21290322580645</v>
      </c>
    </row>
    <row r="41" spans="1:4" x14ac:dyDescent="0.25">
      <c r="A41" s="3">
        <f>SUM(DATE(2024,1,5),TIME(22,0,0))</f>
        <v>45296.916666666664</v>
      </c>
      <c r="B41">
        <v>35</v>
      </c>
      <c r="C41">
        <v>5335</v>
      </c>
      <c r="D41" s="4">
        <v>11.29032258064516</v>
      </c>
    </row>
    <row r="42" spans="1:4" x14ac:dyDescent="0.25">
      <c r="A42" s="3">
        <f>SUM(DATE(2024,1,5),TIME(23,0,0))</f>
        <v>45296.958333333336</v>
      </c>
      <c r="B42">
        <v>34.805</v>
      </c>
      <c r="C42">
        <v>5110</v>
      </c>
      <c r="D42" s="4">
        <v>11.227419354838709</v>
      </c>
    </row>
    <row r="43" spans="1:4" x14ac:dyDescent="0.25">
      <c r="A43" s="3">
        <f>SUM(DATE(2024,1,8),TIME(15,0,0))</f>
        <v>45299.625</v>
      </c>
      <c r="B43">
        <v>33.215000000000003</v>
      </c>
      <c r="C43">
        <v>5320</v>
      </c>
      <c r="D43" s="4">
        <v>10.714516129032258</v>
      </c>
    </row>
    <row r="44" spans="1:4" x14ac:dyDescent="0.25">
      <c r="A44" s="3">
        <f>SUM(DATE(2024,1,8),TIME(16,0,0))</f>
        <v>45299.666666666664</v>
      </c>
      <c r="B44">
        <v>32.44</v>
      </c>
      <c r="C44">
        <v>9285</v>
      </c>
      <c r="D44" s="4">
        <v>10.464516129032257</v>
      </c>
    </row>
    <row r="45" spans="1:4" x14ac:dyDescent="0.25">
      <c r="A45" s="3">
        <f>SUM(DATE(2024,1,8),TIME(17,0,0))</f>
        <v>45299.708333333336</v>
      </c>
      <c r="B45">
        <v>32.32</v>
      </c>
      <c r="C45">
        <v>5225</v>
      </c>
      <c r="D45" s="4">
        <v>10.425806451612903</v>
      </c>
    </row>
    <row r="46" spans="1:4" x14ac:dyDescent="0.25">
      <c r="A46" s="3">
        <f>SUM(DATE(2024,1,8),TIME(18,0,0))</f>
        <v>45299.75</v>
      </c>
      <c r="B46">
        <v>31.97</v>
      </c>
      <c r="C46">
        <v>6340</v>
      </c>
      <c r="D46" s="4">
        <v>10.312903225806451</v>
      </c>
    </row>
    <row r="47" spans="1:4" x14ac:dyDescent="0.25">
      <c r="A47" s="3">
        <f>SUM(DATE(2024,1,8),TIME(19,0,0))</f>
        <v>45299.791666666664</v>
      </c>
      <c r="B47">
        <v>31.885000000000002</v>
      </c>
      <c r="C47">
        <v>4690</v>
      </c>
      <c r="D47" s="4">
        <v>10.285483870967742</v>
      </c>
    </row>
    <row r="48" spans="1:4" x14ac:dyDescent="0.25">
      <c r="A48" s="3">
        <f>SUM(DATE(2024,1,8),TIME(20,0,0))</f>
        <v>45299.833333333336</v>
      </c>
      <c r="B48">
        <v>31.524999999999999</v>
      </c>
      <c r="C48">
        <v>4515</v>
      </c>
      <c r="D48" s="4">
        <v>10.169354838709676</v>
      </c>
    </row>
    <row r="49" spans="1:4" x14ac:dyDescent="0.25">
      <c r="A49" s="3">
        <f>SUM(DATE(2024,1,8),TIME(21,0,0))</f>
        <v>45299.875</v>
      </c>
      <c r="B49">
        <v>31.93</v>
      </c>
      <c r="C49">
        <v>4275</v>
      </c>
      <c r="D49" s="4">
        <v>10.299999999999999</v>
      </c>
    </row>
    <row r="50" spans="1:4" x14ac:dyDescent="0.25">
      <c r="A50" s="3">
        <f>SUM(DATE(2024,1,8),TIME(22,0,0))</f>
        <v>45299.916666666664</v>
      </c>
      <c r="B50">
        <v>31.734999999999999</v>
      </c>
      <c r="C50">
        <v>5590</v>
      </c>
      <c r="D50" s="4">
        <v>10.237096774193548</v>
      </c>
    </row>
    <row r="51" spans="1:4" x14ac:dyDescent="0.25">
      <c r="A51" s="3">
        <f>SUM(DATE(2024,1,8),TIME(23,0,0))</f>
        <v>45299.958333333336</v>
      </c>
      <c r="B51">
        <v>31.355</v>
      </c>
      <c r="C51">
        <v>7420</v>
      </c>
      <c r="D51" s="4">
        <v>10.114516129032259</v>
      </c>
    </row>
    <row r="52" spans="1:4" x14ac:dyDescent="0.25">
      <c r="A52" s="3">
        <f>SUM(DATE(2024,1,9),TIME(0,0,0))</f>
        <v>45300</v>
      </c>
      <c r="B52">
        <v>31.625</v>
      </c>
      <c r="C52">
        <v>13335</v>
      </c>
      <c r="D52" s="4">
        <v>10.201612903225806</v>
      </c>
    </row>
    <row r="53" spans="1:4" x14ac:dyDescent="0.25">
      <c r="A53" s="3">
        <f>SUM(DATE(2024,1,9),TIME(15,0,0))</f>
        <v>45300.625</v>
      </c>
      <c r="B53">
        <v>30.4</v>
      </c>
      <c r="C53">
        <v>5940</v>
      </c>
      <c r="D53" s="4">
        <v>9.8064516129032242</v>
      </c>
    </row>
    <row r="54" spans="1:4" x14ac:dyDescent="0.25">
      <c r="A54" s="3">
        <f>SUM(DATE(2024,1,9),TIME(16,0,0))</f>
        <v>45300.666666666664</v>
      </c>
      <c r="B54">
        <v>30.925000000000001</v>
      </c>
      <c r="C54">
        <v>6395</v>
      </c>
      <c r="D54" s="4">
        <v>9.9758064516129039</v>
      </c>
    </row>
    <row r="55" spans="1:4" x14ac:dyDescent="0.25">
      <c r="A55" s="3">
        <f>SUM(DATE(2024,1,9),TIME(17,0,0))</f>
        <v>45300.708333333336</v>
      </c>
      <c r="B55">
        <v>31.155000000000001</v>
      </c>
      <c r="C55">
        <v>5600</v>
      </c>
      <c r="D55" s="4">
        <v>10.050000000000001</v>
      </c>
    </row>
    <row r="56" spans="1:4" x14ac:dyDescent="0.25">
      <c r="A56" s="3">
        <f>SUM(DATE(2024,1,9),TIME(18,0,0))</f>
        <v>45300.75</v>
      </c>
      <c r="B56">
        <v>30.85</v>
      </c>
      <c r="C56">
        <v>3890</v>
      </c>
      <c r="D56" s="4">
        <v>9.9516129032258061</v>
      </c>
    </row>
    <row r="57" spans="1:4" x14ac:dyDescent="0.25">
      <c r="A57" s="3">
        <f>SUM(DATE(2024,1,9),TIME(19,0,0))</f>
        <v>45300.791666666664</v>
      </c>
      <c r="B57">
        <v>31.47</v>
      </c>
      <c r="C57">
        <v>4595</v>
      </c>
      <c r="D57" s="4">
        <v>10.151612903225805</v>
      </c>
    </row>
    <row r="58" spans="1:4" x14ac:dyDescent="0.25">
      <c r="A58" s="3">
        <f>SUM(DATE(2024,1,9),TIME(20,0,0))</f>
        <v>45300.833333333336</v>
      </c>
      <c r="B58">
        <v>31.7</v>
      </c>
      <c r="C58">
        <v>3710</v>
      </c>
      <c r="D58" s="4">
        <v>10.225806451612902</v>
      </c>
    </row>
    <row r="59" spans="1:4" x14ac:dyDescent="0.25">
      <c r="A59" s="3">
        <f>SUM(DATE(2024,1,9),TIME(21,0,0))</f>
        <v>45300.875</v>
      </c>
      <c r="B59">
        <v>30.925000000000001</v>
      </c>
      <c r="C59">
        <v>5105</v>
      </c>
      <c r="D59" s="4">
        <v>9.9758064516129039</v>
      </c>
    </row>
    <row r="60" spans="1:4" x14ac:dyDescent="0.25">
      <c r="A60" s="3">
        <f>SUM(DATE(2024,1,9),TIME(22,0,0))</f>
        <v>45300.916666666664</v>
      </c>
      <c r="B60">
        <v>30.844999999999999</v>
      </c>
      <c r="C60">
        <v>4355</v>
      </c>
      <c r="D60" s="4">
        <v>9.9499999999999993</v>
      </c>
    </row>
    <row r="61" spans="1:4" x14ac:dyDescent="0.25">
      <c r="A61" s="3">
        <f>SUM(DATE(2024,1,9),TIME(23,0,0))</f>
        <v>45300.958333333336</v>
      </c>
      <c r="B61">
        <v>30.535</v>
      </c>
      <c r="C61">
        <v>7530</v>
      </c>
      <c r="D61" s="4">
        <v>9.85</v>
      </c>
    </row>
    <row r="62" spans="1:4" x14ac:dyDescent="0.25">
      <c r="A62" s="3">
        <f>SUM(DATE(2024,1,10),TIME(0,0,0))</f>
        <v>45301</v>
      </c>
      <c r="B62">
        <v>31.045000000000002</v>
      </c>
      <c r="C62">
        <v>10395</v>
      </c>
      <c r="D62" s="4">
        <v>10.014516129032259</v>
      </c>
    </row>
    <row r="63" spans="1:4" x14ac:dyDescent="0.25">
      <c r="A63" s="3">
        <f>SUM(DATE(2024,1,10),TIME(15,0,0))</f>
        <v>45301.625</v>
      </c>
      <c r="B63">
        <v>31.33</v>
      </c>
      <c r="C63">
        <v>4260</v>
      </c>
      <c r="D63" s="4">
        <v>10.106451612903225</v>
      </c>
    </row>
    <row r="64" spans="1:4" x14ac:dyDescent="0.25">
      <c r="A64" s="3">
        <f>SUM(DATE(2024,1,10),TIME(16,0,0))</f>
        <v>45301.666666666664</v>
      </c>
      <c r="B64">
        <v>30.55</v>
      </c>
      <c r="C64">
        <v>7910</v>
      </c>
      <c r="D64" s="4">
        <v>9.8548387096774199</v>
      </c>
    </row>
    <row r="65" spans="1:4" x14ac:dyDescent="0.25">
      <c r="A65" s="3">
        <f>SUM(DATE(2024,1,10),TIME(17,0,0))</f>
        <v>45301.708333333336</v>
      </c>
      <c r="B65">
        <v>30.6</v>
      </c>
      <c r="C65">
        <v>4950</v>
      </c>
      <c r="D65" s="4">
        <v>9.870967741935484</v>
      </c>
    </row>
    <row r="66" spans="1:4" x14ac:dyDescent="0.25">
      <c r="A66" s="3">
        <f>SUM(DATE(2024,1,10),TIME(18,0,0))</f>
        <v>45301.75</v>
      </c>
      <c r="B66">
        <v>30.95</v>
      </c>
      <c r="C66">
        <v>5835</v>
      </c>
      <c r="D66" s="4">
        <v>9.9838709677419342</v>
      </c>
    </row>
    <row r="67" spans="1:4" x14ac:dyDescent="0.25">
      <c r="A67" s="3">
        <f>SUM(DATE(2024,1,10),TIME(19,0,0))</f>
        <v>45301.791666666664</v>
      </c>
      <c r="B67">
        <v>30.945</v>
      </c>
      <c r="C67">
        <v>3460</v>
      </c>
      <c r="D67" s="4">
        <v>9.9822580645161292</v>
      </c>
    </row>
    <row r="68" spans="1:4" x14ac:dyDescent="0.25">
      <c r="A68" s="3">
        <f>SUM(DATE(2024,1,10),TIME(20,0,0))</f>
        <v>45301.833333333336</v>
      </c>
      <c r="B68">
        <v>31.38</v>
      </c>
      <c r="C68">
        <v>3950</v>
      </c>
      <c r="D68" s="4">
        <v>10.122580645161289</v>
      </c>
    </row>
    <row r="69" spans="1:4" x14ac:dyDescent="0.25">
      <c r="A69" s="3">
        <f>SUM(DATE(2024,1,10),TIME(21,0,0))</f>
        <v>45301.875</v>
      </c>
      <c r="B69">
        <v>31.26</v>
      </c>
      <c r="C69">
        <v>3660</v>
      </c>
      <c r="D69" s="4">
        <v>10.083870967741936</v>
      </c>
    </row>
    <row r="70" spans="1:4" x14ac:dyDescent="0.25">
      <c r="A70" s="3">
        <f>SUM(DATE(2024,1,10),TIME(22,0,0))</f>
        <v>45301.916666666664</v>
      </c>
      <c r="B70">
        <v>31.35</v>
      </c>
      <c r="C70">
        <v>4730</v>
      </c>
      <c r="D70" s="4">
        <v>10.112903225806452</v>
      </c>
    </row>
    <row r="71" spans="1:4" x14ac:dyDescent="0.25">
      <c r="A71" s="3">
        <f>SUM(DATE(2024,1,10),TIME(23,0,0))</f>
        <v>45301.958333333336</v>
      </c>
      <c r="B71">
        <v>30.86</v>
      </c>
      <c r="C71">
        <v>7205</v>
      </c>
      <c r="D71" s="4">
        <v>9.9548387096774196</v>
      </c>
    </row>
    <row r="72" spans="1:4" x14ac:dyDescent="0.25">
      <c r="A72" s="3">
        <f>SUM(DATE(2024,1,11),TIME(0,0,0))</f>
        <v>45302</v>
      </c>
      <c r="B72">
        <v>31.19</v>
      </c>
      <c r="C72">
        <v>10025</v>
      </c>
      <c r="D72" s="4">
        <v>10.061290322580644</v>
      </c>
    </row>
    <row r="73" spans="1:4" x14ac:dyDescent="0.25">
      <c r="A73" s="3">
        <f>SUM(DATE(2024,1,11),TIME(15,0,0))</f>
        <v>45302.625</v>
      </c>
      <c r="B73">
        <v>30.6</v>
      </c>
      <c r="C73">
        <v>3825</v>
      </c>
      <c r="D73" s="4">
        <v>9.870967741935484</v>
      </c>
    </row>
    <row r="74" spans="1:4" x14ac:dyDescent="0.25">
      <c r="A74" s="3">
        <f>SUM(DATE(2024,1,11),TIME(16,0,0))</f>
        <v>45302.666666666664</v>
      </c>
      <c r="B74">
        <v>30.425000000000001</v>
      </c>
      <c r="C74">
        <v>4975</v>
      </c>
      <c r="D74" s="4">
        <v>9.814516129032258</v>
      </c>
    </row>
    <row r="75" spans="1:4" x14ac:dyDescent="0.25">
      <c r="A75" s="3">
        <f>SUM(DATE(2024,1,11),TIME(17,0,0))</f>
        <v>45302.708333333336</v>
      </c>
      <c r="B75">
        <v>30.75</v>
      </c>
      <c r="C75">
        <v>3230</v>
      </c>
      <c r="D75" s="4">
        <v>9.9193548387096779</v>
      </c>
    </row>
    <row r="76" spans="1:4" x14ac:dyDescent="0.25">
      <c r="A76" s="3">
        <f>SUM(DATE(2024,1,11),TIME(18,0,0))</f>
        <v>45302.75</v>
      </c>
      <c r="B76">
        <v>30.74</v>
      </c>
      <c r="C76">
        <v>3125</v>
      </c>
      <c r="D76" s="4">
        <v>9.9161290322580644</v>
      </c>
    </row>
    <row r="77" spans="1:4" x14ac:dyDescent="0.25">
      <c r="A77" s="3">
        <f>SUM(DATE(2024,1,11),TIME(19,0,0))</f>
        <v>45302.791666666664</v>
      </c>
      <c r="B77">
        <v>30.664999999999999</v>
      </c>
      <c r="C77">
        <v>2235</v>
      </c>
      <c r="D77" s="4">
        <v>9.8919354838709666</v>
      </c>
    </row>
    <row r="78" spans="1:4" x14ac:dyDescent="0.25">
      <c r="A78" s="3">
        <f>SUM(DATE(2024,1,11),TIME(20,0,0))</f>
        <v>45302.833333333336</v>
      </c>
      <c r="B78">
        <v>30.39</v>
      </c>
      <c r="C78">
        <v>3550</v>
      </c>
      <c r="D78" s="4">
        <v>9.8032258064516125</v>
      </c>
    </row>
    <row r="79" spans="1:4" x14ac:dyDescent="0.25">
      <c r="A79" s="3">
        <f>SUM(DATE(2024,1,11),TIME(21,0,0))</f>
        <v>45302.875</v>
      </c>
      <c r="B79">
        <v>30.68</v>
      </c>
      <c r="C79">
        <v>3705</v>
      </c>
      <c r="D79" s="4">
        <v>9.8967741935483868</v>
      </c>
    </row>
    <row r="80" spans="1:4" x14ac:dyDescent="0.25">
      <c r="A80" s="3">
        <f>SUM(DATE(2024,1,11),TIME(22,0,0))</f>
        <v>45302.916666666664</v>
      </c>
      <c r="B80">
        <v>30.78</v>
      </c>
      <c r="C80">
        <v>4490</v>
      </c>
      <c r="D80" s="4">
        <v>9.9290322580645167</v>
      </c>
    </row>
    <row r="81" spans="1:4" x14ac:dyDescent="0.25">
      <c r="A81" s="3">
        <f>SUM(DATE(2024,1,11),TIME(23,0,0))</f>
        <v>45302.958333333336</v>
      </c>
      <c r="B81">
        <v>30.75</v>
      </c>
      <c r="C81">
        <v>3965</v>
      </c>
      <c r="D81" s="4">
        <v>9.9193548387096779</v>
      </c>
    </row>
    <row r="82" spans="1:4" x14ac:dyDescent="0.25">
      <c r="A82" s="3">
        <f>SUM(DATE(2024,1,12),TIME(0,0,0))</f>
        <v>45303</v>
      </c>
      <c r="B82">
        <v>30.8</v>
      </c>
      <c r="C82">
        <v>11290</v>
      </c>
      <c r="D82" s="4">
        <v>9.935483870967742</v>
      </c>
    </row>
    <row r="83" spans="1:4" x14ac:dyDescent="0.25">
      <c r="A83" s="3">
        <f>SUM(DATE(2024,1,12),TIME(15,0,0))</f>
        <v>45303.625</v>
      </c>
      <c r="B83">
        <v>31.5</v>
      </c>
      <c r="C83">
        <v>3755</v>
      </c>
      <c r="D83" s="4">
        <v>10.161290322580644</v>
      </c>
    </row>
    <row r="84" spans="1:4" x14ac:dyDescent="0.25">
      <c r="A84" s="3">
        <f>SUM(DATE(2024,1,12),TIME(16,0,0))</f>
        <v>45303.666666666664</v>
      </c>
      <c r="B84">
        <v>31.43</v>
      </c>
      <c r="C84">
        <v>4075</v>
      </c>
      <c r="D84" s="4">
        <v>10.138709677419355</v>
      </c>
    </row>
    <row r="85" spans="1:4" x14ac:dyDescent="0.25">
      <c r="A85" s="3">
        <f>SUM(DATE(2024,1,12),TIME(17,0,0))</f>
        <v>45303.708333333336</v>
      </c>
      <c r="B85">
        <v>31.234999999999999</v>
      </c>
      <c r="C85">
        <v>2315</v>
      </c>
      <c r="D85" s="4">
        <v>10.075806451612904</v>
      </c>
    </row>
    <row r="86" spans="1:4" x14ac:dyDescent="0.25">
      <c r="A86" s="3">
        <f>SUM(DATE(2024,1,12),TIME(18,0,0))</f>
        <v>45303.75</v>
      </c>
      <c r="B86">
        <v>31.625</v>
      </c>
      <c r="C86">
        <v>5015</v>
      </c>
      <c r="D86" s="4">
        <v>10.201612903225806</v>
      </c>
    </row>
    <row r="87" spans="1:4" x14ac:dyDescent="0.25">
      <c r="A87" s="3">
        <f>SUM(DATE(2024,1,12),TIME(19,0,0))</f>
        <v>45303.791666666664</v>
      </c>
      <c r="B87">
        <v>31.68</v>
      </c>
      <c r="C87">
        <v>5475</v>
      </c>
      <c r="D87" s="4">
        <v>10.219354838709677</v>
      </c>
    </row>
    <row r="88" spans="1:4" x14ac:dyDescent="0.25">
      <c r="A88" s="3">
        <f>SUM(DATE(2024,1,12),TIME(20,0,0))</f>
        <v>45303.833333333336</v>
      </c>
      <c r="B88">
        <v>31.655000000000001</v>
      </c>
      <c r="C88">
        <v>2555</v>
      </c>
      <c r="D88" s="4">
        <v>10.211290322580645</v>
      </c>
    </row>
    <row r="89" spans="1:4" x14ac:dyDescent="0.25">
      <c r="A89" s="3">
        <f>SUM(DATE(2024,1,12),TIME(21,0,0))</f>
        <v>45303.875</v>
      </c>
      <c r="B89">
        <v>31.355</v>
      </c>
      <c r="C89">
        <v>6185</v>
      </c>
      <c r="D89" s="4">
        <v>10.114516129032259</v>
      </c>
    </row>
    <row r="90" spans="1:4" x14ac:dyDescent="0.25">
      <c r="A90" s="3">
        <f>SUM(DATE(2024,1,12),TIME(22,0,0))</f>
        <v>45303.916666666664</v>
      </c>
      <c r="B90">
        <v>31.545000000000002</v>
      </c>
      <c r="C90">
        <v>7805</v>
      </c>
      <c r="D90" s="4">
        <v>10.175806451612903</v>
      </c>
    </row>
    <row r="91" spans="1:4" x14ac:dyDescent="0.25">
      <c r="A91" s="3">
        <f>SUM(DATE(2024,1,12),TIME(23,0,0))</f>
        <v>45303.958333333336</v>
      </c>
      <c r="B91">
        <v>32.055</v>
      </c>
      <c r="C91">
        <v>10100</v>
      </c>
      <c r="D91" s="4">
        <v>10.340322580645161</v>
      </c>
    </row>
    <row r="92" spans="1:4" x14ac:dyDescent="0.25">
      <c r="A92" s="3">
        <f>SUM(DATE(2024,1,15),TIME(15,0,0))</f>
        <v>45306.625</v>
      </c>
      <c r="B92">
        <v>30.645</v>
      </c>
      <c r="C92">
        <v>7445</v>
      </c>
      <c r="D92" s="4">
        <v>9.8854838709677413</v>
      </c>
    </row>
    <row r="93" spans="1:4" x14ac:dyDescent="0.25">
      <c r="A93" s="3">
        <f>SUM(DATE(2024,1,15),TIME(16,0,0))</f>
        <v>45306.666666666664</v>
      </c>
      <c r="B93">
        <v>30.405000000000001</v>
      </c>
      <c r="C93">
        <v>5740</v>
      </c>
      <c r="D93" s="4">
        <v>9.8080645161290327</v>
      </c>
    </row>
    <row r="94" spans="1:4" x14ac:dyDescent="0.25">
      <c r="A94" s="3">
        <f>SUM(DATE(2024,1,15),TIME(17,0,0))</f>
        <v>45306.708333333336</v>
      </c>
      <c r="B94">
        <v>30.56</v>
      </c>
      <c r="C94">
        <v>4295</v>
      </c>
      <c r="D94" s="4">
        <v>9.8580645161290317</v>
      </c>
    </row>
    <row r="95" spans="1:4" x14ac:dyDescent="0.25">
      <c r="A95" s="3">
        <f>SUM(DATE(2024,1,15),TIME(18,0,0))</f>
        <v>45306.75</v>
      </c>
      <c r="B95">
        <v>30.72</v>
      </c>
      <c r="C95">
        <v>3630</v>
      </c>
      <c r="D95" s="4">
        <v>9.9096774193548374</v>
      </c>
    </row>
    <row r="96" spans="1:4" x14ac:dyDescent="0.25">
      <c r="A96" s="3">
        <f>SUM(DATE(2024,1,15),TIME(19,0,0))</f>
        <v>45306.791666666664</v>
      </c>
      <c r="B96">
        <v>30.484999999999999</v>
      </c>
      <c r="C96">
        <v>3080</v>
      </c>
      <c r="D96" s="4">
        <v>9.8338709677419356</v>
      </c>
    </row>
    <row r="97" spans="1:4" x14ac:dyDescent="0.25">
      <c r="A97" s="3">
        <f>SUM(DATE(2024,1,15),TIME(20,0,0))</f>
        <v>45306.833333333336</v>
      </c>
      <c r="B97">
        <v>29.574999999999999</v>
      </c>
      <c r="C97">
        <v>8730</v>
      </c>
      <c r="D97" s="4">
        <v>9.5403225806451601</v>
      </c>
    </row>
    <row r="98" spans="1:4" x14ac:dyDescent="0.25">
      <c r="A98" s="3">
        <f>SUM(DATE(2024,1,15),TIME(21,0,0))</f>
        <v>45306.875</v>
      </c>
      <c r="B98">
        <v>29.8</v>
      </c>
      <c r="C98">
        <v>5515</v>
      </c>
      <c r="D98" s="4">
        <v>9.612903225806452</v>
      </c>
    </row>
    <row r="99" spans="1:4" x14ac:dyDescent="0.25">
      <c r="A99" s="3">
        <f>SUM(DATE(2024,1,15),TIME(22,0,0))</f>
        <v>45306.916666666664</v>
      </c>
      <c r="B99">
        <v>29.9</v>
      </c>
      <c r="C99">
        <v>3735</v>
      </c>
      <c r="D99" s="4">
        <v>9.6451612903225801</v>
      </c>
    </row>
    <row r="100" spans="1:4" x14ac:dyDescent="0.25">
      <c r="A100" s="3">
        <f>SUM(DATE(2024,1,15),TIME(23,0,0))</f>
        <v>45306.958333333336</v>
      </c>
      <c r="B100">
        <v>29.86</v>
      </c>
      <c r="C100">
        <v>4745</v>
      </c>
      <c r="D100" s="4">
        <v>9.6322580645161278</v>
      </c>
    </row>
    <row r="101" spans="1:4" x14ac:dyDescent="0.25">
      <c r="A101" s="3">
        <f>SUM(DATE(2024,1,16),TIME(0,0,0))</f>
        <v>45307</v>
      </c>
      <c r="B101">
        <v>29.945</v>
      </c>
      <c r="C101">
        <v>11920</v>
      </c>
      <c r="D101" s="4">
        <v>9.6596774193548391</v>
      </c>
    </row>
    <row r="102" spans="1:4" x14ac:dyDescent="0.25">
      <c r="A102" s="3">
        <f>SUM(DATE(2024,1,16),TIME(15,0,0))</f>
        <v>45307.625</v>
      </c>
      <c r="B102">
        <v>29.32</v>
      </c>
      <c r="C102">
        <v>3645</v>
      </c>
      <c r="D102" s="4">
        <v>9.4580645161290313</v>
      </c>
    </row>
    <row r="103" spans="1:4" x14ac:dyDescent="0.25">
      <c r="A103" s="3">
        <f>SUM(DATE(2024,1,16),TIME(16,0,0))</f>
        <v>45307.666666666664</v>
      </c>
      <c r="B103">
        <v>29.53</v>
      </c>
      <c r="C103">
        <v>5220</v>
      </c>
      <c r="D103" s="4">
        <v>9.5258064516129028</v>
      </c>
    </row>
    <row r="104" spans="1:4" x14ac:dyDescent="0.25">
      <c r="A104" s="3">
        <f>SUM(DATE(2024,1,16),TIME(17,0,0))</f>
        <v>45307.708333333336</v>
      </c>
      <c r="B104">
        <v>29.875</v>
      </c>
      <c r="C104">
        <v>4650</v>
      </c>
      <c r="D104" s="4">
        <v>9.637096774193548</v>
      </c>
    </row>
    <row r="105" spans="1:4" x14ac:dyDescent="0.25">
      <c r="A105" s="3">
        <f>SUM(DATE(2024,1,16),TIME(18,0,0))</f>
        <v>45307.75</v>
      </c>
      <c r="B105">
        <v>30.15</v>
      </c>
      <c r="C105">
        <v>4145</v>
      </c>
      <c r="D105" s="4">
        <v>9.7258064516129021</v>
      </c>
    </row>
    <row r="106" spans="1:4" x14ac:dyDescent="0.25">
      <c r="A106" s="3">
        <f>SUM(DATE(2024,1,16),TIME(19,0,0))</f>
        <v>45307.791666666664</v>
      </c>
      <c r="B106">
        <v>30.16</v>
      </c>
      <c r="C106">
        <v>3880</v>
      </c>
      <c r="D106" s="4">
        <v>9.7290322580645157</v>
      </c>
    </row>
    <row r="107" spans="1:4" x14ac:dyDescent="0.25">
      <c r="A107" s="3">
        <f>SUM(DATE(2024,1,16),TIME(20,0,0))</f>
        <v>45307.833333333336</v>
      </c>
      <c r="B107">
        <v>30.3</v>
      </c>
      <c r="C107">
        <v>3295</v>
      </c>
      <c r="D107" s="4">
        <v>9.7741935483870961</v>
      </c>
    </row>
    <row r="108" spans="1:4" x14ac:dyDescent="0.25">
      <c r="A108" s="3">
        <f>SUM(DATE(2024,1,16),TIME(21,0,0))</f>
        <v>45307.875</v>
      </c>
      <c r="B108">
        <v>30.36</v>
      </c>
      <c r="C108">
        <v>5730</v>
      </c>
      <c r="D108" s="4">
        <v>9.7935483870967737</v>
      </c>
    </row>
    <row r="109" spans="1:4" x14ac:dyDescent="0.25">
      <c r="A109" s="3">
        <f>SUM(DATE(2024,1,16),TIME(22,0,0))</f>
        <v>45307.916666666664</v>
      </c>
      <c r="B109">
        <v>30.15</v>
      </c>
      <c r="C109">
        <v>2835</v>
      </c>
      <c r="D109" s="4">
        <v>9.7258064516129021</v>
      </c>
    </row>
    <row r="110" spans="1:4" x14ac:dyDescent="0.25">
      <c r="A110" s="3">
        <f>SUM(DATE(2024,1,16),TIME(23,0,0))</f>
        <v>45307.958333333336</v>
      </c>
      <c r="B110">
        <v>29.605</v>
      </c>
      <c r="C110">
        <v>7060</v>
      </c>
      <c r="D110" s="4">
        <v>9.5500000000000007</v>
      </c>
    </row>
    <row r="111" spans="1:4" x14ac:dyDescent="0.25">
      <c r="A111" s="3">
        <f>SUM(DATE(2024,1,17),TIME(0,0,0))</f>
        <v>45308</v>
      </c>
      <c r="B111">
        <v>29.44</v>
      </c>
      <c r="C111">
        <v>10935</v>
      </c>
      <c r="D111" s="4">
        <v>9.4967741935483865</v>
      </c>
    </row>
    <row r="112" spans="1:4" x14ac:dyDescent="0.25">
      <c r="A112" s="3">
        <f>SUM(DATE(2024,1,17),TIME(15,0,0))</f>
        <v>45308.625</v>
      </c>
      <c r="B112">
        <v>29.484999999999999</v>
      </c>
      <c r="C112">
        <v>3035</v>
      </c>
      <c r="D112" s="4">
        <v>9.5112903225806456</v>
      </c>
    </row>
    <row r="113" spans="1:4" x14ac:dyDescent="0.25">
      <c r="A113" s="3">
        <f>SUM(DATE(2024,1,17),TIME(16,0,0))</f>
        <v>45308.666666666664</v>
      </c>
      <c r="B113">
        <v>28.844999999999999</v>
      </c>
      <c r="C113">
        <v>4605</v>
      </c>
      <c r="D113" s="4">
        <v>9.3048387096774192</v>
      </c>
    </row>
    <row r="114" spans="1:4" x14ac:dyDescent="0.25">
      <c r="A114" s="3">
        <f>SUM(DATE(2024,1,17),TIME(17,0,0))</f>
        <v>45308.708333333336</v>
      </c>
      <c r="B114">
        <v>28.8</v>
      </c>
      <c r="C114">
        <v>4095</v>
      </c>
      <c r="D114" s="4">
        <v>9.2903225806451619</v>
      </c>
    </row>
    <row r="115" spans="1:4" x14ac:dyDescent="0.25">
      <c r="A115" s="3">
        <f>SUM(DATE(2024,1,17),TIME(18,0,0))</f>
        <v>45308.75</v>
      </c>
      <c r="B115">
        <v>28.475000000000001</v>
      </c>
      <c r="C115">
        <v>7505</v>
      </c>
      <c r="D115" s="4">
        <v>9.185483870967742</v>
      </c>
    </row>
    <row r="116" spans="1:4" x14ac:dyDescent="0.25">
      <c r="A116" s="3">
        <f>SUM(DATE(2024,1,17),TIME(19,0,0))</f>
        <v>45308.791666666664</v>
      </c>
      <c r="B116">
        <v>28.585000000000001</v>
      </c>
      <c r="C116">
        <v>4200</v>
      </c>
      <c r="D116" s="4">
        <v>9.2209677419354836</v>
      </c>
    </row>
    <row r="117" spans="1:4" x14ac:dyDescent="0.25">
      <c r="A117" s="3">
        <f>SUM(DATE(2024,1,17),TIME(20,0,0))</f>
        <v>45308.833333333336</v>
      </c>
      <c r="B117">
        <v>28.15</v>
      </c>
      <c r="C117">
        <v>3875</v>
      </c>
      <c r="D117" s="4">
        <v>9.0806451612903221</v>
      </c>
    </row>
    <row r="118" spans="1:4" x14ac:dyDescent="0.25">
      <c r="A118" s="3">
        <f>SUM(DATE(2024,1,17),TIME(21,0,0))</f>
        <v>45308.875</v>
      </c>
      <c r="B118">
        <v>28.1</v>
      </c>
      <c r="C118">
        <v>4075</v>
      </c>
      <c r="D118" s="4">
        <v>9.064516129032258</v>
      </c>
    </row>
    <row r="119" spans="1:4" x14ac:dyDescent="0.25">
      <c r="A119" s="3">
        <f>SUM(DATE(2024,1,17),TIME(22,0,0))</f>
        <v>45308.916666666664</v>
      </c>
      <c r="B119">
        <v>27.75</v>
      </c>
      <c r="C119">
        <v>4050</v>
      </c>
      <c r="D119" s="4">
        <v>8.9516129032258061</v>
      </c>
    </row>
    <row r="120" spans="1:4" x14ac:dyDescent="0.25">
      <c r="A120" s="3">
        <f>SUM(DATE(2024,1,17),TIME(23,0,0))</f>
        <v>45308.958333333336</v>
      </c>
      <c r="B120">
        <v>27.565000000000001</v>
      </c>
      <c r="C120">
        <v>7610</v>
      </c>
      <c r="D120" s="4">
        <v>8.8919354838709683</v>
      </c>
    </row>
    <row r="121" spans="1:4" x14ac:dyDescent="0.25">
      <c r="A121" s="3">
        <f>SUM(DATE(2024,1,18),TIME(0,0,0))</f>
        <v>45309</v>
      </c>
      <c r="B121">
        <v>27.795000000000002</v>
      </c>
      <c r="C121">
        <v>12800</v>
      </c>
      <c r="D121" s="4">
        <v>8.9661290322580651</v>
      </c>
    </row>
    <row r="122" spans="1:4" x14ac:dyDescent="0.25">
      <c r="A122" s="3">
        <f>SUM(DATE(2024,1,18),TIME(15,0,0))</f>
        <v>45309.625</v>
      </c>
      <c r="B122">
        <v>27.675000000000001</v>
      </c>
      <c r="C122">
        <v>3160</v>
      </c>
      <c r="D122" s="4">
        <v>8.92741935483871</v>
      </c>
    </row>
    <row r="123" spans="1:4" x14ac:dyDescent="0.25">
      <c r="A123" s="3">
        <f>SUM(DATE(2024,1,18),TIME(16,0,0))</f>
        <v>45309.666666666664</v>
      </c>
      <c r="B123">
        <v>28.225000000000001</v>
      </c>
      <c r="C123">
        <v>4845</v>
      </c>
      <c r="D123" s="4">
        <v>9.1048387096774199</v>
      </c>
    </row>
    <row r="124" spans="1:4" x14ac:dyDescent="0.25">
      <c r="A124" s="3">
        <f>SUM(DATE(2024,1,18),TIME(17,0,0))</f>
        <v>45309.708333333336</v>
      </c>
      <c r="B124">
        <v>28.434999999999999</v>
      </c>
      <c r="C124">
        <v>5205</v>
      </c>
      <c r="D124" s="4">
        <v>9.1725806451612897</v>
      </c>
    </row>
    <row r="125" spans="1:4" x14ac:dyDescent="0.25">
      <c r="A125" s="3">
        <f>SUM(DATE(2024,1,18),TIME(18,0,0))</f>
        <v>45309.75</v>
      </c>
      <c r="B125">
        <v>28.26</v>
      </c>
      <c r="C125">
        <v>4055</v>
      </c>
      <c r="D125" s="4">
        <v>9.1161290322580655</v>
      </c>
    </row>
    <row r="126" spans="1:4" x14ac:dyDescent="0.25">
      <c r="A126" s="3">
        <f>SUM(DATE(2024,1,18),TIME(19,0,0))</f>
        <v>45309.791666666664</v>
      </c>
      <c r="B126">
        <v>28.39</v>
      </c>
      <c r="C126">
        <v>4635</v>
      </c>
      <c r="D126" s="4">
        <v>9.1580645161290324</v>
      </c>
    </row>
    <row r="127" spans="1:4" x14ac:dyDescent="0.25">
      <c r="A127" s="3">
        <f>SUM(DATE(2024,1,18),TIME(20,0,0))</f>
        <v>45309.833333333336</v>
      </c>
      <c r="B127">
        <v>28.594999999999999</v>
      </c>
      <c r="C127">
        <v>3635</v>
      </c>
      <c r="D127" s="4">
        <v>9.2241935483870954</v>
      </c>
    </row>
    <row r="128" spans="1:4" x14ac:dyDescent="0.25">
      <c r="A128" s="3">
        <f>SUM(DATE(2024,1,18),TIME(21,0,0))</f>
        <v>45309.875</v>
      </c>
      <c r="B128">
        <v>28.274999999999999</v>
      </c>
      <c r="C128">
        <v>4670</v>
      </c>
      <c r="D128" s="4">
        <v>9.120967741935484</v>
      </c>
    </row>
    <row r="129" spans="1:4" x14ac:dyDescent="0.25">
      <c r="A129" s="3">
        <f>SUM(DATE(2024,1,18),TIME(22,0,0))</f>
        <v>45309.916666666664</v>
      </c>
      <c r="B129">
        <v>28.3</v>
      </c>
      <c r="C129">
        <v>3495</v>
      </c>
      <c r="D129" s="4">
        <v>9.129032258064516</v>
      </c>
    </row>
    <row r="130" spans="1:4" x14ac:dyDescent="0.25">
      <c r="A130" s="3">
        <f>SUM(DATE(2024,1,18),TIME(23,0,0))</f>
        <v>45309.958333333336</v>
      </c>
      <c r="B130">
        <v>28.02</v>
      </c>
      <c r="C130">
        <v>5715</v>
      </c>
      <c r="D130" s="4">
        <v>9.0387096774193552</v>
      </c>
    </row>
    <row r="131" spans="1:4" x14ac:dyDescent="0.25">
      <c r="A131" s="3">
        <f>SUM(DATE(2024,1,19),TIME(0,0,0))</f>
        <v>45310</v>
      </c>
      <c r="B131">
        <v>28.035</v>
      </c>
      <c r="C131">
        <v>12150</v>
      </c>
      <c r="D131" s="4">
        <v>9.0435483870967737</v>
      </c>
    </row>
    <row r="132" spans="1:4" x14ac:dyDescent="0.25">
      <c r="A132" s="3">
        <f>SUM(DATE(2024,1,19),TIME(15,0,0))</f>
        <v>45310.625</v>
      </c>
      <c r="B132">
        <v>28.52</v>
      </c>
      <c r="C132">
        <v>3125</v>
      </c>
      <c r="D132" s="4">
        <v>9.1999999999999993</v>
      </c>
    </row>
    <row r="133" spans="1:4" x14ac:dyDescent="0.25">
      <c r="A133" s="3">
        <f>SUM(DATE(2024,1,19),TIME(16,0,0))</f>
        <v>45310.666666666664</v>
      </c>
      <c r="B133">
        <v>28.39</v>
      </c>
      <c r="C133">
        <v>4190</v>
      </c>
      <c r="D133" s="4">
        <v>9.1580645161290324</v>
      </c>
    </row>
    <row r="134" spans="1:4" x14ac:dyDescent="0.25">
      <c r="A134" s="3">
        <f>SUM(DATE(2024,1,19),TIME(17,0,0))</f>
        <v>45310.708333333336</v>
      </c>
      <c r="B134">
        <v>28.364999999999998</v>
      </c>
      <c r="C134">
        <v>2060</v>
      </c>
      <c r="D134" s="4">
        <v>9.1499999999999986</v>
      </c>
    </row>
    <row r="135" spans="1:4" x14ac:dyDescent="0.25">
      <c r="A135" s="3">
        <f>SUM(DATE(2024,1,19),TIME(18,0,0))</f>
        <v>45310.75</v>
      </c>
      <c r="B135">
        <v>28.934999999999999</v>
      </c>
      <c r="C135">
        <v>6965</v>
      </c>
      <c r="D135" s="4">
        <v>9.3338709677419356</v>
      </c>
    </row>
    <row r="136" spans="1:4" x14ac:dyDescent="0.25">
      <c r="A136" s="3">
        <f>SUM(DATE(2024,1,19),TIME(19,0,0))</f>
        <v>45310.791666666664</v>
      </c>
      <c r="B136">
        <v>28.96</v>
      </c>
      <c r="C136">
        <v>6050</v>
      </c>
      <c r="D136" s="4">
        <v>9.3419354838709676</v>
      </c>
    </row>
    <row r="137" spans="1:4" x14ac:dyDescent="0.25">
      <c r="A137" s="3">
        <f>SUM(DATE(2024,1,19),TIME(20,0,0))</f>
        <v>45310.833333333336</v>
      </c>
      <c r="B137">
        <v>28.95</v>
      </c>
      <c r="C137">
        <v>4855</v>
      </c>
      <c r="D137" s="4">
        <v>9.3387096774193541</v>
      </c>
    </row>
    <row r="138" spans="1:4" x14ac:dyDescent="0.25">
      <c r="A138" s="3">
        <f>SUM(DATE(2024,1,19),TIME(21,0,0))</f>
        <v>45310.875</v>
      </c>
      <c r="B138">
        <v>28.85</v>
      </c>
      <c r="C138">
        <v>2830</v>
      </c>
      <c r="D138" s="4">
        <v>9.306451612903226</v>
      </c>
    </row>
    <row r="139" spans="1:4" x14ac:dyDescent="0.25">
      <c r="A139" s="3">
        <f>SUM(DATE(2024,1,19),TIME(22,0,0))</f>
        <v>45310.916666666664</v>
      </c>
      <c r="B139">
        <v>28.9</v>
      </c>
      <c r="C139">
        <v>4750</v>
      </c>
      <c r="D139" s="4">
        <v>9.32258064516129</v>
      </c>
    </row>
    <row r="140" spans="1:4" x14ac:dyDescent="0.25">
      <c r="A140" s="3">
        <f>SUM(DATE(2024,1,19),TIME(23,0,0))</f>
        <v>45310.958333333336</v>
      </c>
      <c r="B140">
        <v>28.385000000000002</v>
      </c>
      <c r="C140">
        <v>7485</v>
      </c>
      <c r="D140" s="4">
        <v>9.1564516129032256</v>
      </c>
    </row>
    <row r="141" spans="1:4" x14ac:dyDescent="0.25">
      <c r="A141" s="3">
        <f>SUM(DATE(2024,1,22),TIME(15,0,0))</f>
        <v>45313.625</v>
      </c>
      <c r="B141">
        <v>26.855</v>
      </c>
      <c r="C141">
        <v>6185</v>
      </c>
      <c r="D141" s="4">
        <v>8.6629032258064509</v>
      </c>
    </row>
    <row r="142" spans="1:4" x14ac:dyDescent="0.25">
      <c r="A142" s="3">
        <f>SUM(DATE(2024,1,22),TIME(16,0,0))</f>
        <v>45313.666666666664</v>
      </c>
      <c r="B142">
        <v>27.285</v>
      </c>
      <c r="C142">
        <v>4555</v>
      </c>
      <c r="D142" s="4">
        <v>8.8016129032258057</v>
      </c>
    </row>
    <row r="143" spans="1:4" x14ac:dyDescent="0.25">
      <c r="A143" s="3">
        <f>SUM(DATE(2024,1,22),TIME(17,0,0))</f>
        <v>45313.708333333336</v>
      </c>
      <c r="B143">
        <v>26.805</v>
      </c>
      <c r="C143">
        <v>6250</v>
      </c>
      <c r="D143" s="4">
        <v>8.6467741935483868</v>
      </c>
    </row>
    <row r="144" spans="1:4" x14ac:dyDescent="0.25">
      <c r="A144" s="3">
        <f>SUM(DATE(2024,1,22),TIME(18,0,0))</f>
        <v>45313.75</v>
      </c>
      <c r="B144">
        <v>27.25</v>
      </c>
      <c r="C144">
        <v>4880</v>
      </c>
      <c r="D144" s="4">
        <v>8.7903225806451619</v>
      </c>
    </row>
    <row r="145" spans="1:4" x14ac:dyDescent="0.25">
      <c r="A145" s="3">
        <f>SUM(DATE(2024,1,22),TIME(19,0,0))</f>
        <v>45313.791666666664</v>
      </c>
      <c r="B145">
        <v>27.17</v>
      </c>
      <c r="C145">
        <v>3210</v>
      </c>
      <c r="D145" s="4">
        <v>8.7645161290322591</v>
      </c>
    </row>
    <row r="146" spans="1:4" x14ac:dyDescent="0.25">
      <c r="A146" s="3">
        <f>SUM(DATE(2024,1,22),TIME(20,0,0))</f>
        <v>45313.833333333336</v>
      </c>
      <c r="B146">
        <v>27.2</v>
      </c>
      <c r="C146">
        <v>5160</v>
      </c>
      <c r="D146" s="4">
        <v>8.7741935483870961</v>
      </c>
    </row>
    <row r="147" spans="1:4" x14ac:dyDescent="0.25">
      <c r="A147" s="3">
        <f>SUM(DATE(2024,1,22),TIME(21,0,0))</f>
        <v>45313.875</v>
      </c>
      <c r="B147">
        <v>27.3</v>
      </c>
      <c r="C147">
        <v>2875</v>
      </c>
      <c r="D147" s="4">
        <v>8.806451612903226</v>
      </c>
    </row>
    <row r="148" spans="1:4" x14ac:dyDescent="0.25">
      <c r="A148" s="3">
        <f>SUM(DATE(2024,1,22),TIME(22,0,0))</f>
        <v>45313.916666666664</v>
      </c>
      <c r="B148">
        <v>26.774999999999999</v>
      </c>
      <c r="C148">
        <v>7015</v>
      </c>
      <c r="D148" s="4">
        <v>8.637096774193548</v>
      </c>
    </row>
    <row r="149" spans="1:4" x14ac:dyDescent="0.25">
      <c r="A149" s="3">
        <f>SUM(DATE(2024,1,22),TIME(23,0,0))</f>
        <v>45313.958333333336</v>
      </c>
      <c r="B149">
        <v>27.25</v>
      </c>
      <c r="C149">
        <v>6940</v>
      </c>
      <c r="D149" s="4">
        <v>8.7903225806451619</v>
      </c>
    </row>
    <row r="150" spans="1:4" x14ac:dyDescent="0.25">
      <c r="A150" s="3">
        <f>SUM(DATE(2024,1,23),TIME(0,0,0))</f>
        <v>45314</v>
      </c>
      <c r="B150">
        <v>27.594999999999999</v>
      </c>
      <c r="C150">
        <v>15405</v>
      </c>
      <c r="D150" s="4">
        <v>8.9016129032258053</v>
      </c>
    </row>
    <row r="151" spans="1:4" x14ac:dyDescent="0.25">
      <c r="A151" s="3">
        <f>SUM(DATE(2024,1,23),TIME(15,0,0))</f>
        <v>45314.625</v>
      </c>
      <c r="B151">
        <v>27.335000000000001</v>
      </c>
      <c r="C151">
        <v>2870</v>
      </c>
      <c r="D151" s="4">
        <v>8.8177419354838715</v>
      </c>
    </row>
    <row r="152" spans="1:4" x14ac:dyDescent="0.25">
      <c r="A152" s="3">
        <f>SUM(DATE(2024,1,23),TIME(16,0,0))</f>
        <v>45314.666666666664</v>
      </c>
      <c r="B152">
        <v>27.844999999999999</v>
      </c>
      <c r="C152">
        <v>4515</v>
      </c>
      <c r="D152" s="4">
        <v>8.9822580645161292</v>
      </c>
    </row>
    <row r="153" spans="1:4" x14ac:dyDescent="0.25">
      <c r="A153" s="3">
        <f>SUM(DATE(2024,1,23),TIME(17,0,0))</f>
        <v>45314.708333333336</v>
      </c>
      <c r="B153">
        <v>27.85</v>
      </c>
      <c r="C153">
        <v>3600</v>
      </c>
      <c r="D153" s="4">
        <v>8.9838709677419359</v>
      </c>
    </row>
    <row r="154" spans="1:4" x14ac:dyDescent="0.25">
      <c r="A154" s="3">
        <f>SUM(DATE(2024,1,23),TIME(18,0,0))</f>
        <v>45314.75</v>
      </c>
      <c r="B154">
        <v>27.61</v>
      </c>
      <c r="C154">
        <v>3935</v>
      </c>
      <c r="D154" s="4">
        <v>8.9064516129032256</v>
      </c>
    </row>
    <row r="155" spans="1:4" x14ac:dyDescent="0.25">
      <c r="A155" s="3">
        <f>SUM(DATE(2024,1,23),TIME(19,0,0))</f>
        <v>45314.791666666664</v>
      </c>
      <c r="B155">
        <v>27.145</v>
      </c>
      <c r="C155">
        <v>4920</v>
      </c>
      <c r="D155" s="4">
        <v>8.7564516129032253</v>
      </c>
    </row>
    <row r="156" spans="1:4" x14ac:dyDescent="0.25">
      <c r="A156" s="3">
        <f>SUM(DATE(2024,1,23),TIME(20,0,0))</f>
        <v>45314.833333333336</v>
      </c>
      <c r="B156">
        <v>26.9</v>
      </c>
      <c r="C156">
        <v>4100</v>
      </c>
      <c r="D156" s="4">
        <v>8.6774193548387082</v>
      </c>
    </row>
    <row r="157" spans="1:4" x14ac:dyDescent="0.25">
      <c r="A157" s="3">
        <f>SUM(DATE(2024,1,23),TIME(21,0,0))</f>
        <v>45314.875</v>
      </c>
      <c r="B157">
        <v>26.835000000000001</v>
      </c>
      <c r="C157">
        <v>4630</v>
      </c>
      <c r="D157" s="4">
        <v>8.6564516129032256</v>
      </c>
    </row>
    <row r="158" spans="1:4" x14ac:dyDescent="0.25">
      <c r="A158" s="3">
        <f>SUM(DATE(2024,1,23),TIME(22,0,0))</f>
        <v>45314.916666666664</v>
      </c>
      <c r="B158">
        <v>27.15</v>
      </c>
      <c r="C158">
        <v>5300</v>
      </c>
      <c r="D158" s="4">
        <v>8.758064516129032</v>
      </c>
    </row>
    <row r="159" spans="1:4" x14ac:dyDescent="0.25">
      <c r="A159" s="3">
        <f>SUM(DATE(2024,1,23),TIME(23,0,0))</f>
        <v>45314.958333333336</v>
      </c>
      <c r="B159">
        <v>27.094999999999999</v>
      </c>
      <c r="C159">
        <v>5200</v>
      </c>
      <c r="D159" s="4">
        <v>8.7403225806451612</v>
      </c>
    </row>
    <row r="160" spans="1:4" x14ac:dyDescent="0.25">
      <c r="A160" s="3">
        <f>SUM(DATE(2024,1,24),TIME(0,0,0))</f>
        <v>45315</v>
      </c>
      <c r="B160">
        <v>27.125</v>
      </c>
      <c r="C160">
        <v>11370</v>
      </c>
      <c r="D160" s="4">
        <v>8.75</v>
      </c>
    </row>
    <row r="161" spans="1:4" x14ac:dyDescent="0.25">
      <c r="A161" s="3">
        <f>SUM(DATE(2024,1,24),TIME(15,0,0))</f>
        <v>45315.625</v>
      </c>
      <c r="B161">
        <v>27.55</v>
      </c>
      <c r="C161">
        <v>3385</v>
      </c>
      <c r="D161" s="4">
        <v>8.887096774193548</v>
      </c>
    </row>
    <row r="162" spans="1:4" x14ac:dyDescent="0.25">
      <c r="A162" s="3">
        <f>SUM(DATE(2024,1,24),TIME(16,0,0))</f>
        <v>45315.666666666664</v>
      </c>
      <c r="B162">
        <v>27.895</v>
      </c>
      <c r="C162">
        <v>5580</v>
      </c>
      <c r="D162" s="4">
        <v>8.9983870967741932</v>
      </c>
    </row>
    <row r="163" spans="1:4" x14ac:dyDescent="0.25">
      <c r="A163" s="3">
        <f>SUM(DATE(2024,1,24),TIME(17,0,0))</f>
        <v>45315.708333333336</v>
      </c>
      <c r="B163">
        <v>27.98</v>
      </c>
      <c r="C163">
        <v>5805</v>
      </c>
      <c r="D163" s="4">
        <v>9.0258064516129028</v>
      </c>
    </row>
    <row r="164" spans="1:4" x14ac:dyDescent="0.25">
      <c r="A164" s="3">
        <f>SUM(DATE(2024,1,24),TIME(18,0,0))</f>
        <v>45315.75</v>
      </c>
      <c r="B164">
        <v>27.78</v>
      </c>
      <c r="C164">
        <v>3525</v>
      </c>
      <c r="D164" s="4">
        <v>8.9612903225806448</v>
      </c>
    </row>
    <row r="165" spans="1:4" x14ac:dyDescent="0.25">
      <c r="A165" s="3">
        <f>SUM(DATE(2024,1,24),TIME(19,0,0))</f>
        <v>45315.791666666664</v>
      </c>
      <c r="B165">
        <v>27.58</v>
      </c>
      <c r="C165">
        <v>3045</v>
      </c>
      <c r="D165" s="4">
        <v>8.8967741935483868</v>
      </c>
    </row>
    <row r="166" spans="1:4" x14ac:dyDescent="0.25">
      <c r="A166" s="3">
        <f>SUM(DATE(2024,1,24),TIME(20,0,0))</f>
        <v>45315.833333333336</v>
      </c>
      <c r="B166">
        <v>27.8</v>
      </c>
      <c r="C166">
        <v>3090</v>
      </c>
      <c r="D166" s="4">
        <v>8.9677419354838701</v>
      </c>
    </row>
    <row r="167" spans="1:4" x14ac:dyDescent="0.25">
      <c r="A167" s="3">
        <f>SUM(DATE(2024,1,24),TIME(21,0,0))</f>
        <v>45315.875</v>
      </c>
      <c r="B167">
        <v>28.3</v>
      </c>
      <c r="C167">
        <v>6260</v>
      </c>
      <c r="D167" s="4">
        <v>9.129032258064516</v>
      </c>
    </row>
    <row r="168" spans="1:4" x14ac:dyDescent="0.25">
      <c r="A168" s="3">
        <f>SUM(DATE(2024,1,24),TIME(22,0,0))</f>
        <v>45315.916666666664</v>
      </c>
      <c r="B168">
        <v>28.664999999999999</v>
      </c>
      <c r="C168">
        <v>11090</v>
      </c>
      <c r="D168" s="4">
        <v>9.2467741935483865</v>
      </c>
    </row>
    <row r="169" spans="1:4" x14ac:dyDescent="0.25">
      <c r="A169" s="3">
        <f>SUM(DATE(2024,1,24),TIME(23,0,0))</f>
        <v>45315.958333333336</v>
      </c>
      <c r="B169">
        <v>28.82</v>
      </c>
      <c r="C169">
        <v>5875</v>
      </c>
      <c r="D169" s="4">
        <v>9.2967741935483872</v>
      </c>
    </row>
    <row r="170" spans="1:4" x14ac:dyDescent="0.25">
      <c r="A170" s="3">
        <f>SUM(DATE(2024,1,25),TIME(0,0,0))</f>
        <v>45316</v>
      </c>
      <c r="B170">
        <v>28.864999999999998</v>
      </c>
      <c r="C170">
        <v>11975</v>
      </c>
      <c r="D170" s="4">
        <v>9.3112903225806445</v>
      </c>
    </row>
    <row r="171" spans="1:4" x14ac:dyDescent="0.25">
      <c r="A171" s="3">
        <f>SUM(DATE(2024,1,25),TIME(15,0,0))</f>
        <v>45316.625</v>
      </c>
      <c r="B171">
        <v>29.31</v>
      </c>
      <c r="C171">
        <v>3780</v>
      </c>
      <c r="D171" s="4">
        <v>9.4548387096774178</v>
      </c>
    </row>
    <row r="172" spans="1:4" x14ac:dyDescent="0.25">
      <c r="A172" s="3">
        <f>SUM(DATE(2024,1,25),TIME(16,0,0))</f>
        <v>45316.666666666664</v>
      </c>
      <c r="B172">
        <v>28.715</v>
      </c>
      <c r="C172">
        <v>4615</v>
      </c>
      <c r="D172" s="4">
        <v>9.2629032258064505</v>
      </c>
    </row>
    <row r="173" spans="1:4" x14ac:dyDescent="0.25">
      <c r="A173" s="3">
        <f>SUM(DATE(2024,1,25),TIME(17,0,0))</f>
        <v>45316.708333333336</v>
      </c>
      <c r="B173">
        <v>28.4</v>
      </c>
      <c r="C173">
        <v>4860</v>
      </c>
      <c r="D173" s="4">
        <v>9.1612903225806441</v>
      </c>
    </row>
    <row r="174" spans="1:4" x14ac:dyDescent="0.25">
      <c r="A174" s="3">
        <f>SUM(DATE(2024,1,25),TIME(18,0,0))</f>
        <v>45316.75</v>
      </c>
      <c r="B174">
        <v>28.4</v>
      </c>
      <c r="C174">
        <v>5375</v>
      </c>
      <c r="D174" s="4">
        <v>9.1612903225806441</v>
      </c>
    </row>
    <row r="175" spans="1:4" x14ac:dyDescent="0.25">
      <c r="A175" s="3">
        <f>SUM(DATE(2024,1,25),TIME(19,0,0))</f>
        <v>45316.791666666664</v>
      </c>
      <c r="B175">
        <v>27.774999999999999</v>
      </c>
      <c r="C175">
        <v>5015</v>
      </c>
      <c r="D175" s="4">
        <v>8.9596774193548381</v>
      </c>
    </row>
    <row r="176" spans="1:4" x14ac:dyDescent="0.25">
      <c r="A176" s="3">
        <f>SUM(DATE(2024,1,25),TIME(20,0,0))</f>
        <v>45316.833333333336</v>
      </c>
      <c r="B176">
        <v>27.7</v>
      </c>
      <c r="C176">
        <v>3640</v>
      </c>
      <c r="D176" s="4">
        <v>8.935483870967742</v>
      </c>
    </row>
    <row r="177" spans="1:4" x14ac:dyDescent="0.25">
      <c r="A177" s="3">
        <f>SUM(DATE(2024,1,25),TIME(21,0,0))</f>
        <v>45316.875</v>
      </c>
      <c r="B177">
        <v>27.684999999999999</v>
      </c>
      <c r="C177">
        <v>4090</v>
      </c>
      <c r="D177" s="4">
        <v>8.9306451612903217</v>
      </c>
    </row>
    <row r="178" spans="1:4" x14ac:dyDescent="0.25">
      <c r="A178" s="3">
        <f>SUM(DATE(2024,1,25),TIME(22,0,0))</f>
        <v>45316.916666666664</v>
      </c>
      <c r="B178">
        <v>27.55</v>
      </c>
      <c r="C178">
        <v>3865</v>
      </c>
      <c r="D178" s="4">
        <v>8.887096774193548</v>
      </c>
    </row>
    <row r="179" spans="1:4" x14ac:dyDescent="0.25">
      <c r="A179" s="3">
        <f>SUM(DATE(2024,1,25),TIME(23,0,0))</f>
        <v>45316.958333333336</v>
      </c>
      <c r="B179">
        <v>27.725000000000001</v>
      </c>
      <c r="C179">
        <v>4720</v>
      </c>
      <c r="D179" s="4">
        <v>8.943548387096774</v>
      </c>
    </row>
    <row r="180" spans="1:4" x14ac:dyDescent="0.25">
      <c r="A180" s="3">
        <f>SUM(DATE(2024,1,26),TIME(0,0,0))</f>
        <v>45317</v>
      </c>
      <c r="B180">
        <v>27.55</v>
      </c>
      <c r="C180">
        <v>12765</v>
      </c>
      <c r="D180" s="4">
        <v>8.887096774193548</v>
      </c>
    </row>
    <row r="181" spans="1:4" x14ac:dyDescent="0.25">
      <c r="A181" s="3">
        <f>SUM(DATE(2024,1,26),TIME(15,0,0))</f>
        <v>45317.625</v>
      </c>
      <c r="B181">
        <v>26.62</v>
      </c>
      <c r="C181">
        <v>2950</v>
      </c>
      <c r="D181" s="4">
        <v>8.5870967741935491</v>
      </c>
    </row>
    <row r="182" spans="1:4" x14ac:dyDescent="0.25">
      <c r="A182" s="3">
        <f>SUM(DATE(2024,1,26),TIME(16,0,0))</f>
        <v>45317.666666666664</v>
      </c>
      <c r="B182">
        <v>26.9</v>
      </c>
      <c r="C182">
        <v>4670</v>
      </c>
      <c r="D182" s="4">
        <v>8.6774193548387082</v>
      </c>
    </row>
    <row r="183" spans="1:4" x14ac:dyDescent="0.25">
      <c r="A183" s="3">
        <f>SUM(DATE(2024,1,26),TIME(17,0,0))</f>
        <v>45317.708333333336</v>
      </c>
      <c r="B183">
        <v>27.274999999999999</v>
      </c>
      <c r="C183">
        <v>3160</v>
      </c>
      <c r="D183" s="4">
        <v>8.7983870967741922</v>
      </c>
    </row>
    <row r="184" spans="1:4" x14ac:dyDescent="0.25">
      <c r="A184" s="3">
        <f>SUM(DATE(2024,1,26),TIME(18,0,0))</f>
        <v>45317.75</v>
      </c>
      <c r="B184">
        <v>27.405000000000001</v>
      </c>
      <c r="C184">
        <v>5585</v>
      </c>
      <c r="D184" s="4">
        <v>8.8403225806451609</v>
      </c>
    </row>
    <row r="185" spans="1:4" x14ac:dyDescent="0.25">
      <c r="A185" s="3">
        <f>SUM(DATE(2024,1,26),TIME(19,0,0))</f>
        <v>45317.791666666664</v>
      </c>
      <c r="B185">
        <v>27.21</v>
      </c>
      <c r="C185">
        <v>2515</v>
      </c>
      <c r="D185" s="4">
        <v>8.7774193548387096</v>
      </c>
    </row>
    <row r="186" spans="1:4" x14ac:dyDescent="0.25">
      <c r="A186" s="3">
        <f>SUM(DATE(2024,1,26),TIME(20,0,0))</f>
        <v>45317.833333333336</v>
      </c>
      <c r="B186">
        <v>27.105</v>
      </c>
      <c r="C186">
        <v>2055</v>
      </c>
      <c r="D186" s="4">
        <v>8.7435483870967747</v>
      </c>
    </row>
    <row r="187" spans="1:4" x14ac:dyDescent="0.25">
      <c r="A187" s="3">
        <f>SUM(DATE(2024,1,26),TIME(21,0,0))</f>
        <v>45317.875</v>
      </c>
      <c r="B187">
        <v>27.14</v>
      </c>
      <c r="C187">
        <v>3770</v>
      </c>
      <c r="D187" s="4">
        <v>8.7548387096774185</v>
      </c>
    </row>
    <row r="188" spans="1:4" x14ac:dyDescent="0.25">
      <c r="A188" s="3">
        <f>SUM(DATE(2024,1,26),TIME(22,0,0))</f>
        <v>45317.916666666664</v>
      </c>
      <c r="B188">
        <v>26.844999999999999</v>
      </c>
      <c r="C188">
        <v>4860</v>
      </c>
      <c r="D188" s="4">
        <v>8.6596774193548374</v>
      </c>
    </row>
    <row r="189" spans="1:4" x14ac:dyDescent="0.25">
      <c r="A189" s="3">
        <f>SUM(DATE(2024,1,26),TIME(23,0,0))</f>
        <v>45317.958333333336</v>
      </c>
      <c r="B189">
        <v>28.2</v>
      </c>
      <c r="C189">
        <v>22165</v>
      </c>
      <c r="D189" s="4">
        <v>9.0967741935483861</v>
      </c>
    </row>
    <row r="190" spans="1:4" x14ac:dyDescent="0.25">
      <c r="A190" s="3">
        <f>SUM(DATE(2024,1,29),TIME(15,0,0))</f>
        <v>45320.625</v>
      </c>
      <c r="B190">
        <v>28.07</v>
      </c>
      <c r="C190">
        <v>2570</v>
      </c>
      <c r="D190" s="4">
        <v>9.0548387096774192</v>
      </c>
    </row>
    <row r="191" spans="1:4" x14ac:dyDescent="0.25">
      <c r="A191" s="3">
        <f>SUM(DATE(2024,1,29),TIME(16,0,0))</f>
        <v>45320.666666666664</v>
      </c>
      <c r="B191">
        <v>28.324999999999999</v>
      </c>
      <c r="C191">
        <v>2705</v>
      </c>
      <c r="D191" s="4">
        <v>9.137096774193548</v>
      </c>
    </row>
    <row r="192" spans="1:4" x14ac:dyDescent="0.25">
      <c r="A192" s="3">
        <f>SUM(DATE(2024,1,29),TIME(17,0,0))</f>
        <v>45320.708333333336</v>
      </c>
      <c r="B192">
        <v>28.85</v>
      </c>
      <c r="C192">
        <v>3545</v>
      </c>
      <c r="D192" s="4">
        <v>9.306451612903226</v>
      </c>
    </row>
    <row r="193" spans="1:4" x14ac:dyDescent="0.25">
      <c r="A193" s="3">
        <f>SUM(DATE(2024,1,29),TIME(18,0,0))</f>
        <v>45320.75</v>
      </c>
      <c r="B193">
        <v>28.895</v>
      </c>
      <c r="C193">
        <v>4320</v>
      </c>
      <c r="D193" s="4">
        <v>9.3209677419354833</v>
      </c>
    </row>
    <row r="194" spans="1:4" x14ac:dyDescent="0.25">
      <c r="A194" s="3">
        <f>SUM(DATE(2024,1,29),TIME(19,0,0))</f>
        <v>45320.791666666664</v>
      </c>
      <c r="B194">
        <v>28.47</v>
      </c>
      <c r="C194">
        <v>1975</v>
      </c>
      <c r="D194" s="4">
        <v>9.1838709677419352</v>
      </c>
    </row>
    <row r="195" spans="1:4" x14ac:dyDescent="0.25">
      <c r="A195" s="3">
        <f>SUM(DATE(2024,1,29),TIME(20,0,0))</f>
        <v>45320.833333333336</v>
      </c>
      <c r="B195">
        <v>28.55</v>
      </c>
      <c r="C195">
        <v>1260</v>
      </c>
      <c r="D195" s="4">
        <v>9.2096774193548381</v>
      </c>
    </row>
    <row r="196" spans="1:4" x14ac:dyDescent="0.25">
      <c r="A196" s="3">
        <f>SUM(DATE(2024,1,29),TIME(21,0,0))</f>
        <v>45320.875</v>
      </c>
      <c r="B196">
        <v>28.75</v>
      </c>
      <c r="C196">
        <v>2050</v>
      </c>
      <c r="D196" s="4">
        <v>9.2741935483870961</v>
      </c>
    </row>
    <row r="197" spans="1:4" x14ac:dyDescent="0.25">
      <c r="A197" s="3">
        <f>SUM(DATE(2024,1,29),TIME(22,0,0))</f>
        <v>45320.916666666664</v>
      </c>
      <c r="B197">
        <v>28.625</v>
      </c>
      <c r="C197">
        <v>3940</v>
      </c>
      <c r="D197" s="4">
        <v>9.2338709677419359</v>
      </c>
    </row>
    <row r="198" spans="1:4" x14ac:dyDescent="0.25">
      <c r="A198" s="3">
        <f>SUM(DATE(2024,1,29),TIME(23,0,0))</f>
        <v>45320.958333333336</v>
      </c>
      <c r="B198">
        <v>28.29</v>
      </c>
      <c r="C198">
        <v>3670</v>
      </c>
      <c r="D198" s="4">
        <v>9.1258064516129025</v>
      </c>
    </row>
    <row r="199" spans="1:4" x14ac:dyDescent="0.25">
      <c r="A199" s="3">
        <f>SUM(DATE(2024,1,30),TIME(0,0,0))</f>
        <v>45321</v>
      </c>
      <c r="B199">
        <v>28.3</v>
      </c>
      <c r="C199">
        <v>6615</v>
      </c>
      <c r="D199" s="4">
        <v>9.129032258064516</v>
      </c>
    </row>
    <row r="200" spans="1:4" x14ac:dyDescent="0.25">
      <c r="A200" s="3">
        <f>SUM(DATE(2024,1,30),TIME(15,0,0))</f>
        <v>45321.625</v>
      </c>
      <c r="B200">
        <v>27.66</v>
      </c>
      <c r="C200">
        <v>675</v>
      </c>
      <c r="D200" s="4">
        <v>8.9225806451612897</v>
      </c>
    </row>
    <row r="201" spans="1:4" x14ac:dyDescent="0.25">
      <c r="A201" s="3">
        <f>SUM(DATE(2024,1,30),TIME(16,0,0))</f>
        <v>45321.666666666664</v>
      </c>
      <c r="B201">
        <v>27.745000000000001</v>
      </c>
      <c r="C201">
        <v>1205</v>
      </c>
      <c r="D201" s="4">
        <v>8.9499999999999993</v>
      </c>
    </row>
    <row r="202" spans="1:4" x14ac:dyDescent="0.25">
      <c r="A202" s="3">
        <f>SUM(DATE(2024,1,30),TIME(17,0,0))</f>
        <v>45321.708333333336</v>
      </c>
      <c r="B202">
        <v>28.344999999999999</v>
      </c>
      <c r="C202">
        <v>2385</v>
      </c>
      <c r="D202" s="4">
        <v>9.1435483870967733</v>
      </c>
    </row>
    <row r="203" spans="1:4" x14ac:dyDescent="0.25">
      <c r="A203" s="3">
        <f>SUM(DATE(2024,1,30),TIME(18,0,0))</f>
        <v>45321.75</v>
      </c>
      <c r="B203">
        <v>28.4</v>
      </c>
      <c r="C203">
        <v>2245</v>
      </c>
      <c r="D203" s="4">
        <v>9.1612903225806441</v>
      </c>
    </row>
    <row r="204" spans="1:4" x14ac:dyDescent="0.25">
      <c r="A204" s="3">
        <f>SUM(DATE(2024,1,30),TIME(19,0,0))</f>
        <v>45321.791666666664</v>
      </c>
      <c r="B204">
        <v>28.5</v>
      </c>
      <c r="C204">
        <v>1485</v>
      </c>
      <c r="D204" s="4">
        <v>9.193548387096774</v>
      </c>
    </row>
    <row r="205" spans="1:4" x14ac:dyDescent="0.25">
      <c r="A205" s="3">
        <f>SUM(DATE(2024,1,30),TIME(20,0,0))</f>
        <v>45321.833333333336</v>
      </c>
      <c r="B205">
        <v>28.8</v>
      </c>
      <c r="C205">
        <v>1135</v>
      </c>
      <c r="D205" s="4">
        <v>9.2903225806451619</v>
      </c>
    </row>
    <row r="206" spans="1:4" x14ac:dyDescent="0.25">
      <c r="A206" s="3">
        <f>SUM(DATE(2024,1,30),TIME(21,0,0))</f>
        <v>45321.875</v>
      </c>
      <c r="B206">
        <v>28.53</v>
      </c>
      <c r="C206">
        <v>960</v>
      </c>
      <c r="D206" s="4">
        <v>9.2032258064516128</v>
      </c>
    </row>
    <row r="207" spans="1:4" x14ac:dyDescent="0.25">
      <c r="A207" s="3">
        <f>SUM(DATE(2024,1,30),TIME(22,0,0))</f>
        <v>45321.916666666664</v>
      </c>
      <c r="B207">
        <v>28.65</v>
      </c>
      <c r="C207">
        <v>1300</v>
      </c>
      <c r="D207" s="4">
        <v>9.2419354838709662</v>
      </c>
    </row>
    <row r="208" spans="1:4" x14ac:dyDescent="0.25">
      <c r="A208" s="3">
        <f>SUM(DATE(2024,1,30),TIME(23,0,0))</f>
        <v>45321.958333333336</v>
      </c>
      <c r="B208">
        <v>29</v>
      </c>
      <c r="C208">
        <v>1565</v>
      </c>
      <c r="D208" s="4">
        <v>9.3548387096774199</v>
      </c>
    </row>
    <row r="209" spans="1:4" x14ac:dyDescent="0.25">
      <c r="A209" s="3">
        <f>SUM(DATE(2024,1,31),TIME(0,0,0))</f>
        <v>45322</v>
      </c>
      <c r="B209">
        <v>29.55</v>
      </c>
      <c r="C209">
        <v>4755</v>
      </c>
      <c r="D209" s="4">
        <v>9.5322580645161281</v>
      </c>
    </row>
    <row r="210" spans="1:4" x14ac:dyDescent="0.25">
      <c r="A210" s="3">
        <f>SUM(DATE(2024,1,31),TIME(15,0,0))</f>
        <v>45322.625</v>
      </c>
      <c r="B210">
        <v>30.59</v>
      </c>
      <c r="C210">
        <v>4990</v>
      </c>
      <c r="D210" s="4">
        <v>9.8677419354838705</v>
      </c>
    </row>
    <row r="211" spans="1:4" x14ac:dyDescent="0.25">
      <c r="A211" s="3">
        <f>SUM(DATE(2024,1,31),TIME(16,0,0))</f>
        <v>45322.666666666664</v>
      </c>
      <c r="B211">
        <v>30.33</v>
      </c>
      <c r="C211">
        <v>9500</v>
      </c>
      <c r="D211" s="4">
        <v>9.7838709677419349</v>
      </c>
    </row>
    <row r="212" spans="1:4" x14ac:dyDescent="0.25">
      <c r="A212" s="3">
        <f>SUM(DATE(2024,1,31),TIME(17,0,0))</f>
        <v>45322.708333333336</v>
      </c>
      <c r="B212">
        <v>30.1</v>
      </c>
      <c r="C212">
        <v>5910</v>
      </c>
      <c r="D212" s="4">
        <v>9.7096774193548381</v>
      </c>
    </row>
    <row r="213" spans="1:4" x14ac:dyDescent="0.25">
      <c r="A213" s="3">
        <f>SUM(DATE(2024,1,31),TIME(18,0,0))</f>
        <v>45322.75</v>
      </c>
      <c r="B213">
        <v>29.87</v>
      </c>
      <c r="C213">
        <v>4555</v>
      </c>
      <c r="D213" s="4">
        <v>9.6354838709677413</v>
      </c>
    </row>
    <row r="214" spans="1:4" x14ac:dyDescent="0.25">
      <c r="A214" s="3">
        <f>SUM(DATE(2024,1,31),TIME(19,0,0))</f>
        <v>45322.791666666664</v>
      </c>
      <c r="B214">
        <v>29.5</v>
      </c>
      <c r="C214">
        <v>4610</v>
      </c>
      <c r="D214" s="4">
        <v>9.5161290322580641</v>
      </c>
    </row>
    <row r="215" spans="1:4" x14ac:dyDescent="0.25">
      <c r="A215" s="3">
        <f>SUM(DATE(2024,1,31),TIME(20,0,0))</f>
        <v>45322.833333333336</v>
      </c>
      <c r="B215">
        <v>29.55</v>
      </c>
      <c r="C215">
        <v>3155</v>
      </c>
      <c r="D215" s="4">
        <v>9.5322580645161281</v>
      </c>
    </row>
    <row r="216" spans="1:4" x14ac:dyDescent="0.25">
      <c r="A216" s="3">
        <f>SUM(DATE(2024,1,31),TIME(21,0,0))</f>
        <v>45322.875</v>
      </c>
      <c r="B216">
        <v>29.46</v>
      </c>
      <c r="C216">
        <v>4720</v>
      </c>
      <c r="D216" s="4">
        <v>9.5032258064516135</v>
      </c>
    </row>
    <row r="217" spans="1:4" x14ac:dyDescent="0.25">
      <c r="A217" s="3">
        <f>SUM(DATE(2024,1,31),TIME(22,0,0))</f>
        <v>45322.916666666664</v>
      </c>
      <c r="B217">
        <v>29.97</v>
      </c>
      <c r="C217">
        <v>5240</v>
      </c>
      <c r="D217" s="4">
        <v>9.6677419354838712</v>
      </c>
    </row>
    <row r="218" spans="1:4" x14ac:dyDescent="0.25">
      <c r="A218" s="3">
        <f>SUM(DATE(2024,1,31),TIME(23,0,0))</f>
        <v>45322.958333333336</v>
      </c>
      <c r="B218">
        <v>30.27</v>
      </c>
      <c r="C218">
        <v>8215</v>
      </c>
      <c r="D218" s="4">
        <v>9.7645161290322573</v>
      </c>
    </row>
    <row r="219" spans="1:4" x14ac:dyDescent="0.25">
      <c r="A219" s="3">
        <f>SUM(DATE(2024,2,1),TIME(0,0,0))</f>
        <v>45323</v>
      </c>
      <c r="B219">
        <v>30.2</v>
      </c>
      <c r="C219">
        <v>14005</v>
      </c>
      <c r="D219" s="4">
        <v>9.741935483870968</v>
      </c>
    </row>
    <row r="220" spans="1:4" x14ac:dyDescent="0.25">
      <c r="A220" s="3">
        <f>SUM(DATE(2024,2,1),TIME(15,0,0))</f>
        <v>45323.625</v>
      </c>
      <c r="B220">
        <v>30.2</v>
      </c>
      <c r="C220">
        <v>3030</v>
      </c>
      <c r="D220" s="4">
        <v>9.741935483870968</v>
      </c>
    </row>
    <row r="221" spans="1:4" x14ac:dyDescent="0.25">
      <c r="A221" s="3">
        <f>SUM(DATE(2024,2,1),TIME(16,0,0))</f>
        <v>45323.666666666664</v>
      </c>
      <c r="B221">
        <v>29.79</v>
      </c>
      <c r="C221">
        <v>6030</v>
      </c>
      <c r="D221" s="4">
        <v>9.6096774193548384</v>
      </c>
    </row>
    <row r="222" spans="1:4" x14ac:dyDescent="0.25">
      <c r="A222" s="3">
        <f>SUM(DATE(2024,2,1),TIME(17,0,0))</f>
        <v>45323.708333333336</v>
      </c>
      <c r="B222">
        <v>30.1</v>
      </c>
      <c r="C222">
        <v>3520</v>
      </c>
      <c r="D222" s="4">
        <v>9.7096774193548381</v>
      </c>
    </row>
    <row r="223" spans="1:4" x14ac:dyDescent="0.25">
      <c r="A223" s="3">
        <f>SUM(DATE(2024,2,1),TIME(18,0,0))</f>
        <v>45323.75</v>
      </c>
      <c r="B223">
        <v>29.45</v>
      </c>
      <c r="C223">
        <v>5330</v>
      </c>
      <c r="D223" s="4">
        <v>9.5</v>
      </c>
    </row>
    <row r="224" spans="1:4" x14ac:dyDescent="0.25">
      <c r="A224" s="3">
        <f>SUM(DATE(2024,2,1),TIME(19,0,0))</f>
        <v>45323.791666666664</v>
      </c>
      <c r="B224">
        <v>29.114999999999998</v>
      </c>
      <c r="C224">
        <v>7605</v>
      </c>
      <c r="D224" s="4">
        <v>9.3919354838709666</v>
      </c>
    </row>
    <row r="225" spans="1:4" x14ac:dyDescent="0.25">
      <c r="A225" s="3">
        <f>SUM(DATE(2024,2,1),TIME(20,0,0))</f>
        <v>45323.833333333336</v>
      </c>
      <c r="B225">
        <v>29.344999999999999</v>
      </c>
      <c r="C225">
        <v>2775</v>
      </c>
      <c r="D225" s="4">
        <v>9.4661290322580633</v>
      </c>
    </row>
    <row r="226" spans="1:4" x14ac:dyDescent="0.25">
      <c r="A226" s="3">
        <f>SUM(DATE(2024,2,1),TIME(21,0,0))</f>
        <v>45323.875</v>
      </c>
      <c r="B226">
        <v>29.344999999999999</v>
      </c>
      <c r="C226">
        <v>3665</v>
      </c>
      <c r="D226" s="4">
        <v>9.4661290322580633</v>
      </c>
    </row>
    <row r="227" spans="1:4" x14ac:dyDescent="0.25">
      <c r="A227" s="3">
        <f>SUM(DATE(2024,2,1),TIME(22,0,0))</f>
        <v>45323.916666666664</v>
      </c>
      <c r="B227">
        <v>29.02</v>
      </c>
      <c r="C227">
        <v>6570</v>
      </c>
      <c r="D227" s="4">
        <v>9.3612903225806452</v>
      </c>
    </row>
    <row r="228" spans="1:4" x14ac:dyDescent="0.25">
      <c r="A228" s="3">
        <f>SUM(DATE(2024,2,1),TIME(23,0,0))</f>
        <v>45323.958333333336</v>
      </c>
      <c r="B228">
        <v>29.05</v>
      </c>
      <c r="C228">
        <v>6375</v>
      </c>
      <c r="D228" s="4">
        <v>9.370967741935484</v>
      </c>
    </row>
    <row r="229" spans="1:4" x14ac:dyDescent="0.25">
      <c r="A229" s="3">
        <f>SUM(DATE(2024,2,2),TIME(0,0,0))</f>
        <v>45324</v>
      </c>
      <c r="B229">
        <v>28.83</v>
      </c>
      <c r="C229">
        <v>10910</v>
      </c>
      <c r="D229" s="4">
        <v>9.2999999999999989</v>
      </c>
    </row>
    <row r="230" spans="1:4" x14ac:dyDescent="0.25">
      <c r="A230" s="3">
        <f>SUM(DATE(2024,2,2),TIME(15,0,0))</f>
        <v>45324.625</v>
      </c>
      <c r="B230">
        <v>28.574999999999999</v>
      </c>
      <c r="C230">
        <v>4315</v>
      </c>
      <c r="D230" s="4">
        <v>9.2177419354838701</v>
      </c>
    </row>
    <row r="231" spans="1:4" x14ac:dyDescent="0.25">
      <c r="A231" s="3">
        <f>SUM(DATE(2024,2,2),TIME(16,0,0))</f>
        <v>45324.666666666664</v>
      </c>
      <c r="B231">
        <v>28.7</v>
      </c>
      <c r="C231">
        <v>4620</v>
      </c>
      <c r="D231" s="4">
        <v>9.258064516129032</v>
      </c>
    </row>
    <row r="232" spans="1:4" x14ac:dyDescent="0.25">
      <c r="A232" s="3">
        <f>SUM(DATE(2024,2,2),TIME(17,0,0))</f>
        <v>45324.708333333336</v>
      </c>
      <c r="B232">
        <v>29.17</v>
      </c>
      <c r="C232">
        <v>6345</v>
      </c>
      <c r="D232" s="4">
        <v>9.4096774193548391</v>
      </c>
    </row>
    <row r="233" spans="1:4" x14ac:dyDescent="0.25">
      <c r="A233" s="3">
        <f>SUM(DATE(2024,2,2),TIME(18,0,0))</f>
        <v>45324.75</v>
      </c>
      <c r="B233">
        <v>29.105</v>
      </c>
      <c r="C233">
        <v>4260</v>
      </c>
      <c r="D233" s="4">
        <v>9.3887096774193548</v>
      </c>
    </row>
    <row r="234" spans="1:4" x14ac:dyDescent="0.25">
      <c r="A234" s="3">
        <f>SUM(DATE(2024,2,2),TIME(19,0,0))</f>
        <v>45324.791666666664</v>
      </c>
      <c r="B234">
        <v>29.085000000000001</v>
      </c>
      <c r="C234">
        <v>5450</v>
      </c>
      <c r="D234" s="4">
        <v>9.3822580645161295</v>
      </c>
    </row>
    <row r="235" spans="1:4" x14ac:dyDescent="0.25">
      <c r="A235" s="3">
        <f>SUM(DATE(2024,2,2),TIME(20,0,0))</f>
        <v>45324.833333333336</v>
      </c>
      <c r="B235">
        <v>28.81</v>
      </c>
      <c r="C235">
        <v>2750</v>
      </c>
      <c r="D235" s="4">
        <v>9.2935483870967737</v>
      </c>
    </row>
    <row r="236" spans="1:4" x14ac:dyDescent="0.25">
      <c r="A236" s="3">
        <f>SUM(DATE(2024,2,2),TIME(21,0,0))</f>
        <v>45324.875</v>
      </c>
      <c r="B236">
        <v>28.75</v>
      </c>
      <c r="C236">
        <v>2725</v>
      </c>
      <c r="D236" s="4">
        <v>9.2741935483870961</v>
      </c>
    </row>
    <row r="237" spans="1:4" x14ac:dyDescent="0.25">
      <c r="A237" s="3">
        <f>SUM(DATE(2024,2,2),TIME(22,0,0))</f>
        <v>45324.916666666664</v>
      </c>
      <c r="B237">
        <v>29.2</v>
      </c>
      <c r="C237">
        <v>4305</v>
      </c>
      <c r="D237" s="4">
        <v>9.4193548387096762</v>
      </c>
    </row>
    <row r="238" spans="1:4" x14ac:dyDescent="0.25">
      <c r="A238" s="3">
        <f>SUM(DATE(2024,2,2),TIME(23,0,0))</f>
        <v>45324.958333333336</v>
      </c>
      <c r="B238">
        <v>29.14</v>
      </c>
      <c r="C238">
        <v>8200</v>
      </c>
      <c r="D238" s="4">
        <v>9.4</v>
      </c>
    </row>
    <row r="239" spans="1:4" x14ac:dyDescent="0.25">
      <c r="A239" s="3">
        <f>SUM(DATE(2024,2,5),TIME(15,0,0))</f>
        <v>45327.625</v>
      </c>
      <c r="B239">
        <v>29.8</v>
      </c>
      <c r="C239">
        <v>5335</v>
      </c>
      <c r="D239" s="4">
        <v>9.612903225806452</v>
      </c>
    </row>
    <row r="240" spans="1:4" x14ac:dyDescent="0.25">
      <c r="A240" s="3">
        <f>SUM(DATE(2024,2,5),TIME(16,0,0))</f>
        <v>45327.666666666664</v>
      </c>
      <c r="B240">
        <v>29.17</v>
      </c>
      <c r="C240">
        <v>6550</v>
      </c>
      <c r="D240" s="4">
        <v>9.4096774193548391</v>
      </c>
    </row>
    <row r="241" spans="1:4" x14ac:dyDescent="0.25">
      <c r="A241" s="3">
        <f>SUM(DATE(2024,2,5),TIME(17,0,0))</f>
        <v>45327.708333333336</v>
      </c>
      <c r="B241">
        <v>28.855</v>
      </c>
      <c r="C241">
        <v>8795</v>
      </c>
      <c r="D241" s="4">
        <v>9.3080645161290327</v>
      </c>
    </row>
    <row r="242" spans="1:4" x14ac:dyDescent="0.25">
      <c r="A242" s="3">
        <f>SUM(DATE(2024,2,5),TIME(18,0,0))</f>
        <v>45327.75</v>
      </c>
      <c r="B242">
        <v>28.58</v>
      </c>
      <c r="C242">
        <v>6515</v>
      </c>
      <c r="D242" s="4">
        <v>9.2193548387096769</v>
      </c>
    </row>
    <row r="243" spans="1:4" x14ac:dyDescent="0.25">
      <c r="A243" s="3">
        <f>SUM(DATE(2024,2,5),TIME(19,0,0))</f>
        <v>45327.791666666664</v>
      </c>
      <c r="B243">
        <v>28.5</v>
      </c>
      <c r="C243">
        <v>3215</v>
      </c>
      <c r="D243" s="4">
        <v>9.193548387096774</v>
      </c>
    </row>
    <row r="244" spans="1:4" x14ac:dyDescent="0.25">
      <c r="A244" s="3">
        <f>SUM(DATE(2024,2,5),TIME(20,0,0))</f>
        <v>45327.833333333336</v>
      </c>
      <c r="B244">
        <v>28.515000000000001</v>
      </c>
      <c r="C244">
        <v>4380</v>
      </c>
      <c r="D244" s="4">
        <v>9.1983870967741943</v>
      </c>
    </row>
    <row r="245" spans="1:4" x14ac:dyDescent="0.25">
      <c r="A245" s="3">
        <f>SUM(DATE(2024,2,5),TIME(21,0,0))</f>
        <v>45327.875</v>
      </c>
      <c r="B245">
        <v>28.64</v>
      </c>
      <c r="C245">
        <v>2840</v>
      </c>
      <c r="D245" s="4">
        <v>9.2387096774193544</v>
      </c>
    </row>
    <row r="246" spans="1:4" x14ac:dyDescent="0.25">
      <c r="A246" s="3">
        <f>SUM(DATE(2024,2,5),TIME(22,0,0))</f>
        <v>45327.916666666664</v>
      </c>
      <c r="B246">
        <v>28.52</v>
      </c>
      <c r="C246">
        <v>5625</v>
      </c>
      <c r="D246" s="4">
        <v>9.1999999999999993</v>
      </c>
    </row>
    <row r="247" spans="1:4" x14ac:dyDescent="0.25">
      <c r="A247" s="3">
        <f>SUM(DATE(2024,2,5),TIME(23,0,0))</f>
        <v>45327.958333333336</v>
      </c>
      <c r="B247">
        <v>28.344999999999999</v>
      </c>
      <c r="C247">
        <v>7720</v>
      </c>
      <c r="D247" s="4">
        <v>9.1435483870967733</v>
      </c>
    </row>
    <row r="248" spans="1:4" x14ac:dyDescent="0.25">
      <c r="A248" s="3">
        <f>SUM(DATE(2024,2,6),TIME(0,0,0))</f>
        <v>45328</v>
      </c>
      <c r="B248">
        <v>28.125</v>
      </c>
      <c r="C248">
        <v>9745</v>
      </c>
      <c r="D248" s="4">
        <v>9.07258064516129</v>
      </c>
    </row>
    <row r="249" spans="1:4" x14ac:dyDescent="0.25">
      <c r="A249" s="3">
        <f>SUM(DATE(2024,2,6),TIME(15,0,0))</f>
        <v>45328.625</v>
      </c>
      <c r="B249">
        <v>27.92</v>
      </c>
      <c r="C249">
        <v>3905</v>
      </c>
      <c r="D249" s="4">
        <v>9.0064516129032253</v>
      </c>
    </row>
    <row r="250" spans="1:4" x14ac:dyDescent="0.25">
      <c r="A250" s="3">
        <f>SUM(DATE(2024,2,6),TIME(16,0,0))</f>
        <v>45328.666666666664</v>
      </c>
      <c r="B250">
        <v>28.184999999999999</v>
      </c>
      <c r="C250">
        <v>4260</v>
      </c>
      <c r="D250" s="4">
        <v>9.0919354838709676</v>
      </c>
    </row>
    <row r="251" spans="1:4" x14ac:dyDescent="0.25">
      <c r="A251" s="3">
        <f>SUM(DATE(2024,2,6),TIME(17,0,0))</f>
        <v>45328.708333333336</v>
      </c>
      <c r="B251">
        <v>28.605</v>
      </c>
      <c r="C251">
        <v>7070</v>
      </c>
      <c r="D251" s="4">
        <v>9.2274193548387089</v>
      </c>
    </row>
    <row r="252" spans="1:4" x14ac:dyDescent="0.25">
      <c r="A252" s="3">
        <f>SUM(DATE(2024,2,6),TIME(18,0,0))</f>
        <v>45328.75</v>
      </c>
      <c r="B252">
        <v>28.56</v>
      </c>
      <c r="C252">
        <v>5615</v>
      </c>
      <c r="D252" s="4">
        <v>9.2129032258064516</v>
      </c>
    </row>
    <row r="253" spans="1:4" x14ac:dyDescent="0.25">
      <c r="A253" s="3">
        <f>SUM(DATE(2024,2,6),TIME(19,0,0))</f>
        <v>45328.791666666664</v>
      </c>
      <c r="B253">
        <v>28.675000000000001</v>
      </c>
      <c r="C253">
        <v>3370</v>
      </c>
      <c r="D253" s="4">
        <v>9.25</v>
      </c>
    </row>
    <row r="254" spans="1:4" x14ac:dyDescent="0.25">
      <c r="A254" s="3">
        <f>SUM(DATE(2024,2,6),TIME(20,0,0))</f>
        <v>45328.833333333336</v>
      </c>
      <c r="B254">
        <v>28.98</v>
      </c>
      <c r="C254">
        <v>2475</v>
      </c>
      <c r="D254" s="4">
        <v>9.3483870967741929</v>
      </c>
    </row>
    <row r="255" spans="1:4" x14ac:dyDescent="0.25">
      <c r="A255" s="3">
        <f>SUM(DATE(2024,2,6),TIME(21,0,0))</f>
        <v>45328.875</v>
      </c>
      <c r="B255">
        <v>28.574999999999999</v>
      </c>
      <c r="C255">
        <v>3455</v>
      </c>
      <c r="D255" s="4">
        <v>9.2177419354838701</v>
      </c>
    </row>
    <row r="256" spans="1:4" x14ac:dyDescent="0.25">
      <c r="A256" s="3">
        <f>SUM(DATE(2024,2,6),TIME(22,0,0))</f>
        <v>45328.916666666664</v>
      </c>
      <c r="B256">
        <v>28.875</v>
      </c>
      <c r="C256">
        <v>5375</v>
      </c>
      <c r="D256" s="4">
        <v>9.314516129032258</v>
      </c>
    </row>
    <row r="257" spans="1:4" x14ac:dyDescent="0.25">
      <c r="A257" s="3">
        <f>SUM(DATE(2024,2,6),TIME(23,0,0))</f>
        <v>45328.958333333336</v>
      </c>
      <c r="B257">
        <v>28.7</v>
      </c>
      <c r="C257">
        <v>7515</v>
      </c>
      <c r="D257" s="4">
        <v>9.258064516129032</v>
      </c>
    </row>
    <row r="258" spans="1:4" x14ac:dyDescent="0.25">
      <c r="A258" s="3">
        <f>SUM(DATE(2024,2,7),TIME(0,0,0))</f>
        <v>45329</v>
      </c>
      <c r="B258">
        <v>28.37</v>
      </c>
      <c r="C258">
        <v>13050</v>
      </c>
      <c r="D258" s="4">
        <v>9.1516129032258071</v>
      </c>
    </row>
    <row r="259" spans="1:4" x14ac:dyDescent="0.25">
      <c r="A259" s="3">
        <f>SUM(DATE(2024,2,7),TIME(15,0,0))</f>
        <v>45329.625</v>
      </c>
      <c r="B259">
        <v>28.065000000000001</v>
      </c>
      <c r="C259">
        <v>5450</v>
      </c>
      <c r="D259" s="4">
        <v>9.0532258064516125</v>
      </c>
    </row>
    <row r="260" spans="1:4" x14ac:dyDescent="0.25">
      <c r="A260" s="3">
        <f>SUM(DATE(2024,2,7),TIME(16,0,0))</f>
        <v>45329.666666666664</v>
      </c>
      <c r="B260">
        <v>28.38</v>
      </c>
      <c r="C260">
        <v>4085</v>
      </c>
      <c r="D260" s="4">
        <v>9.1548387096774189</v>
      </c>
    </row>
    <row r="261" spans="1:4" x14ac:dyDescent="0.25">
      <c r="A261" s="3">
        <f>SUM(DATE(2024,2,7),TIME(17,0,0))</f>
        <v>45329.708333333336</v>
      </c>
      <c r="B261">
        <v>28.324999999999999</v>
      </c>
      <c r="C261">
        <v>4590</v>
      </c>
      <c r="D261" s="4">
        <v>9.137096774193548</v>
      </c>
    </row>
    <row r="262" spans="1:4" x14ac:dyDescent="0.25">
      <c r="A262" s="3">
        <f>SUM(DATE(2024,2,7),TIME(18,0,0))</f>
        <v>45329.75</v>
      </c>
      <c r="B262">
        <v>28.55</v>
      </c>
      <c r="C262">
        <v>3360</v>
      </c>
      <c r="D262" s="4">
        <v>9.2096774193548381</v>
      </c>
    </row>
    <row r="263" spans="1:4" x14ac:dyDescent="0.25">
      <c r="A263" s="3">
        <f>SUM(DATE(2024,2,7),TIME(19,0,0))</f>
        <v>45329.791666666664</v>
      </c>
      <c r="B263">
        <v>28.844999999999999</v>
      </c>
      <c r="C263">
        <v>4090</v>
      </c>
      <c r="D263" s="4">
        <v>9.3048387096774192</v>
      </c>
    </row>
    <row r="264" spans="1:4" x14ac:dyDescent="0.25">
      <c r="A264" s="3">
        <f>SUM(DATE(2024,2,7),TIME(20,0,0))</f>
        <v>45329.833333333336</v>
      </c>
      <c r="B264">
        <v>28.53</v>
      </c>
      <c r="C264">
        <v>3460</v>
      </c>
      <c r="D264" s="4">
        <v>9.2032258064516128</v>
      </c>
    </row>
    <row r="265" spans="1:4" x14ac:dyDescent="0.25">
      <c r="A265" s="3">
        <f>SUM(DATE(2024,2,7),TIME(21,0,0))</f>
        <v>45329.875</v>
      </c>
      <c r="B265">
        <v>28.48</v>
      </c>
      <c r="C265">
        <v>3380</v>
      </c>
      <c r="D265" s="4">
        <v>9.1870967741935488</v>
      </c>
    </row>
    <row r="266" spans="1:4" x14ac:dyDescent="0.25">
      <c r="A266" s="3">
        <f>SUM(DATE(2024,2,7),TIME(22,0,0))</f>
        <v>45329.916666666664</v>
      </c>
      <c r="B266">
        <v>28.25</v>
      </c>
      <c r="C266">
        <v>3220</v>
      </c>
      <c r="D266" s="4">
        <v>9.112903225806452</v>
      </c>
    </row>
    <row r="267" spans="1:4" x14ac:dyDescent="0.25">
      <c r="A267" s="3">
        <f>SUM(DATE(2024,2,7),TIME(23,0,0))</f>
        <v>45329.958333333336</v>
      </c>
      <c r="B267">
        <v>28.12</v>
      </c>
      <c r="C267">
        <v>6265</v>
      </c>
      <c r="D267" s="4">
        <v>9.0709677419354833</v>
      </c>
    </row>
    <row r="268" spans="1:4" x14ac:dyDescent="0.25">
      <c r="A268" s="3">
        <f>SUM(DATE(2024,2,8),TIME(0,0,0))</f>
        <v>45330</v>
      </c>
      <c r="B268">
        <v>28.26</v>
      </c>
      <c r="C268">
        <v>9710</v>
      </c>
      <c r="D268" s="4">
        <v>9.1161290322580655</v>
      </c>
    </row>
    <row r="269" spans="1:4" x14ac:dyDescent="0.25">
      <c r="A269" s="3">
        <f>SUM(DATE(2024,2,8),TIME(15,0,0))</f>
        <v>45330.625</v>
      </c>
      <c r="B269">
        <v>28.175000000000001</v>
      </c>
      <c r="C269">
        <v>4290</v>
      </c>
      <c r="D269" s="4">
        <v>9.0887096774193541</v>
      </c>
    </row>
    <row r="270" spans="1:4" x14ac:dyDescent="0.25">
      <c r="A270" s="3">
        <f>SUM(DATE(2024,2,8),TIME(16,0,0))</f>
        <v>45330.666666666664</v>
      </c>
      <c r="B270">
        <v>28.34</v>
      </c>
      <c r="C270">
        <v>6290</v>
      </c>
      <c r="D270" s="4">
        <v>9.1419354838709666</v>
      </c>
    </row>
    <row r="271" spans="1:4" x14ac:dyDescent="0.25">
      <c r="A271" s="3">
        <f>SUM(DATE(2024,2,8),TIME(17,0,0))</f>
        <v>45330.708333333336</v>
      </c>
      <c r="B271">
        <v>28.175000000000001</v>
      </c>
      <c r="C271">
        <v>4150</v>
      </c>
      <c r="D271" s="4">
        <v>9.0887096774193541</v>
      </c>
    </row>
    <row r="272" spans="1:4" x14ac:dyDescent="0.25">
      <c r="A272" s="3">
        <f>SUM(DATE(2024,2,8),TIME(18,0,0))</f>
        <v>45330.75</v>
      </c>
      <c r="B272">
        <v>27.965</v>
      </c>
      <c r="C272">
        <v>3540</v>
      </c>
      <c r="D272" s="4">
        <v>9.0209677419354843</v>
      </c>
    </row>
    <row r="273" spans="1:4" x14ac:dyDescent="0.25">
      <c r="A273" s="3">
        <f>SUM(DATE(2024,2,8),TIME(19,0,0))</f>
        <v>45330.791666666664</v>
      </c>
      <c r="B273">
        <v>27.824999999999999</v>
      </c>
      <c r="C273">
        <v>6500</v>
      </c>
      <c r="D273" s="4">
        <v>8.9758064516129021</v>
      </c>
    </row>
    <row r="274" spans="1:4" x14ac:dyDescent="0.25">
      <c r="A274" s="3">
        <f>SUM(DATE(2024,2,8),TIME(20,0,0))</f>
        <v>45330.833333333336</v>
      </c>
      <c r="B274">
        <v>27.805</v>
      </c>
      <c r="C274">
        <v>2660</v>
      </c>
      <c r="D274" s="4">
        <v>8.9693548387096769</v>
      </c>
    </row>
    <row r="275" spans="1:4" x14ac:dyDescent="0.25">
      <c r="A275" s="3">
        <f>SUM(DATE(2024,2,8),TIME(21,0,0))</f>
        <v>45330.875</v>
      </c>
      <c r="B275">
        <v>27.88</v>
      </c>
      <c r="C275">
        <v>2430</v>
      </c>
      <c r="D275" s="4">
        <v>8.993548387096773</v>
      </c>
    </row>
    <row r="276" spans="1:4" x14ac:dyDescent="0.25">
      <c r="A276" s="3">
        <f>SUM(DATE(2024,2,8),TIME(22,0,0))</f>
        <v>45330.916666666664</v>
      </c>
      <c r="B276">
        <v>27.77</v>
      </c>
      <c r="C276">
        <v>3985</v>
      </c>
      <c r="D276" s="4">
        <v>8.9580645161290313</v>
      </c>
    </row>
    <row r="277" spans="1:4" x14ac:dyDescent="0.25">
      <c r="A277" s="3">
        <f>SUM(DATE(2024,2,8),TIME(23,0,0))</f>
        <v>45330.958333333336</v>
      </c>
      <c r="B277">
        <v>27.975000000000001</v>
      </c>
      <c r="C277">
        <v>4265</v>
      </c>
      <c r="D277" s="4">
        <v>9.0241935483870961</v>
      </c>
    </row>
    <row r="278" spans="1:4" x14ac:dyDescent="0.25">
      <c r="A278" s="3">
        <f>SUM(DATE(2024,2,9),TIME(0,0,0))</f>
        <v>45331</v>
      </c>
      <c r="B278">
        <v>27.72</v>
      </c>
      <c r="C278">
        <v>10360</v>
      </c>
      <c r="D278" s="4">
        <v>8.9419354838709673</v>
      </c>
    </row>
    <row r="279" spans="1:4" x14ac:dyDescent="0.25">
      <c r="A279" s="3">
        <f>SUM(DATE(2024,2,9),TIME(15,0,0))</f>
        <v>45331.625</v>
      </c>
      <c r="B279">
        <v>27.274999999999999</v>
      </c>
      <c r="C279">
        <v>4145</v>
      </c>
      <c r="D279" s="4">
        <v>8.7983870967741922</v>
      </c>
    </row>
    <row r="280" spans="1:4" x14ac:dyDescent="0.25">
      <c r="A280" s="3">
        <f>SUM(DATE(2024,2,9),TIME(16,0,0))</f>
        <v>45331.666666666664</v>
      </c>
      <c r="B280">
        <v>27.22</v>
      </c>
      <c r="C280">
        <v>4960</v>
      </c>
      <c r="D280" s="4">
        <v>8.7806451612903214</v>
      </c>
    </row>
    <row r="281" spans="1:4" x14ac:dyDescent="0.25">
      <c r="A281" s="3">
        <f>SUM(DATE(2024,2,9),TIME(17,0,0))</f>
        <v>45331.708333333336</v>
      </c>
      <c r="B281">
        <v>27.305</v>
      </c>
      <c r="C281">
        <v>3035</v>
      </c>
      <c r="D281" s="4">
        <v>8.8080645161290327</v>
      </c>
    </row>
    <row r="282" spans="1:4" x14ac:dyDescent="0.25">
      <c r="A282" s="3">
        <f>SUM(DATE(2024,2,9),TIME(18,0,0))</f>
        <v>45331.75</v>
      </c>
      <c r="B282">
        <v>27.36</v>
      </c>
      <c r="C282">
        <v>2785</v>
      </c>
      <c r="D282" s="4">
        <v>8.8258064516129036</v>
      </c>
    </row>
    <row r="283" spans="1:4" x14ac:dyDescent="0.25">
      <c r="A283" s="3">
        <f>SUM(DATE(2024,2,9),TIME(19,0,0))</f>
        <v>45331.791666666664</v>
      </c>
      <c r="B283">
        <v>27.25</v>
      </c>
      <c r="C283">
        <v>2715</v>
      </c>
      <c r="D283" s="4">
        <v>8.7903225806451619</v>
      </c>
    </row>
    <row r="284" spans="1:4" x14ac:dyDescent="0.25">
      <c r="A284" s="3">
        <f>SUM(DATE(2024,2,9),TIME(20,0,0))</f>
        <v>45331.833333333336</v>
      </c>
      <c r="B284">
        <v>27.155000000000001</v>
      </c>
      <c r="C284">
        <v>3860</v>
      </c>
      <c r="D284" s="4">
        <v>8.7596774193548388</v>
      </c>
    </row>
    <row r="285" spans="1:4" x14ac:dyDescent="0.25">
      <c r="A285" s="3">
        <f>SUM(DATE(2024,2,9),TIME(21,0,0))</f>
        <v>45331.875</v>
      </c>
      <c r="B285">
        <v>26.945</v>
      </c>
      <c r="C285">
        <v>5415</v>
      </c>
      <c r="D285" s="4">
        <v>8.6919354838709673</v>
      </c>
    </row>
    <row r="286" spans="1:4" x14ac:dyDescent="0.25">
      <c r="A286" s="3">
        <f>SUM(DATE(2024,2,9),TIME(22,0,0))</f>
        <v>45331.916666666664</v>
      </c>
      <c r="B286">
        <v>26.97</v>
      </c>
      <c r="C286">
        <v>5240</v>
      </c>
      <c r="D286" s="4">
        <v>8.6999999999999993</v>
      </c>
    </row>
    <row r="287" spans="1:4" x14ac:dyDescent="0.25">
      <c r="A287" s="3">
        <f>SUM(DATE(2024,2,9),TIME(23,0,0))</f>
        <v>45331.958333333336</v>
      </c>
      <c r="B287">
        <v>27.27</v>
      </c>
      <c r="C287">
        <v>7865</v>
      </c>
      <c r="D287" s="4">
        <v>8.7967741935483872</v>
      </c>
    </row>
    <row r="288" spans="1:4" x14ac:dyDescent="0.25">
      <c r="A288" s="3">
        <f>SUM(DATE(2024,2,12),TIME(15,0,0))</f>
        <v>45334.625</v>
      </c>
      <c r="B288">
        <v>26.1</v>
      </c>
      <c r="C288">
        <v>3775</v>
      </c>
      <c r="D288" s="4">
        <v>8.4193548387096779</v>
      </c>
    </row>
    <row r="289" spans="1:4" x14ac:dyDescent="0.25">
      <c r="A289" s="3">
        <f>SUM(DATE(2024,2,12),TIME(16,0,0))</f>
        <v>45334.666666666664</v>
      </c>
      <c r="B289">
        <v>26.25</v>
      </c>
      <c r="C289">
        <v>2655</v>
      </c>
      <c r="D289" s="4">
        <v>8.4677419354838701</v>
      </c>
    </row>
    <row r="290" spans="1:4" x14ac:dyDescent="0.25">
      <c r="A290" s="3">
        <f>SUM(DATE(2024,2,12),TIME(17,0,0))</f>
        <v>45334.708333333336</v>
      </c>
      <c r="B290">
        <v>26.125</v>
      </c>
      <c r="C290">
        <v>2985</v>
      </c>
      <c r="D290" s="4">
        <v>8.42741935483871</v>
      </c>
    </row>
    <row r="291" spans="1:4" x14ac:dyDescent="0.25">
      <c r="A291" s="3">
        <f>SUM(DATE(2024,2,12),TIME(18,0,0))</f>
        <v>45334.75</v>
      </c>
      <c r="B291">
        <v>26.364999999999998</v>
      </c>
      <c r="C291">
        <v>4130</v>
      </c>
      <c r="D291" s="4">
        <v>8.5048387096774185</v>
      </c>
    </row>
    <row r="292" spans="1:4" x14ac:dyDescent="0.25">
      <c r="A292" s="3">
        <f>SUM(DATE(2024,2,12),TIME(19,0,0))</f>
        <v>45334.791666666664</v>
      </c>
      <c r="B292">
        <v>26.024999999999999</v>
      </c>
      <c r="C292">
        <v>5460</v>
      </c>
      <c r="D292" s="4">
        <v>8.3951612903225801</v>
      </c>
    </row>
    <row r="293" spans="1:4" x14ac:dyDescent="0.25">
      <c r="A293" s="3">
        <f>SUM(DATE(2024,2,12),TIME(20,0,0))</f>
        <v>45334.833333333336</v>
      </c>
      <c r="B293">
        <v>26.08</v>
      </c>
      <c r="C293">
        <v>2740</v>
      </c>
      <c r="D293" s="4">
        <v>8.4129032258064509</v>
      </c>
    </row>
    <row r="294" spans="1:4" x14ac:dyDescent="0.25">
      <c r="A294" s="3">
        <f>SUM(DATE(2024,2,12),TIME(21,0,0))</f>
        <v>45334.875</v>
      </c>
      <c r="B294">
        <v>26.05</v>
      </c>
      <c r="C294">
        <v>4030</v>
      </c>
      <c r="D294" s="4">
        <v>8.4032258064516121</v>
      </c>
    </row>
    <row r="295" spans="1:4" x14ac:dyDescent="0.25">
      <c r="A295" s="3">
        <f>SUM(DATE(2024,2,12),TIME(22,0,0))</f>
        <v>45334.916666666664</v>
      </c>
      <c r="B295">
        <v>26.155000000000001</v>
      </c>
      <c r="C295">
        <v>3530</v>
      </c>
      <c r="D295" s="4">
        <v>8.4370967741935488</v>
      </c>
    </row>
    <row r="296" spans="1:4" x14ac:dyDescent="0.25">
      <c r="A296" s="3">
        <f>SUM(DATE(2024,2,12),TIME(23,0,0))</f>
        <v>45334.958333333336</v>
      </c>
      <c r="B296">
        <v>25.725000000000001</v>
      </c>
      <c r="C296">
        <v>7315</v>
      </c>
      <c r="D296" s="4">
        <v>8.2983870967741939</v>
      </c>
    </row>
    <row r="297" spans="1:4" x14ac:dyDescent="0.25">
      <c r="A297" s="3">
        <f>SUM(DATE(2024,2,13),TIME(0,0,0))</f>
        <v>45335</v>
      </c>
      <c r="B297">
        <v>25.785</v>
      </c>
      <c r="C297">
        <v>11615</v>
      </c>
      <c r="D297" s="4">
        <v>8.3177419354838715</v>
      </c>
    </row>
    <row r="298" spans="1:4" x14ac:dyDescent="0.25">
      <c r="A298" s="3">
        <f>SUM(DATE(2024,2,13),TIME(15,0,0))</f>
        <v>45335.625</v>
      </c>
      <c r="B298">
        <v>26.1</v>
      </c>
      <c r="C298">
        <v>2040</v>
      </c>
      <c r="D298" s="4">
        <v>8.4193548387096779</v>
      </c>
    </row>
    <row r="299" spans="1:4" x14ac:dyDescent="0.25">
      <c r="A299" s="3">
        <f>SUM(DATE(2024,2,13),TIME(16,0,0))</f>
        <v>45335.666666666664</v>
      </c>
      <c r="B299">
        <v>26.05</v>
      </c>
      <c r="C299">
        <v>4755</v>
      </c>
      <c r="D299" s="4">
        <v>8.4032258064516121</v>
      </c>
    </row>
    <row r="300" spans="1:4" x14ac:dyDescent="0.25">
      <c r="A300" s="3">
        <f>SUM(DATE(2024,2,13),TIME(17,0,0))</f>
        <v>45335.708333333336</v>
      </c>
      <c r="B300">
        <v>26.2</v>
      </c>
      <c r="C300">
        <v>4785</v>
      </c>
      <c r="D300" s="4">
        <v>8.4516129032258061</v>
      </c>
    </row>
    <row r="301" spans="1:4" x14ac:dyDescent="0.25">
      <c r="A301" s="3">
        <f>SUM(DATE(2024,2,13),TIME(18,0,0))</f>
        <v>45335.75</v>
      </c>
      <c r="B301">
        <v>26.295000000000002</v>
      </c>
      <c r="C301">
        <v>6700</v>
      </c>
      <c r="D301" s="4">
        <v>8.4822580645161292</v>
      </c>
    </row>
    <row r="302" spans="1:4" x14ac:dyDescent="0.25">
      <c r="A302" s="3">
        <f>SUM(DATE(2024,2,13),TIME(19,0,0))</f>
        <v>45335.791666666664</v>
      </c>
      <c r="B302">
        <v>26.155000000000001</v>
      </c>
      <c r="C302">
        <v>1865</v>
      </c>
      <c r="D302" s="4">
        <v>8.4370967741935488</v>
      </c>
    </row>
    <row r="303" spans="1:4" x14ac:dyDescent="0.25">
      <c r="A303" s="3">
        <f>SUM(DATE(2024,2,13),TIME(20,0,0))</f>
        <v>45335.833333333336</v>
      </c>
      <c r="B303">
        <v>26.004999999999999</v>
      </c>
      <c r="C303">
        <v>1785</v>
      </c>
      <c r="D303" s="4">
        <v>8.3887096774193548</v>
      </c>
    </row>
    <row r="304" spans="1:4" x14ac:dyDescent="0.25">
      <c r="A304" s="3">
        <f>SUM(DATE(2024,2,13),TIME(21,0,0))</f>
        <v>45335.875</v>
      </c>
      <c r="B304">
        <v>25.9</v>
      </c>
      <c r="C304">
        <v>2650</v>
      </c>
      <c r="D304" s="4">
        <v>8.3548387096774182</v>
      </c>
    </row>
    <row r="305" spans="1:4" x14ac:dyDescent="0.25">
      <c r="A305" s="3">
        <f>SUM(DATE(2024,2,13),TIME(22,0,0))</f>
        <v>45335.916666666664</v>
      </c>
      <c r="B305">
        <v>25.59</v>
      </c>
      <c r="C305">
        <v>8005</v>
      </c>
      <c r="D305" s="4">
        <v>8.2548387096774185</v>
      </c>
    </row>
    <row r="306" spans="1:4" x14ac:dyDescent="0.25">
      <c r="A306" s="3">
        <f>SUM(DATE(2024,2,13),TIME(23,0,0))</f>
        <v>45335.958333333336</v>
      </c>
      <c r="B306">
        <v>25.38</v>
      </c>
      <c r="C306">
        <v>7985</v>
      </c>
      <c r="D306" s="4">
        <v>8.187096774193547</v>
      </c>
    </row>
    <row r="307" spans="1:4" x14ac:dyDescent="0.25">
      <c r="A307" s="3">
        <f>SUM(DATE(2024,2,14),TIME(0,0,0))</f>
        <v>45336</v>
      </c>
      <c r="B307">
        <v>25.43</v>
      </c>
      <c r="C307">
        <v>10105</v>
      </c>
      <c r="D307" s="4">
        <v>8.2032258064516128</v>
      </c>
    </row>
    <row r="308" spans="1:4" x14ac:dyDescent="0.25">
      <c r="A308" s="3">
        <f>SUM(DATE(2024,2,14),TIME(15,0,0))</f>
        <v>45336.625</v>
      </c>
      <c r="B308">
        <v>25.1</v>
      </c>
      <c r="C308">
        <v>4010</v>
      </c>
      <c r="D308" s="4">
        <v>8.0967741935483879</v>
      </c>
    </row>
    <row r="309" spans="1:4" x14ac:dyDescent="0.25">
      <c r="A309" s="3">
        <f>SUM(DATE(2024,2,14),TIME(16,0,0))</f>
        <v>45336.666666666664</v>
      </c>
      <c r="B309">
        <v>24.88</v>
      </c>
      <c r="C309">
        <v>4100</v>
      </c>
      <c r="D309" s="4">
        <v>8.0258064516129028</v>
      </c>
    </row>
    <row r="310" spans="1:4" x14ac:dyDescent="0.25">
      <c r="A310" s="3">
        <f>SUM(DATE(2024,2,14),TIME(17,0,0))</f>
        <v>45336.708333333336</v>
      </c>
      <c r="B310">
        <v>25</v>
      </c>
      <c r="C310">
        <v>4115</v>
      </c>
      <c r="D310" s="4">
        <v>8.064516129032258</v>
      </c>
    </row>
    <row r="311" spans="1:4" x14ac:dyDescent="0.25">
      <c r="A311" s="3">
        <f>SUM(DATE(2024,2,14),TIME(18,0,0))</f>
        <v>45336.75</v>
      </c>
      <c r="B311">
        <v>25</v>
      </c>
      <c r="C311">
        <v>5550</v>
      </c>
      <c r="D311" s="4">
        <v>8.064516129032258</v>
      </c>
    </row>
    <row r="312" spans="1:4" x14ac:dyDescent="0.25">
      <c r="A312" s="3">
        <f>SUM(DATE(2024,2,14),TIME(19,0,0))</f>
        <v>45336.791666666664</v>
      </c>
      <c r="B312">
        <v>25.155000000000001</v>
      </c>
      <c r="C312">
        <v>2695</v>
      </c>
      <c r="D312" s="4">
        <v>8.1145161290322587</v>
      </c>
    </row>
    <row r="313" spans="1:4" x14ac:dyDescent="0.25">
      <c r="A313" s="3">
        <f>SUM(DATE(2024,2,14),TIME(20,0,0))</f>
        <v>45336.833333333336</v>
      </c>
      <c r="B313">
        <v>25.34</v>
      </c>
      <c r="C313">
        <v>6715</v>
      </c>
      <c r="D313" s="4">
        <v>8.1741935483870964</v>
      </c>
    </row>
    <row r="314" spans="1:4" x14ac:dyDescent="0.25">
      <c r="A314" s="3">
        <f>SUM(DATE(2024,2,14),TIME(21,0,0))</f>
        <v>45336.875</v>
      </c>
      <c r="B314">
        <v>25.15</v>
      </c>
      <c r="C314">
        <v>4360</v>
      </c>
      <c r="D314" s="4">
        <v>8.1129032258064502</v>
      </c>
    </row>
    <row r="315" spans="1:4" x14ac:dyDescent="0.25">
      <c r="A315" s="3">
        <f>SUM(DATE(2024,2,14),TIME(22,0,0))</f>
        <v>45336.916666666664</v>
      </c>
      <c r="B315">
        <v>24.645</v>
      </c>
      <c r="C315">
        <v>7340</v>
      </c>
      <c r="D315" s="4">
        <v>7.9499999999999993</v>
      </c>
    </row>
    <row r="316" spans="1:4" x14ac:dyDescent="0.25">
      <c r="A316" s="3">
        <f>SUM(DATE(2024,2,14),TIME(23,0,0))</f>
        <v>45336.958333333336</v>
      </c>
      <c r="B316">
        <v>24.69</v>
      </c>
      <c r="C316">
        <v>5920</v>
      </c>
      <c r="D316" s="4">
        <v>7.9645161290322584</v>
      </c>
    </row>
    <row r="317" spans="1:4" x14ac:dyDescent="0.25">
      <c r="A317" s="3">
        <f>SUM(DATE(2024,2,15),TIME(0,0,0))</f>
        <v>45337</v>
      </c>
      <c r="B317">
        <v>24.97</v>
      </c>
      <c r="C317">
        <v>11820</v>
      </c>
      <c r="D317" s="4">
        <v>8.0548387096774192</v>
      </c>
    </row>
    <row r="318" spans="1:4" x14ac:dyDescent="0.25">
      <c r="A318" s="3">
        <f>SUM(DATE(2024,2,15),TIME(15,0,0))</f>
        <v>45337.625</v>
      </c>
      <c r="B318">
        <v>24.99</v>
      </c>
      <c r="C318">
        <v>2695</v>
      </c>
      <c r="D318" s="4">
        <v>8.0612903225806445</v>
      </c>
    </row>
    <row r="319" spans="1:4" x14ac:dyDescent="0.25">
      <c r="A319" s="3">
        <f>SUM(DATE(2024,2,15),TIME(16,0,0))</f>
        <v>45337.666666666664</v>
      </c>
      <c r="B319">
        <v>25.434999999999999</v>
      </c>
      <c r="C319">
        <v>10285</v>
      </c>
      <c r="D319" s="4">
        <v>8.2048387096774196</v>
      </c>
    </row>
    <row r="320" spans="1:4" x14ac:dyDescent="0.25">
      <c r="A320" s="3">
        <f>SUM(DATE(2024,2,15),TIME(17,0,0))</f>
        <v>45337.708333333336</v>
      </c>
      <c r="B320">
        <v>25.32</v>
      </c>
      <c r="C320">
        <v>3175</v>
      </c>
      <c r="D320" s="4">
        <v>8.1677419354838712</v>
      </c>
    </row>
    <row r="321" spans="1:4" x14ac:dyDescent="0.25">
      <c r="A321" s="3">
        <f>SUM(DATE(2024,2,15),TIME(18,0,0))</f>
        <v>45337.75</v>
      </c>
      <c r="B321">
        <v>25.524999999999999</v>
      </c>
      <c r="C321">
        <v>4780</v>
      </c>
      <c r="D321" s="4">
        <v>8.2338709677419342</v>
      </c>
    </row>
    <row r="322" spans="1:4" x14ac:dyDescent="0.25">
      <c r="A322" s="3">
        <f>SUM(DATE(2024,2,15),TIME(19,0,0))</f>
        <v>45337.791666666664</v>
      </c>
      <c r="B322">
        <v>25.5</v>
      </c>
      <c r="C322">
        <v>3740</v>
      </c>
      <c r="D322" s="4">
        <v>8.2258064516129021</v>
      </c>
    </row>
    <row r="323" spans="1:4" x14ac:dyDescent="0.25">
      <c r="A323" s="3">
        <f>SUM(DATE(2024,2,15),TIME(20,0,0))</f>
        <v>45337.833333333336</v>
      </c>
      <c r="B323">
        <v>25.45</v>
      </c>
      <c r="C323">
        <v>4120</v>
      </c>
      <c r="D323" s="4">
        <v>8.2096774193548381</v>
      </c>
    </row>
    <row r="324" spans="1:4" x14ac:dyDescent="0.25">
      <c r="A324" s="3">
        <f>SUM(DATE(2024,2,15),TIME(21,0,0))</f>
        <v>45337.875</v>
      </c>
      <c r="B324">
        <v>25.375</v>
      </c>
      <c r="C324">
        <v>3760</v>
      </c>
      <c r="D324" s="4">
        <v>8.185483870967742</v>
      </c>
    </row>
    <row r="325" spans="1:4" x14ac:dyDescent="0.25">
      <c r="A325" s="3">
        <f>SUM(DATE(2024,2,15),TIME(22,0,0))</f>
        <v>45337.916666666664</v>
      </c>
      <c r="B325">
        <v>25.28</v>
      </c>
      <c r="C325">
        <v>5635</v>
      </c>
      <c r="D325" s="4">
        <v>8.1548387096774189</v>
      </c>
    </row>
    <row r="326" spans="1:4" x14ac:dyDescent="0.25">
      <c r="A326" s="3">
        <f>SUM(DATE(2024,2,15),TIME(23,0,0))</f>
        <v>45337.958333333336</v>
      </c>
      <c r="B326">
        <v>25.13</v>
      </c>
      <c r="C326">
        <v>7510</v>
      </c>
      <c r="D326" s="4">
        <v>8.1064516129032249</v>
      </c>
    </row>
    <row r="327" spans="1:4" x14ac:dyDescent="0.25">
      <c r="A327" s="3">
        <f>SUM(DATE(2024,2,16),TIME(0,0,0))</f>
        <v>45338</v>
      </c>
      <c r="B327">
        <v>24.975000000000001</v>
      </c>
      <c r="C327">
        <v>11270</v>
      </c>
      <c r="D327" s="4">
        <v>8.056451612903226</v>
      </c>
    </row>
    <row r="328" spans="1:4" x14ac:dyDescent="0.25">
      <c r="A328" s="3">
        <f>SUM(DATE(2024,2,16),TIME(15,0,0))</f>
        <v>45338.625</v>
      </c>
      <c r="B328">
        <v>25.23</v>
      </c>
      <c r="C328">
        <v>2800</v>
      </c>
      <c r="D328" s="4">
        <v>8.1387096774193548</v>
      </c>
    </row>
    <row r="329" spans="1:4" x14ac:dyDescent="0.25">
      <c r="A329" s="3">
        <f>SUM(DATE(2024,2,16),TIME(16,0,0))</f>
        <v>45338.666666666664</v>
      </c>
      <c r="B329">
        <v>25.1</v>
      </c>
      <c r="C329">
        <v>4350</v>
      </c>
      <c r="D329" s="4">
        <v>8.0967741935483879</v>
      </c>
    </row>
    <row r="330" spans="1:4" x14ac:dyDescent="0.25">
      <c r="A330" s="3">
        <f>SUM(DATE(2024,2,16),TIME(17,0,0))</f>
        <v>45338.708333333336</v>
      </c>
      <c r="B330">
        <v>24.934999999999999</v>
      </c>
      <c r="C330">
        <v>4370</v>
      </c>
      <c r="D330" s="4">
        <v>8.0435483870967737</v>
      </c>
    </row>
    <row r="331" spans="1:4" x14ac:dyDescent="0.25">
      <c r="A331" s="3">
        <f>SUM(DATE(2024,2,16),TIME(18,0,0))</f>
        <v>45338.75</v>
      </c>
      <c r="B331">
        <v>24.71</v>
      </c>
      <c r="C331">
        <v>5600</v>
      </c>
      <c r="D331" s="4">
        <v>7.9709677419354836</v>
      </c>
    </row>
    <row r="332" spans="1:4" x14ac:dyDescent="0.25">
      <c r="A332" s="3">
        <f>SUM(DATE(2024,2,16),TIME(19,0,0))</f>
        <v>45338.791666666664</v>
      </c>
      <c r="B332">
        <v>24.63</v>
      </c>
      <c r="C332">
        <v>3500</v>
      </c>
      <c r="D332" s="4">
        <v>7.9451612903225799</v>
      </c>
    </row>
    <row r="333" spans="1:4" x14ac:dyDescent="0.25">
      <c r="A333" s="3">
        <f>SUM(DATE(2024,2,16),TIME(20,0,0))</f>
        <v>45338.833333333336</v>
      </c>
      <c r="B333">
        <v>24.46</v>
      </c>
      <c r="C333">
        <v>3885</v>
      </c>
      <c r="D333" s="4">
        <v>7.8903225806451616</v>
      </c>
    </row>
    <row r="334" spans="1:4" x14ac:dyDescent="0.25">
      <c r="A334" s="3">
        <f>SUM(DATE(2024,2,16),TIME(21,0,0))</f>
        <v>45338.875</v>
      </c>
      <c r="B334">
        <v>24.63</v>
      </c>
      <c r="C334">
        <v>5550</v>
      </c>
      <c r="D334" s="4">
        <v>7.9451612903225799</v>
      </c>
    </row>
    <row r="335" spans="1:4" x14ac:dyDescent="0.25">
      <c r="A335" s="3">
        <f>SUM(DATE(2024,2,16),TIME(22,0,0))</f>
        <v>45338.916666666664</v>
      </c>
      <c r="B335">
        <v>24.754999999999999</v>
      </c>
      <c r="C335">
        <v>8865</v>
      </c>
      <c r="D335" s="4">
        <v>7.9854838709677418</v>
      </c>
    </row>
    <row r="336" spans="1:4" x14ac:dyDescent="0.25">
      <c r="A336" s="3">
        <f>SUM(DATE(2024,2,16),TIME(23,0,0))</f>
        <v>45338.958333333336</v>
      </c>
      <c r="B336">
        <v>24.765000000000001</v>
      </c>
      <c r="C336">
        <v>6215</v>
      </c>
      <c r="D336" s="4">
        <v>7.9887096774193544</v>
      </c>
    </row>
    <row r="337" spans="1:4" x14ac:dyDescent="0.25">
      <c r="A337" s="3">
        <f>SUM(DATE(2024,2,19),TIME(15,0,0))</f>
        <v>45341.625</v>
      </c>
      <c r="B337">
        <v>24.405000000000001</v>
      </c>
      <c r="C337">
        <v>2830</v>
      </c>
      <c r="D337" s="4">
        <v>7.8725806451612907</v>
      </c>
    </row>
    <row r="338" spans="1:4" x14ac:dyDescent="0.25">
      <c r="A338" s="3">
        <f>SUM(DATE(2024,2,19),TIME(16,0,0))</f>
        <v>45341.666666666664</v>
      </c>
      <c r="B338">
        <v>24.324999999999999</v>
      </c>
      <c r="C338">
        <v>4355</v>
      </c>
      <c r="D338" s="4">
        <v>7.846774193548387</v>
      </c>
    </row>
    <row r="339" spans="1:4" x14ac:dyDescent="0.25">
      <c r="A339" s="3">
        <f>SUM(DATE(2024,2,19),TIME(17,0,0))</f>
        <v>45341.708333333336</v>
      </c>
      <c r="B339">
        <v>24.324999999999999</v>
      </c>
      <c r="C339">
        <v>2365</v>
      </c>
      <c r="D339" s="4">
        <v>7.846774193548387</v>
      </c>
    </row>
    <row r="340" spans="1:4" x14ac:dyDescent="0.25">
      <c r="A340" s="3">
        <f>SUM(DATE(2024,2,19),TIME(18,0,0))</f>
        <v>45341.75</v>
      </c>
      <c r="B340">
        <v>24.3</v>
      </c>
      <c r="C340">
        <v>4670</v>
      </c>
      <c r="D340" s="4">
        <v>7.838709677419355</v>
      </c>
    </row>
    <row r="341" spans="1:4" x14ac:dyDescent="0.25">
      <c r="A341" s="3">
        <f>SUM(DATE(2024,2,19),TIME(19,0,0))</f>
        <v>45341.791666666664</v>
      </c>
      <c r="B341">
        <v>24.285</v>
      </c>
      <c r="C341">
        <v>1950</v>
      </c>
      <c r="D341" s="4">
        <v>7.8338709677419356</v>
      </c>
    </row>
    <row r="342" spans="1:4" x14ac:dyDescent="0.25">
      <c r="A342" s="3">
        <f>SUM(DATE(2024,2,19),TIME(20,0,0))</f>
        <v>45341.833333333336</v>
      </c>
      <c r="B342">
        <v>24.17</v>
      </c>
      <c r="C342">
        <v>4025</v>
      </c>
      <c r="D342" s="4">
        <v>7.7967741935483872</v>
      </c>
    </row>
    <row r="343" spans="1:4" x14ac:dyDescent="0.25">
      <c r="A343" s="3">
        <f>SUM(DATE(2024,2,19),TIME(21,0,0))</f>
        <v>45341.875</v>
      </c>
      <c r="B343">
        <v>23.9</v>
      </c>
      <c r="C343">
        <v>5485</v>
      </c>
      <c r="D343" s="4">
        <v>7.7096774193548381</v>
      </c>
    </row>
    <row r="344" spans="1:4" x14ac:dyDescent="0.25">
      <c r="A344" s="3">
        <f>SUM(DATE(2024,2,19),TIME(22,0,0))</f>
        <v>45341.916666666664</v>
      </c>
      <c r="B344">
        <v>23.855</v>
      </c>
      <c r="C344">
        <v>4230</v>
      </c>
      <c r="D344" s="4">
        <v>7.6951612903225808</v>
      </c>
    </row>
    <row r="345" spans="1:4" x14ac:dyDescent="0.25">
      <c r="A345" s="3">
        <f>SUM(DATE(2024,2,19),TIME(23,0,0))</f>
        <v>45341.958333333336</v>
      </c>
      <c r="B345">
        <v>23.69</v>
      </c>
      <c r="C345">
        <v>5100</v>
      </c>
      <c r="D345" s="4">
        <v>7.6419354838709683</v>
      </c>
    </row>
    <row r="346" spans="1:4" x14ac:dyDescent="0.25">
      <c r="A346" s="3">
        <f>SUM(DATE(2024,2,20),TIME(0,0,0))</f>
        <v>45342</v>
      </c>
      <c r="B346">
        <v>23.59</v>
      </c>
      <c r="C346">
        <v>9875</v>
      </c>
      <c r="D346" s="4">
        <v>7.6096774193548384</v>
      </c>
    </row>
    <row r="347" spans="1:4" x14ac:dyDescent="0.25">
      <c r="A347" s="3">
        <f>SUM(DATE(2024,2,20),TIME(15,0,0))</f>
        <v>45342.625</v>
      </c>
      <c r="B347">
        <v>23.85</v>
      </c>
      <c r="C347">
        <v>3020</v>
      </c>
      <c r="D347" s="4">
        <v>7.693548387096774</v>
      </c>
    </row>
    <row r="348" spans="1:4" x14ac:dyDescent="0.25">
      <c r="A348" s="3">
        <f>SUM(DATE(2024,2,20),TIME(16,0,0))</f>
        <v>45342.666666666664</v>
      </c>
      <c r="B348">
        <v>23.445</v>
      </c>
      <c r="C348">
        <v>5525</v>
      </c>
      <c r="D348" s="4">
        <v>7.5629032258064512</v>
      </c>
    </row>
    <row r="349" spans="1:4" x14ac:dyDescent="0.25">
      <c r="A349" s="3">
        <f>SUM(DATE(2024,2,20),TIME(17,0,0))</f>
        <v>45342.708333333336</v>
      </c>
      <c r="B349">
        <v>23.87</v>
      </c>
      <c r="C349">
        <v>6815</v>
      </c>
      <c r="D349" s="4">
        <v>7.7</v>
      </c>
    </row>
    <row r="350" spans="1:4" x14ac:dyDescent="0.25">
      <c r="A350" s="3">
        <f>SUM(DATE(2024,2,20),TIME(18,0,0))</f>
        <v>45342.75</v>
      </c>
      <c r="B350">
        <v>24.055</v>
      </c>
      <c r="C350">
        <v>6145</v>
      </c>
      <c r="D350" s="4">
        <v>7.7596774193548388</v>
      </c>
    </row>
    <row r="351" spans="1:4" x14ac:dyDescent="0.25">
      <c r="A351" s="3">
        <f>SUM(DATE(2024,2,20),TIME(19,0,0))</f>
        <v>45342.791666666664</v>
      </c>
      <c r="B351">
        <v>24.05</v>
      </c>
      <c r="C351">
        <v>3610</v>
      </c>
      <c r="D351" s="4">
        <v>7.758064516129032</v>
      </c>
    </row>
    <row r="352" spans="1:4" x14ac:dyDescent="0.25">
      <c r="A352" s="3">
        <f>SUM(DATE(2024,2,20),TIME(20,0,0))</f>
        <v>45342.833333333336</v>
      </c>
      <c r="B352">
        <v>23.75</v>
      </c>
      <c r="C352">
        <v>3760</v>
      </c>
      <c r="D352" s="4">
        <v>7.661290322580645</v>
      </c>
    </row>
    <row r="353" spans="1:4" x14ac:dyDescent="0.25">
      <c r="A353" s="3">
        <f>SUM(DATE(2024,2,20),TIME(21,0,0))</f>
        <v>45342.875</v>
      </c>
      <c r="B353">
        <v>23.9</v>
      </c>
      <c r="C353">
        <v>3525</v>
      </c>
      <c r="D353" s="4">
        <v>7.7096774193548381</v>
      </c>
    </row>
    <row r="354" spans="1:4" x14ac:dyDescent="0.25">
      <c r="A354" s="3">
        <f>SUM(DATE(2024,2,20),TIME(22,0,0))</f>
        <v>45342.916666666664</v>
      </c>
      <c r="B354">
        <v>24.225000000000001</v>
      </c>
      <c r="C354">
        <v>5205</v>
      </c>
      <c r="D354" s="4">
        <v>7.814516129032258</v>
      </c>
    </row>
    <row r="355" spans="1:4" x14ac:dyDescent="0.25">
      <c r="A355" s="3">
        <f>SUM(DATE(2024,2,20),TIME(23,0,0))</f>
        <v>45342.958333333336</v>
      </c>
      <c r="B355">
        <v>24.35</v>
      </c>
      <c r="C355">
        <v>11440</v>
      </c>
      <c r="D355" s="4">
        <v>7.8548387096774199</v>
      </c>
    </row>
    <row r="356" spans="1:4" x14ac:dyDescent="0.25">
      <c r="A356" s="3">
        <f>SUM(DATE(2024,2,21),TIME(0,0,0))</f>
        <v>45343</v>
      </c>
      <c r="B356">
        <v>23.63</v>
      </c>
      <c r="C356">
        <v>13365</v>
      </c>
      <c r="D356" s="4">
        <v>7.6225806451612899</v>
      </c>
    </row>
    <row r="357" spans="1:4" x14ac:dyDescent="0.25">
      <c r="A357" s="3">
        <f>SUM(DATE(2024,2,21),TIME(15,0,0))</f>
        <v>45343.625</v>
      </c>
      <c r="B357">
        <v>23.91</v>
      </c>
      <c r="C357">
        <v>2355</v>
      </c>
      <c r="D357" s="4">
        <v>7.7129032258064516</v>
      </c>
    </row>
    <row r="358" spans="1:4" x14ac:dyDescent="0.25">
      <c r="A358" s="3">
        <f>SUM(DATE(2024,2,21),TIME(16,0,0))</f>
        <v>45343.666666666664</v>
      </c>
      <c r="B358">
        <v>23.85</v>
      </c>
      <c r="C358">
        <v>2865</v>
      </c>
      <c r="D358" s="4">
        <v>7.693548387096774</v>
      </c>
    </row>
    <row r="359" spans="1:4" x14ac:dyDescent="0.25">
      <c r="A359" s="3">
        <f>SUM(DATE(2024,2,21),TIME(17,0,0))</f>
        <v>45343.708333333336</v>
      </c>
      <c r="B359">
        <v>23.715</v>
      </c>
      <c r="C359">
        <v>4680</v>
      </c>
      <c r="D359" s="4">
        <v>7.6499999999999995</v>
      </c>
    </row>
    <row r="360" spans="1:4" x14ac:dyDescent="0.25">
      <c r="A360" s="3">
        <f>SUM(DATE(2024,2,21),TIME(18,0,0))</f>
        <v>45343.75</v>
      </c>
      <c r="B360">
        <v>23.75</v>
      </c>
      <c r="C360">
        <v>3655</v>
      </c>
      <c r="D360" s="4">
        <v>7.661290322580645</v>
      </c>
    </row>
    <row r="361" spans="1:4" x14ac:dyDescent="0.25">
      <c r="A361" s="3">
        <f>SUM(DATE(2024,2,21),TIME(19,0,0))</f>
        <v>45343.791666666664</v>
      </c>
      <c r="B361">
        <v>23.704999999999998</v>
      </c>
      <c r="C361">
        <v>2245</v>
      </c>
      <c r="D361" s="4">
        <v>7.6467741935483859</v>
      </c>
    </row>
    <row r="362" spans="1:4" x14ac:dyDescent="0.25">
      <c r="A362" s="3">
        <f>SUM(DATE(2024,2,21),TIME(20,0,0))</f>
        <v>45343.833333333336</v>
      </c>
      <c r="B362">
        <v>23.895</v>
      </c>
      <c r="C362">
        <v>1630</v>
      </c>
      <c r="D362" s="4">
        <v>7.7080645161290322</v>
      </c>
    </row>
    <row r="363" spans="1:4" x14ac:dyDescent="0.25">
      <c r="A363" s="3">
        <f>SUM(DATE(2024,2,21),TIME(21,0,0))</f>
        <v>45343.875</v>
      </c>
      <c r="B363">
        <v>24.05</v>
      </c>
      <c r="C363">
        <v>4390</v>
      </c>
      <c r="D363" s="4">
        <v>7.758064516129032</v>
      </c>
    </row>
    <row r="364" spans="1:4" x14ac:dyDescent="0.25">
      <c r="A364" s="3">
        <f>SUM(DATE(2024,2,21),TIME(22,0,0))</f>
        <v>45343.916666666664</v>
      </c>
      <c r="B364">
        <v>24.15</v>
      </c>
      <c r="C364">
        <v>4395</v>
      </c>
      <c r="D364" s="4">
        <v>7.790322580645161</v>
      </c>
    </row>
    <row r="365" spans="1:4" x14ac:dyDescent="0.25">
      <c r="A365" s="3">
        <f>SUM(DATE(2024,2,21),TIME(23,0,0))</f>
        <v>45343.958333333336</v>
      </c>
      <c r="B365">
        <v>24.1</v>
      </c>
      <c r="C365">
        <v>5570</v>
      </c>
      <c r="D365" s="4">
        <v>7.774193548387097</v>
      </c>
    </row>
    <row r="366" spans="1:4" x14ac:dyDescent="0.25">
      <c r="A366" s="3">
        <f>SUM(DATE(2024,2,22),TIME(0,0,0))</f>
        <v>45344</v>
      </c>
      <c r="B366">
        <v>23.95</v>
      </c>
      <c r="C366">
        <v>10350</v>
      </c>
      <c r="D366" s="4">
        <v>7.725806451612903</v>
      </c>
    </row>
    <row r="367" spans="1:4" x14ac:dyDescent="0.25">
      <c r="A367" s="3">
        <f>SUM(DATE(2024,2,22),TIME(15,0,0))</f>
        <v>45344.625</v>
      </c>
      <c r="B367">
        <v>24.085000000000001</v>
      </c>
      <c r="C367">
        <v>1970</v>
      </c>
      <c r="D367" s="4">
        <v>7.7693548387096776</v>
      </c>
    </row>
    <row r="368" spans="1:4" x14ac:dyDescent="0.25">
      <c r="A368" s="3">
        <f>SUM(DATE(2024,2,22),TIME(16,0,0))</f>
        <v>45344.666666666664</v>
      </c>
      <c r="B368">
        <v>23.86</v>
      </c>
      <c r="C368">
        <v>5450</v>
      </c>
      <c r="D368" s="4">
        <v>7.6967741935483867</v>
      </c>
    </row>
    <row r="369" spans="1:4" x14ac:dyDescent="0.25">
      <c r="A369" s="3">
        <f>SUM(DATE(2024,2,22),TIME(17,0,0))</f>
        <v>45344.708333333336</v>
      </c>
      <c r="B369">
        <v>23.82</v>
      </c>
      <c r="C369">
        <v>3415</v>
      </c>
      <c r="D369" s="4">
        <v>7.6838709677419352</v>
      </c>
    </row>
    <row r="370" spans="1:4" x14ac:dyDescent="0.25">
      <c r="A370" s="3">
        <f>SUM(DATE(2024,2,22),TIME(18,0,0))</f>
        <v>45344.75</v>
      </c>
      <c r="B370">
        <v>23.6</v>
      </c>
      <c r="C370">
        <v>5280</v>
      </c>
      <c r="D370" s="4">
        <v>7.612903225806452</v>
      </c>
    </row>
    <row r="371" spans="1:4" x14ac:dyDescent="0.25">
      <c r="A371" s="3">
        <f>SUM(DATE(2024,2,22),TIME(19,0,0))</f>
        <v>45344.791666666664</v>
      </c>
      <c r="B371">
        <v>23.774999999999999</v>
      </c>
      <c r="C371">
        <v>2845</v>
      </c>
      <c r="D371" s="4">
        <v>7.669354838709677</v>
      </c>
    </row>
    <row r="372" spans="1:4" x14ac:dyDescent="0.25">
      <c r="A372" s="3">
        <f>SUM(DATE(2024,2,22),TIME(20,0,0))</f>
        <v>45344.833333333336</v>
      </c>
      <c r="B372">
        <v>23.414999999999999</v>
      </c>
      <c r="C372">
        <v>3705</v>
      </c>
      <c r="D372" s="4">
        <v>7.5532258064516125</v>
      </c>
    </row>
    <row r="373" spans="1:4" x14ac:dyDescent="0.25">
      <c r="A373" s="3">
        <f>SUM(DATE(2024,2,22),TIME(21,0,0))</f>
        <v>45344.875</v>
      </c>
      <c r="B373">
        <v>23.42</v>
      </c>
      <c r="C373">
        <v>4335</v>
      </c>
      <c r="D373" s="4">
        <v>7.5548387096774201</v>
      </c>
    </row>
    <row r="374" spans="1:4" x14ac:dyDescent="0.25">
      <c r="A374" s="3">
        <f>SUM(DATE(2024,2,22),TIME(22,0,0))</f>
        <v>45344.916666666664</v>
      </c>
      <c r="B374">
        <v>23.27</v>
      </c>
      <c r="C374">
        <v>3930</v>
      </c>
      <c r="D374" s="4">
        <v>7.5064516129032253</v>
      </c>
    </row>
    <row r="375" spans="1:4" x14ac:dyDescent="0.25">
      <c r="A375" s="3">
        <f>SUM(DATE(2024,2,22),TIME(23,0,0))</f>
        <v>45344.958333333336</v>
      </c>
      <c r="B375">
        <v>23.47</v>
      </c>
      <c r="C375">
        <v>6800</v>
      </c>
      <c r="D375" s="4">
        <v>7.5709677419354833</v>
      </c>
    </row>
    <row r="376" spans="1:4" x14ac:dyDescent="0.25">
      <c r="A376" s="3">
        <f>SUM(DATE(2024,2,23),TIME(0,0,0))</f>
        <v>45345</v>
      </c>
      <c r="B376">
        <v>22.975000000000001</v>
      </c>
      <c r="C376">
        <v>14710</v>
      </c>
      <c r="D376" s="4">
        <v>7.411290322580645</v>
      </c>
    </row>
    <row r="377" spans="1:4" x14ac:dyDescent="0.25">
      <c r="A377" s="3">
        <f>SUM(DATE(2024,2,23),TIME(15,0,0))</f>
        <v>45345.625</v>
      </c>
      <c r="B377">
        <v>22.87</v>
      </c>
      <c r="C377">
        <v>2955</v>
      </c>
      <c r="D377" s="4">
        <v>7.3774193548387101</v>
      </c>
    </row>
    <row r="378" spans="1:4" x14ac:dyDescent="0.25">
      <c r="A378" s="3">
        <f>SUM(DATE(2024,2,23),TIME(16,0,0))</f>
        <v>45345.666666666664</v>
      </c>
      <c r="B378">
        <v>22.864999999999998</v>
      </c>
      <c r="C378">
        <v>4315</v>
      </c>
      <c r="D378" s="4">
        <v>7.3758064516129025</v>
      </c>
    </row>
    <row r="379" spans="1:4" x14ac:dyDescent="0.25">
      <c r="A379" s="3">
        <f>SUM(DATE(2024,2,23),TIME(17,0,0))</f>
        <v>45345.708333333336</v>
      </c>
      <c r="B379">
        <v>22.445</v>
      </c>
      <c r="C379">
        <v>4870</v>
      </c>
      <c r="D379" s="4">
        <v>7.2403225806451612</v>
      </c>
    </row>
    <row r="380" spans="1:4" x14ac:dyDescent="0.25">
      <c r="A380" s="3">
        <f>SUM(DATE(2024,2,23),TIME(18,0,0))</f>
        <v>45345.75</v>
      </c>
      <c r="B380">
        <v>22.51</v>
      </c>
      <c r="C380">
        <v>4365</v>
      </c>
      <c r="D380" s="4">
        <v>7.2612903225806456</v>
      </c>
    </row>
    <row r="381" spans="1:4" x14ac:dyDescent="0.25">
      <c r="A381" s="3">
        <f>SUM(DATE(2024,2,23),TIME(19,0,0))</f>
        <v>45345.791666666664</v>
      </c>
      <c r="B381">
        <v>22.805</v>
      </c>
      <c r="C381">
        <v>4985</v>
      </c>
      <c r="D381" s="4">
        <v>7.3564516129032258</v>
      </c>
    </row>
    <row r="382" spans="1:4" x14ac:dyDescent="0.25">
      <c r="A382" s="3">
        <f>SUM(DATE(2024,2,23),TIME(20,0,0))</f>
        <v>45345.833333333336</v>
      </c>
      <c r="B382">
        <v>22.9</v>
      </c>
      <c r="C382">
        <v>3075</v>
      </c>
      <c r="D382" s="4">
        <v>7.387096774193548</v>
      </c>
    </row>
    <row r="383" spans="1:4" x14ac:dyDescent="0.25">
      <c r="A383" s="3">
        <f>SUM(DATE(2024,2,23),TIME(21,0,0))</f>
        <v>45345.875</v>
      </c>
      <c r="B383">
        <v>22.885000000000002</v>
      </c>
      <c r="C383">
        <v>3025</v>
      </c>
      <c r="D383" s="4">
        <v>7.3822580645161295</v>
      </c>
    </row>
    <row r="384" spans="1:4" x14ac:dyDescent="0.25">
      <c r="A384" s="3">
        <f>SUM(DATE(2024,2,23),TIME(22,0,0))</f>
        <v>45345.916666666664</v>
      </c>
      <c r="B384">
        <v>23.204999999999998</v>
      </c>
      <c r="C384">
        <v>8640</v>
      </c>
      <c r="D384" s="4">
        <v>7.4854838709677409</v>
      </c>
    </row>
    <row r="385" spans="1:4" x14ac:dyDescent="0.25">
      <c r="A385" s="3">
        <f>SUM(DATE(2024,2,23),TIME(23,0,0))</f>
        <v>45345.958333333336</v>
      </c>
      <c r="B385">
        <v>23.175000000000001</v>
      </c>
      <c r="C385">
        <v>5815</v>
      </c>
      <c r="D385" s="4">
        <v>7.475806451612903</v>
      </c>
    </row>
    <row r="386" spans="1:4" x14ac:dyDescent="0.25">
      <c r="A386" s="3">
        <f>SUM(DATE(2024,2,26),TIME(15,0,0))</f>
        <v>45348.625</v>
      </c>
      <c r="B386">
        <v>23.164999999999999</v>
      </c>
      <c r="C386">
        <v>3445</v>
      </c>
      <c r="D386" s="4">
        <v>7.4725806451612895</v>
      </c>
    </row>
    <row r="387" spans="1:4" x14ac:dyDescent="0.25">
      <c r="A387" s="3">
        <f>SUM(DATE(2024,2,26),TIME(16,0,0))</f>
        <v>45348.666666666664</v>
      </c>
      <c r="B387">
        <v>23.175000000000001</v>
      </c>
      <c r="C387">
        <v>3355</v>
      </c>
      <c r="D387" s="4">
        <v>7.475806451612903</v>
      </c>
    </row>
    <row r="388" spans="1:4" x14ac:dyDescent="0.25">
      <c r="A388" s="3">
        <f>SUM(DATE(2024,2,26),TIME(17,0,0))</f>
        <v>45348.708333333336</v>
      </c>
      <c r="B388">
        <v>23.26</v>
      </c>
      <c r="C388">
        <v>2340</v>
      </c>
      <c r="D388" s="4">
        <v>7.5032258064516135</v>
      </c>
    </row>
    <row r="389" spans="1:4" x14ac:dyDescent="0.25">
      <c r="A389" s="3">
        <f>SUM(DATE(2024,2,26),TIME(18,0,0))</f>
        <v>45348.75</v>
      </c>
      <c r="B389">
        <v>23.64</v>
      </c>
      <c r="C389">
        <v>6510</v>
      </c>
      <c r="D389" s="4">
        <v>7.6258064516129034</v>
      </c>
    </row>
    <row r="390" spans="1:4" x14ac:dyDescent="0.25">
      <c r="A390" s="3">
        <f>SUM(DATE(2024,2,26),TIME(19,0,0))</f>
        <v>45348.791666666664</v>
      </c>
      <c r="B390">
        <v>23.35</v>
      </c>
      <c r="C390">
        <v>3510</v>
      </c>
      <c r="D390" s="4">
        <v>7.532258064516129</v>
      </c>
    </row>
    <row r="391" spans="1:4" x14ac:dyDescent="0.25">
      <c r="A391" s="3">
        <f>SUM(DATE(2024,2,26),TIME(20,0,0))</f>
        <v>45348.833333333336</v>
      </c>
      <c r="B391">
        <v>23.524999999999999</v>
      </c>
      <c r="C391">
        <v>2115</v>
      </c>
      <c r="D391" s="4">
        <v>7.5887096774193541</v>
      </c>
    </row>
    <row r="392" spans="1:4" x14ac:dyDescent="0.25">
      <c r="A392" s="3">
        <f>SUM(DATE(2024,2,26),TIME(21,0,0))</f>
        <v>45348.875</v>
      </c>
      <c r="B392">
        <v>23.704999999999998</v>
      </c>
      <c r="C392">
        <v>4345</v>
      </c>
      <c r="D392" s="4">
        <v>7.6467741935483859</v>
      </c>
    </row>
    <row r="393" spans="1:4" x14ac:dyDescent="0.25">
      <c r="A393" s="3">
        <f>SUM(DATE(2024,2,26),TIME(22,0,0))</f>
        <v>45348.916666666664</v>
      </c>
      <c r="B393">
        <v>23.95</v>
      </c>
      <c r="C393">
        <v>3595</v>
      </c>
      <c r="D393" s="4">
        <v>7.725806451612903</v>
      </c>
    </row>
    <row r="394" spans="1:4" x14ac:dyDescent="0.25">
      <c r="A394" s="3">
        <f>SUM(DATE(2024,2,26),TIME(23,0,0))</f>
        <v>45348.958333333336</v>
      </c>
      <c r="B394">
        <v>23.905000000000001</v>
      </c>
      <c r="C394">
        <v>6910</v>
      </c>
      <c r="D394" s="4">
        <v>7.7112903225806457</v>
      </c>
    </row>
    <row r="395" spans="1:4" x14ac:dyDescent="0.25">
      <c r="A395" s="3">
        <f>SUM(DATE(2024,2,27),TIME(0,0,0))</f>
        <v>45349</v>
      </c>
      <c r="B395">
        <v>23.85</v>
      </c>
      <c r="C395">
        <v>10205</v>
      </c>
      <c r="D395" s="4">
        <v>7.693548387096774</v>
      </c>
    </row>
    <row r="396" spans="1:4" x14ac:dyDescent="0.25">
      <c r="A396" s="3">
        <f>SUM(DATE(2024,2,27),TIME(15,0,0))</f>
        <v>45349.625</v>
      </c>
      <c r="B396">
        <v>23.745000000000001</v>
      </c>
      <c r="C396">
        <v>2085</v>
      </c>
      <c r="D396" s="4">
        <v>7.6596774193548391</v>
      </c>
    </row>
    <row r="397" spans="1:4" x14ac:dyDescent="0.25">
      <c r="A397" s="3">
        <f>SUM(DATE(2024,2,27),TIME(16,0,0))</f>
        <v>45349.666666666664</v>
      </c>
      <c r="B397">
        <v>23.454999999999998</v>
      </c>
      <c r="C397">
        <v>5170</v>
      </c>
      <c r="D397" s="4">
        <v>7.5661290322580639</v>
      </c>
    </row>
    <row r="398" spans="1:4" x14ac:dyDescent="0.25">
      <c r="A398" s="3">
        <f>SUM(DATE(2024,2,27),TIME(17,0,0))</f>
        <v>45349.708333333336</v>
      </c>
      <c r="B398">
        <v>23.23</v>
      </c>
      <c r="C398">
        <v>5650</v>
      </c>
      <c r="D398" s="4">
        <v>7.4935483870967738</v>
      </c>
    </row>
    <row r="399" spans="1:4" x14ac:dyDescent="0.25">
      <c r="A399" s="3">
        <f>SUM(DATE(2024,2,27),TIME(18,0,0))</f>
        <v>45349.75</v>
      </c>
      <c r="B399">
        <v>23.395</v>
      </c>
      <c r="C399">
        <v>3005</v>
      </c>
      <c r="D399" s="4">
        <v>7.5467741935483863</v>
      </c>
    </row>
    <row r="400" spans="1:4" x14ac:dyDescent="0.25">
      <c r="A400" s="3">
        <f>SUM(DATE(2024,2,27),TIME(19,0,0))</f>
        <v>45349.791666666664</v>
      </c>
      <c r="B400">
        <v>23.32</v>
      </c>
      <c r="C400">
        <v>2375</v>
      </c>
      <c r="D400" s="4">
        <v>7.5225806451612902</v>
      </c>
    </row>
    <row r="401" spans="1:4" x14ac:dyDescent="0.25">
      <c r="A401" s="3">
        <f>SUM(DATE(2024,2,27),TIME(20,0,0))</f>
        <v>45349.833333333336</v>
      </c>
      <c r="B401">
        <v>23.4</v>
      </c>
      <c r="C401">
        <v>2405</v>
      </c>
      <c r="D401" s="4">
        <v>7.5483870967741931</v>
      </c>
    </row>
    <row r="402" spans="1:4" x14ac:dyDescent="0.25">
      <c r="A402" s="3">
        <f>SUM(DATE(2024,2,27),TIME(21,0,0))</f>
        <v>45349.875</v>
      </c>
      <c r="B402">
        <v>24</v>
      </c>
      <c r="C402">
        <v>6175</v>
      </c>
      <c r="D402" s="4">
        <v>7.7419354838709671</v>
      </c>
    </row>
    <row r="403" spans="1:4" x14ac:dyDescent="0.25">
      <c r="A403" s="3">
        <f>SUM(DATE(2024,2,27),TIME(22,0,0))</f>
        <v>45349.916666666664</v>
      </c>
      <c r="B403">
        <v>24.574999999999999</v>
      </c>
      <c r="C403">
        <v>9305</v>
      </c>
      <c r="D403" s="4">
        <v>7.9274193548387091</v>
      </c>
    </row>
    <row r="404" spans="1:4" x14ac:dyDescent="0.25">
      <c r="A404" s="3">
        <f>SUM(DATE(2024,2,27),TIME(23,0,0))</f>
        <v>45349.958333333336</v>
      </c>
      <c r="B404">
        <v>24.4</v>
      </c>
      <c r="C404">
        <v>5760</v>
      </c>
      <c r="D404" s="4">
        <v>7.8709677419354831</v>
      </c>
    </row>
    <row r="405" spans="1:4" x14ac:dyDescent="0.25">
      <c r="A405" s="3">
        <f>SUM(DATE(2024,2,28),TIME(0,0,0))</f>
        <v>45350</v>
      </c>
      <c r="B405">
        <v>24.55</v>
      </c>
      <c r="C405">
        <v>8290</v>
      </c>
      <c r="D405" s="4">
        <v>7.919354838709677</v>
      </c>
    </row>
    <row r="406" spans="1:4" x14ac:dyDescent="0.25">
      <c r="A406" s="3">
        <f>SUM(DATE(2024,2,28),TIME(15,0,0))</f>
        <v>45350.625</v>
      </c>
      <c r="B406">
        <v>24.8</v>
      </c>
      <c r="C406">
        <v>1055</v>
      </c>
      <c r="D406" s="4">
        <v>8</v>
      </c>
    </row>
    <row r="407" spans="1:4" x14ac:dyDescent="0.25">
      <c r="A407" s="3">
        <f>SUM(DATE(2024,2,28),TIME(16,0,0))</f>
        <v>45350.666666666664</v>
      </c>
      <c r="B407">
        <v>24.645</v>
      </c>
      <c r="C407">
        <v>1955</v>
      </c>
      <c r="D407" s="4">
        <v>7.9499999999999993</v>
      </c>
    </row>
    <row r="408" spans="1:4" x14ac:dyDescent="0.25">
      <c r="A408" s="3">
        <f>SUM(DATE(2024,2,28),TIME(17,0,0))</f>
        <v>45350.708333333336</v>
      </c>
      <c r="B408">
        <v>25.05</v>
      </c>
      <c r="C408">
        <v>1835</v>
      </c>
      <c r="D408" s="4">
        <v>8.0806451612903221</v>
      </c>
    </row>
    <row r="409" spans="1:4" x14ac:dyDescent="0.25">
      <c r="A409" s="3">
        <f>SUM(DATE(2024,2,28),TIME(18,0,0))</f>
        <v>45350.75</v>
      </c>
      <c r="B409">
        <v>25.65</v>
      </c>
      <c r="C409">
        <v>2525</v>
      </c>
      <c r="D409" s="4">
        <v>8.2741935483870961</v>
      </c>
    </row>
    <row r="410" spans="1:4" x14ac:dyDescent="0.25">
      <c r="A410" s="3">
        <f>SUM(DATE(2024,2,28),TIME(19,0,0))</f>
        <v>45350.791666666664</v>
      </c>
      <c r="B410">
        <v>25.46</v>
      </c>
      <c r="C410">
        <v>1145</v>
      </c>
      <c r="D410" s="4">
        <v>8.2129032258064516</v>
      </c>
    </row>
    <row r="411" spans="1:4" x14ac:dyDescent="0.25">
      <c r="A411" s="3">
        <f>SUM(DATE(2024,2,28),TIME(20,0,0))</f>
        <v>45350.833333333336</v>
      </c>
      <c r="B411">
        <v>25.4</v>
      </c>
      <c r="C411">
        <v>700</v>
      </c>
      <c r="D411" s="4">
        <v>8.193548387096774</v>
      </c>
    </row>
    <row r="412" spans="1:4" x14ac:dyDescent="0.25">
      <c r="A412" s="3">
        <f>SUM(DATE(2024,2,28),TIME(21,0,0))</f>
        <v>45350.875</v>
      </c>
      <c r="B412">
        <v>25.75</v>
      </c>
      <c r="C412">
        <v>2680</v>
      </c>
      <c r="D412" s="4">
        <v>8.306451612903226</v>
      </c>
    </row>
    <row r="413" spans="1:4" x14ac:dyDescent="0.25">
      <c r="A413" s="3">
        <f>SUM(DATE(2024,2,28),TIME(22,0,0))</f>
        <v>45350.916666666664</v>
      </c>
      <c r="B413">
        <v>25.965</v>
      </c>
      <c r="C413">
        <v>1100</v>
      </c>
      <c r="D413" s="4">
        <v>8.3758064516129025</v>
      </c>
    </row>
    <row r="414" spans="1:4" x14ac:dyDescent="0.25">
      <c r="A414" s="3">
        <f>SUM(DATE(2024,2,28),TIME(23,0,0))</f>
        <v>45350.958333333336</v>
      </c>
      <c r="B414">
        <v>25.75</v>
      </c>
      <c r="C414">
        <v>1465</v>
      </c>
      <c r="D414" s="4">
        <v>8.306451612903226</v>
      </c>
    </row>
    <row r="415" spans="1:4" x14ac:dyDescent="0.25">
      <c r="A415" s="3">
        <f>SUM(DATE(2024,2,29),TIME(0,0,0))</f>
        <v>45351</v>
      </c>
      <c r="B415">
        <v>25.44</v>
      </c>
      <c r="C415">
        <v>5375</v>
      </c>
      <c r="D415" s="4">
        <v>8.2064516129032263</v>
      </c>
    </row>
    <row r="416" spans="1:4" x14ac:dyDescent="0.25">
      <c r="A416" s="3">
        <f>SUM(DATE(2024,2,29),TIME(15,0,0))</f>
        <v>45351.625</v>
      </c>
      <c r="B416">
        <v>25.2</v>
      </c>
      <c r="C416">
        <v>2965</v>
      </c>
      <c r="D416" s="4">
        <v>8.129032258064516</v>
      </c>
    </row>
    <row r="417" spans="1:4" x14ac:dyDescent="0.25">
      <c r="A417" s="3">
        <f>SUM(DATE(2024,2,29),TIME(16,0,0))</f>
        <v>45351.666666666664</v>
      </c>
      <c r="B417">
        <v>24.96</v>
      </c>
      <c r="C417">
        <v>7565</v>
      </c>
      <c r="D417" s="4">
        <v>8.0516129032258057</v>
      </c>
    </row>
    <row r="418" spans="1:4" x14ac:dyDescent="0.25">
      <c r="A418" s="3">
        <f>SUM(DATE(2024,2,29),TIME(17,0,0))</f>
        <v>45351.708333333336</v>
      </c>
      <c r="B418">
        <v>25.074999999999999</v>
      </c>
      <c r="C418">
        <v>6255</v>
      </c>
      <c r="D418" s="4">
        <v>8.0887096774193541</v>
      </c>
    </row>
    <row r="419" spans="1:4" x14ac:dyDescent="0.25">
      <c r="A419" s="3">
        <f>SUM(DATE(2024,2,29),TIME(18,0,0))</f>
        <v>45351.75</v>
      </c>
      <c r="B419">
        <v>25.11</v>
      </c>
      <c r="C419">
        <v>4890</v>
      </c>
      <c r="D419" s="4">
        <v>8.1</v>
      </c>
    </row>
    <row r="420" spans="1:4" x14ac:dyDescent="0.25">
      <c r="A420" s="3">
        <f>SUM(DATE(2024,2,29),TIME(19,0,0))</f>
        <v>45351.791666666664</v>
      </c>
      <c r="B420">
        <v>24.795000000000002</v>
      </c>
      <c r="C420">
        <v>5675</v>
      </c>
      <c r="D420" s="4">
        <v>7.9983870967741941</v>
      </c>
    </row>
    <row r="421" spans="1:4" x14ac:dyDescent="0.25">
      <c r="A421" s="3">
        <f>SUM(DATE(2024,2,29),TIME(20,0,0))</f>
        <v>45351.833333333336</v>
      </c>
      <c r="B421">
        <v>24.855</v>
      </c>
      <c r="C421">
        <v>4845</v>
      </c>
      <c r="D421" s="4">
        <v>8.0177419354838708</v>
      </c>
    </row>
    <row r="422" spans="1:4" x14ac:dyDescent="0.25">
      <c r="A422" s="3">
        <f>SUM(DATE(2024,2,29),TIME(21,0,0))</f>
        <v>45351.875</v>
      </c>
      <c r="B422">
        <v>25.49</v>
      </c>
      <c r="C422">
        <v>8230</v>
      </c>
      <c r="D422" s="4">
        <v>8.2225806451612904</v>
      </c>
    </row>
    <row r="423" spans="1:4" x14ac:dyDescent="0.25">
      <c r="A423" s="3">
        <f>SUM(DATE(2024,2,29),TIME(22,0,0))</f>
        <v>45351.916666666664</v>
      </c>
      <c r="B423">
        <v>24.975000000000001</v>
      </c>
      <c r="C423">
        <v>6290</v>
      </c>
      <c r="D423" s="4">
        <v>8.056451612903226</v>
      </c>
    </row>
    <row r="424" spans="1:4" x14ac:dyDescent="0.25">
      <c r="A424" s="3">
        <f>SUM(DATE(2024,2,29),TIME(23,0,0))</f>
        <v>45351.958333333336</v>
      </c>
      <c r="B424">
        <v>25.1</v>
      </c>
      <c r="C424">
        <v>6220</v>
      </c>
      <c r="D424" s="4">
        <v>8.0967741935483879</v>
      </c>
    </row>
    <row r="425" spans="1:4" x14ac:dyDescent="0.25">
      <c r="A425" s="3">
        <f>SUM(DATE(2024,3,1),TIME(0,0,0))</f>
        <v>45352</v>
      </c>
      <c r="B425">
        <v>25.3</v>
      </c>
      <c r="C425">
        <v>12105</v>
      </c>
      <c r="D425" s="4">
        <v>8.1612903225806459</v>
      </c>
    </row>
    <row r="426" spans="1:4" x14ac:dyDescent="0.25">
      <c r="A426" s="3">
        <f>SUM(DATE(2024,3,1),TIME(15,0,0))</f>
        <v>45352.625</v>
      </c>
      <c r="B426">
        <v>25.5</v>
      </c>
      <c r="C426">
        <v>2515</v>
      </c>
      <c r="D426" s="4">
        <v>8.2258064516129021</v>
      </c>
    </row>
    <row r="427" spans="1:4" x14ac:dyDescent="0.25">
      <c r="A427" s="3">
        <f>SUM(DATE(2024,3,1),TIME(16,0,0))</f>
        <v>45352.666666666664</v>
      </c>
      <c r="B427">
        <v>25.31</v>
      </c>
      <c r="C427">
        <v>8930</v>
      </c>
      <c r="D427" s="4">
        <v>8.1645161290322577</v>
      </c>
    </row>
    <row r="428" spans="1:4" x14ac:dyDescent="0.25">
      <c r="A428" s="3">
        <f>SUM(DATE(2024,3,1),TIME(17,0,0))</f>
        <v>45352.708333333336</v>
      </c>
      <c r="B428">
        <v>25.41</v>
      </c>
      <c r="C428">
        <v>7450</v>
      </c>
      <c r="D428" s="4">
        <v>8.1967741935483875</v>
      </c>
    </row>
    <row r="429" spans="1:4" x14ac:dyDescent="0.25">
      <c r="A429" s="3">
        <f>SUM(DATE(2024,3,1),TIME(18,0,0))</f>
        <v>45352.75</v>
      </c>
      <c r="B429">
        <v>25.135000000000002</v>
      </c>
      <c r="C429">
        <v>4525</v>
      </c>
      <c r="D429" s="4">
        <v>8.1080645161290317</v>
      </c>
    </row>
    <row r="430" spans="1:4" x14ac:dyDescent="0.25">
      <c r="A430" s="3">
        <f>SUM(DATE(2024,3,1),TIME(19,0,0))</f>
        <v>45352.791666666664</v>
      </c>
      <c r="B430">
        <v>25.364999999999998</v>
      </c>
      <c r="C430">
        <v>3200</v>
      </c>
      <c r="D430" s="4">
        <v>8.1822580645161285</v>
      </c>
    </row>
    <row r="431" spans="1:4" x14ac:dyDescent="0.25">
      <c r="A431" s="3">
        <f>SUM(DATE(2024,3,1),TIME(20,0,0))</f>
        <v>45352.833333333336</v>
      </c>
      <c r="B431">
        <v>25.704999999999998</v>
      </c>
      <c r="C431">
        <v>4775</v>
      </c>
      <c r="D431" s="4">
        <v>8.2919354838709669</v>
      </c>
    </row>
    <row r="432" spans="1:4" x14ac:dyDescent="0.25">
      <c r="A432" s="3">
        <f>SUM(DATE(2024,3,1),TIME(21,0,0))</f>
        <v>45352.875</v>
      </c>
      <c r="B432">
        <v>25.74</v>
      </c>
      <c r="C432">
        <v>3640</v>
      </c>
      <c r="D432" s="4">
        <v>8.3032258064516125</v>
      </c>
    </row>
    <row r="433" spans="1:4" x14ac:dyDescent="0.25">
      <c r="A433" s="3">
        <f>SUM(DATE(2024,3,1),TIME(22,0,0))</f>
        <v>45352.916666666664</v>
      </c>
      <c r="B433">
        <v>25.66</v>
      </c>
      <c r="C433">
        <v>5420</v>
      </c>
      <c r="D433" s="4">
        <v>8.2774193548387096</v>
      </c>
    </row>
    <row r="434" spans="1:4" x14ac:dyDescent="0.25">
      <c r="A434" s="3">
        <f>SUM(DATE(2024,3,1),TIME(23,0,0))</f>
        <v>45352.958333333336</v>
      </c>
      <c r="B434">
        <v>25.625</v>
      </c>
      <c r="C434">
        <v>9275</v>
      </c>
      <c r="D434" s="4">
        <v>8.2661290322580641</v>
      </c>
    </row>
    <row r="435" spans="1:4" x14ac:dyDescent="0.25">
      <c r="A435" s="3">
        <f>SUM(DATE(2024,3,4),TIME(15,0,0))</f>
        <v>45355.625</v>
      </c>
      <c r="B435">
        <v>24.975000000000001</v>
      </c>
      <c r="C435">
        <v>4270</v>
      </c>
      <c r="D435" s="4">
        <v>8.056451612903226</v>
      </c>
    </row>
    <row r="436" spans="1:4" x14ac:dyDescent="0.25">
      <c r="A436" s="3">
        <f>SUM(DATE(2024,3,4),TIME(16,0,0))</f>
        <v>45355.666666666664</v>
      </c>
      <c r="B436">
        <v>24.87</v>
      </c>
      <c r="C436">
        <v>5380</v>
      </c>
      <c r="D436" s="4">
        <v>8.0225806451612911</v>
      </c>
    </row>
    <row r="437" spans="1:4" x14ac:dyDescent="0.25">
      <c r="A437" s="3">
        <f>SUM(DATE(2024,3,4),TIME(17,0,0))</f>
        <v>45355.708333333336</v>
      </c>
      <c r="B437">
        <v>25.24</v>
      </c>
      <c r="C437">
        <v>6160</v>
      </c>
      <c r="D437" s="4">
        <v>8.1419354838709666</v>
      </c>
    </row>
    <row r="438" spans="1:4" x14ac:dyDescent="0.25">
      <c r="A438" s="3">
        <f>SUM(DATE(2024,3,4),TIME(18,0,0))</f>
        <v>45355.75</v>
      </c>
      <c r="B438">
        <v>25.324999999999999</v>
      </c>
      <c r="C438">
        <v>5225</v>
      </c>
      <c r="D438" s="4">
        <v>8.1693548387096762</v>
      </c>
    </row>
    <row r="439" spans="1:4" x14ac:dyDescent="0.25">
      <c r="A439" s="3">
        <f>SUM(DATE(2024,3,4),TIME(19,0,0))</f>
        <v>45355.791666666664</v>
      </c>
      <c r="B439">
        <v>25.565000000000001</v>
      </c>
      <c r="C439">
        <v>4140</v>
      </c>
      <c r="D439" s="4">
        <v>8.2467741935483865</v>
      </c>
    </row>
    <row r="440" spans="1:4" x14ac:dyDescent="0.25">
      <c r="A440" s="3">
        <f>SUM(DATE(2024,3,4),TIME(20,0,0))</f>
        <v>45355.833333333336</v>
      </c>
      <c r="B440">
        <v>25.8</v>
      </c>
      <c r="C440">
        <v>3020</v>
      </c>
      <c r="D440" s="4">
        <v>8.32258064516129</v>
      </c>
    </row>
    <row r="441" spans="1:4" x14ac:dyDescent="0.25">
      <c r="A441" s="3">
        <f>SUM(DATE(2024,3,4),TIME(21,0,0))</f>
        <v>45355.875</v>
      </c>
      <c r="B441">
        <v>26.445</v>
      </c>
      <c r="C441">
        <v>9190</v>
      </c>
      <c r="D441" s="4">
        <v>8.5306451612903231</v>
      </c>
    </row>
    <row r="442" spans="1:4" x14ac:dyDescent="0.25">
      <c r="A442" s="3">
        <f>SUM(DATE(2024,3,4),TIME(22,0,0))</f>
        <v>45355.916666666664</v>
      </c>
      <c r="B442">
        <v>26.645</v>
      </c>
      <c r="C442">
        <v>11220</v>
      </c>
      <c r="D442" s="4">
        <v>8.5951612903225811</v>
      </c>
    </row>
    <row r="443" spans="1:4" x14ac:dyDescent="0.25">
      <c r="A443" s="3">
        <f>SUM(DATE(2024,3,4),TIME(23,0,0))</f>
        <v>45355.958333333336</v>
      </c>
      <c r="B443">
        <v>26.795000000000002</v>
      </c>
      <c r="C443">
        <v>13090</v>
      </c>
      <c r="D443" s="4">
        <v>8.6435483870967751</v>
      </c>
    </row>
    <row r="444" spans="1:4" x14ac:dyDescent="0.25">
      <c r="A444" s="3">
        <f>SUM(DATE(2024,3,5),TIME(0,0,0))</f>
        <v>45356</v>
      </c>
      <c r="B444">
        <v>26.695</v>
      </c>
      <c r="C444">
        <v>12085</v>
      </c>
      <c r="D444" s="4">
        <v>8.6112903225806452</v>
      </c>
    </row>
    <row r="445" spans="1:4" x14ac:dyDescent="0.25">
      <c r="A445" s="3">
        <f>SUM(DATE(2024,3,5),TIME(15,0,0))</f>
        <v>45356.625</v>
      </c>
      <c r="B445">
        <v>27.7</v>
      </c>
      <c r="C445">
        <v>5125</v>
      </c>
      <c r="D445" s="4">
        <v>8.935483870967742</v>
      </c>
    </row>
    <row r="446" spans="1:4" x14ac:dyDescent="0.25">
      <c r="A446" s="3">
        <f>SUM(DATE(2024,3,5),TIME(16,0,0))</f>
        <v>45356.666666666664</v>
      </c>
      <c r="B446">
        <v>27.9</v>
      </c>
      <c r="C446">
        <v>9650</v>
      </c>
      <c r="D446" s="4">
        <v>9</v>
      </c>
    </row>
    <row r="447" spans="1:4" x14ac:dyDescent="0.25">
      <c r="A447" s="3">
        <f>SUM(DATE(2024,3,5),TIME(17,0,0))</f>
        <v>45356.708333333336</v>
      </c>
      <c r="B447">
        <v>28.364999999999998</v>
      </c>
      <c r="C447">
        <v>9415</v>
      </c>
      <c r="D447" s="4">
        <v>9.1499999999999986</v>
      </c>
    </row>
    <row r="448" spans="1:4" x14ac:dyDescent="0.25">
      <c r="A448" s="3">
        <f>SUM(DATE(2024,3,5),TIME(18,0,0))</f>
        <v>45356.75</v>
      </c>
      <c r="B448">
        <v>27.9</v>
      </c>
      <c r="C448">
        <v>12005</v>
      </c>
      <c r="D448" s="4">
        <v>9</v>
      </c>
    </row>
    <row r="449" spans="1:4" x14ac:dyDescent="0.25">
      <c r="A449" s="3">
        <f>SUM(DATE(2024,3,5),TIME(19,0,0))</f>
        <v>45356.791666666664</v>
      </c>
      <c r="B449">
        <v>27.85</v>
      </c>
      <c r="C449">
        <v>4900</v>
      </c>
      <c r="D449" s="4">
        <v>8.9838709677419359</v>
      </c>
    </row>
    <row r="450" spans="1:4" x14ac:dyDescent="0.25">
      <c r="A450" s="3">
        <f>SUM(DATE(2024,3,5),TIME(20,0,0))</f>
        <v>45356.833333333336</v>
      </c>
      <c r="B450">
        <v>27.6</v>
      </c>
      <c r="C450">
        <v>4545</v>
      </c>
      <c r="D450" s="4">
        <v>8.9032258064516139</v>
      </c>
    </row>
    <row r="451" spans="1:4" x14ac:dyDescent="0.25">
      <c r="A451" s="3">
        <f>SUM(DATE(2024,3,5),TIME(21,0,0))</f>
        <v>45356.875</v>
      </c>
      <c r="B451">
        <v>27.83</v>
      </c>
      <c r="C451">
        <v>5830</v>
      </c>
      <c r="D451" s="4">
        <v>8.9774193548387089</v>
      </c>
    </row>
    <row r="452" spans="1:4" x14ac:dyDescent="0.25">
      <c r="A452" s="3">
        <f>SUM(DATE(2024,3,5),TIME(22,0,0))</f>
        <v>45356.916666666664</v>
      </c>
      <c r="B452">
        <v>27.6</v>
      </c>
      <c r="C452">
        <v>9565</v>
      </c>
      <c r="D452" s="4">
        <v>8.9032258064516139</v>
      </c>
    </row>
    <row r="453" spans="1:4" x14ac:dyDescent="0.25">
      <c r="A453" s="3">
        <f>SUM(DATE(2024,3,5),TIME(23,0,0))</f>
        <v>45356.958333333336</v>
      </c>
      <c r="B453">
        <v>27.63</v>
      </c>
      <c r="C453">
        <v>6790</v>
      </c>
      <c r="D453" s="4">
        <v>8.9129032258064509</v>
      </c>
    </row>
    <row r="454" spans="1:4" x14ac:dyDescent="0.25">
      <c r="A454" s="3">
        <f>SUM(DATE(2024,3,6),TIME(0,0,0))</f>
        <v>45357</v>
      </c>
      <c r="B454">
        <v>27.295000000000002</v>
      </c>
      <c r="C454">
        <v>13885</v>
      </c>
      <c r="D454" s="4">
        <v>8.8048387096774192</v>
      </c>
    </row>
    <row r="455" spans="1:4" x14ac:dyDescent="0.25">
      <c r="A455" s="3">
        <f>SUM(DATE(2024,3,6),TIME(15,0,0))</f>
        <v>45357.625</v>
      </c>
      <c r="B455">
        <v>26.93</v>
      </c>
      <c r="C455">
        <v>6660</v>
      </c>
      <c r="D455" s="4">
        <v>8.6870967741935488</v>
      </c>
    </row>
    <row r="456" spans="1:4" x14ac:dyDescent="0.25">
      <c r="A456" s="3">
        <f>SUM(DATE(2024,3,6),TIME(16,0,0))</f>
        <v>45357.666666666664</v>
      </c>
      <c r="B456">
        <v>27.7</v>
      </c>
      <c r="C456">
        <v>6355</v>
      </c>
      <c r="D456" s="4">
        <v>8.935483870967742</v>
      </c>
    </row>
    <row r="457" spans="1:4" x14ac:dyDescent="0.25">
      <c r="A457" s="3">
        <f>SUM(DATE(2024,3,6),TIME(17,0,0))</f>
        <v>45357.708333333336</v>
      </c>
      <c r="B457">
        <v>28.21</v>
      </c>
      <c r="C457">
        <v>11580</v>
      </c>
      <c r="D457" s="4">
        <v>9.1</v>
      </c>
    </row>
    <row r="458" spans="1:4" x14ac:dyDescent="0.25">
      <c r="A458" s="3">
        <f>SUM(DATE(2024,3,6),TIME(18,0,0))</f>
        <v>45357.75</v>
      </c>
      <c r="B458">
        <v>27.995000000000001</v>
      </c>
      <c r="C458">
        <v>8335</v>
      </c>
      <c r="D458" s="4">
        <v>9.0306451612903231</v>
      </c>
    </row>
    <row r="459" spans="1:4" x14ac:dyDescent="0.25">
      <c r="A459" s="3">
        <f>SUM(DATE(2024,3,6),TIME(19,0,0))</f>
        <v>45357.791666666664</v>
      </c>
      <c r="B459">
        <v>28.234999999999999</v>
      </c>
      <c r="C459">
        <v>3325</v>
      </c>
      <c r="D459" s="4">
        <v>9.1080645161290317</v>
      </c>
    </row>
    <row r="460" spans="1:4" x14ac:dyDescent="0.25">
      <c r="A460" s="3">
        <f>SUM(DATE(2024,3,6),TIME(20,0,0))</f>
        <v>45357.833333333336</v>
      </c>
      <c r="B460">
        <v>27.725000000000001</v>
      </c>
      <c r="C460">
        <v>3895</v>
      </c>
      <c r="D460" s="4">
        <v>8.943548387096774</v>
      </c>
    </row>
    <row r="461" spans="1:4" x14ac:dyDescent="0.25">
      <c r="A461" s="3">
        <f>SUM(DATE(2024,3,6),TIME(21,0,0))</f>
        <v>45357.875</v>
      </c>
      <c r="B461">
        <v>27.64</v>
      </c>
      <c r="C461">
        <v>5225</v>
      </c>
      <c r="D461" s="4">
        <v>8.9161290322580644</v>
      </c>
    </row>
    <row r="462" spans="1:4" x14ac:dyDescent="0.25">
      <c r="A462" s="3">
        <f>SUM(DATE(2024,3,6),TIME(22,0,0))</f>
        <v>45357.916666666664</v>
      </c>
      <c r="B462">
        <v>26.975000000000001</v>
      </c>
      <c r="C462">
        <v>9015</v>
      </c>
      <c r="D462" s="4">
        <v>8.7016129032258061</v>
      </c>
    </row>
    <row r="463" spans="1:4" x14ac:dyDescent="0.25">
      <c r="A463" s="3">
        <f>SUM(DATE(2024,3,6),TIME(23,0,0))</f>
        <v>45357.958333333336</v>
      </c>
      <c r="B463">
        <v>26.795000000000002</v>
      </c>
      <c r="C463">
        <v>8805</v>
      </c>
      <c r="D463" s="4">
        <v>8.6435483870967751</v>
      </c>
    </row>
    <row r="464" spans="1:4" x14ac:dyDescent="0.25">
      <c r="A464" s="3">
        <f>SUM(DATE(2024,3,7),TIME(0,0,0))</f>
        <v>45358</v>
      </c>
      <c r="B464">
        <v>26.254999999999999</v>
      </c>
      <c r="C464">
        <v>17640</v>
      </c>
      <c r="D464" s="4">
        <v>8.4693548387096769</v>
      </c>
    </row>
    <row r="465" spans="1:4" x14ac:dyDescent="0.25">
      <c r="A465" s="3">
        <f>SUM(DATE(2024,3,7),TIME(15,0,0))</f>
        <v>45358.625</v>
      </c>
      <c r="B465">
        <v>25.98</v>
      </c>
      <c r="C465">
        <v>4515</v>
      </c>
      <c r="D465" s="4">
        <v>8.3806451612903228</v>
      </c>
    </row>
    <row r="466" spans="1:4" x14ac:dyDescent="0.25">
      <c r="A466" s="3">
        <f>SUM(DATE(2024,3,7),TIME(16,0,0))</f>
        <v>45358.666666666664</v>
      </c>
      <c r="B466">
        <v>26.36</v>
      </c>
      <c r="C466">
        <v>10530</v>
      </c>
      <c r="D466" s="4">
        <v>8.5032258064516117</v>
      </c>
    </row>
    <row r="467" spans="1:4" x14ac:dyDescent="0.25">
      <c r="A467" s="3">
        <f>SUM(DATE(2024,3,7),TIME(17,0,0))</f>
        <v>45358.708333333336</v>
      </c>
      <c r="B467">
        <v>26.6</v>
      </c>
      <c r="C467">
        <v>7105</v>
      </c>
      <c r="D467" s="4">
        <v>8.5806451612903221</v>
      </c>
    </row>
    <row r="468" spans="1:4" x14ac:dyDescent="0.25">
      <c r="A468" s="3">
        <f>SUM(DATE(2024,3,7),TIME(18,0,0))</f>
        <v>45358.75</v>
      </c>
      <c r="B468">
        <v>26.42</v>
      </c>
      <c r="C468">
        <v>6165</v>
      </c>
      <c r="D468" s="4">
        <v>8.5225806451612911</v>
      </c>
    </row>
    <row r="469" spans="1:4" x14ac:dyDescent="0.25">
      <c r="A469" s="3">
        <f>SUM(DATE(2024,3,7),TIME(19,0,0))</f>
        <v>45358.791666666664</v>
      </c>
      <c r="B469">
        <v>26.695</v>
      </c>
      <c r="C469">
        <v>4840</v>
      </c>
      <c r="D469" s="4">
        <v>8.6112903225806452</v>
      </c>
    </row>
    <row r="470" spans="1:4" x14ac:dyDescent="0.25">
      <c r="A470" s="3">
        <f>SUM(DATE(2024,3,7),TIME(20,0,0))</f>
        <v>45358.833333333336</v>
      </c>
      <c r="B470">
        <v>26.864999999999998</v>
      </c>
      <c r="C470">
        <v>4305</v>
      </c>
      <c r="D470" s="4">
        <v>8.6661290322580644</v>
      </c>
    </row>
    <row r="471" spans="1:4" x14ac:dyDescent="0.25">
      <c r="A471" s="3">
        <f>SUM(DATE(2024,3,7),TIME(21,0,0))</f>
        <v>45358.875</v>
      </c>
      <c r="B471">
        <v>26.55</v>
      </c>
      <c r="C471">
        <v>3995</v>
      </c>
      <c r="D471" s="4">
        <v>8.564516129032258</v>
      </c>
    </row>
    <row r="472" spans="1:4" x14ac:dyDescent="0.25">
      <c r="A472" s="3">
        <f>SUM(DATE(2024,3,7),TIME(22,0,0))</f>
        <v>45358.916666666664</v>
      </c>
      <c r="B472">
        <v>26.47</v>
      </c>
      <c r="C472">
        <v>5100</v>
      </c>
      <c r="D472" s="4">
        <v>8.5387096774193534</v>
      </c>
    </row>
    <row r="473" spans="1:4" x14ac:dyDescent="0.25">
      <c r="A473" s="3">
        <f>SUM(DATE(2024,3,7),TIME(23,0,0))</f>
        <v>45358.958333333336</v>
      </c>
      <c r="B473">
        <v>25.965</v>
      </c>
      <c r="C473">
        <v>8095</v>
      </c>
      <c r="D473" s="4">
        <v>8.3758064516129025</v>
      </c>
    </row>
    <row r="474" spans="1:4" x14ac:dyDescent="0.25">
      <c r="A474" s="3">
        <f>SUM(DATE(2024,3,8),TIME(0,0,0))</f>
        <v>45359</v>
      </c>
      <c r="B474">
        <v>26.08</v>
      </c>
      <c r="C474">
        <v>11025</v>
      </c>
      <c r="D474" s="4">
        <v>8.4129032258064509</v>
      </c>
    </row>
    <row r="475" spans="1:4" x14ac:dyDescent="0.25">
      <c r="A475" s="3">
        <f>SUM(DATE(2024,3,8),TIME(15,0,0))</f>
        <v>45359.625</v>
      </c>
      <c r="B475">
        <v>25.97</v>
      </c>
      <c r="C475">
        <v>5050</v>
      </c>
      <c r="D475" s="4">
        <v>8.3774193548387093</v>
      </c>
    </row>
    <row r="476" spans="1:4" x14ac:dyDescent="0.25">
      <c r="A476" s="3">
        <f>SUM(DATE(2024,3,8),TIME(16,0,0))</f>
        <v>45359.666666666664</v>
      </c>
      <c r="B476">
        <v>26.61</v>
      </c>
      <c r="C476">
        <v>8650</v>
      </c>
      <c r="D476" s="4">
        <v>8.5838709677419356</v>
      </c>
    </row>
    <row r="477" spans="1:4" x14ac:dyDescent="0.25">
      <c r="A477" s="3">
        <f>SUM(DATE(2024,3,8),TIME(17,0,0))</f>
        <v>45359.708333333336</v>
      </c>
      <c r="B477">
        <v>26.34</v>
      </c>
      <c r="C477">
        <v>6025</v>
      </c>
      <c r="D477" s="4">
        <v>8.4967741935483865</v>
      </c>
    </row>
    <row r="478" spans="1:4" x14ac:dyDescent="0.25">
      <c r="A478" s="3">
        <f>SUM(DATE(2024,3,8),TIME(18,0,0))</f>
        <v>45359.75</v>
      </c>
      <c r="B478">
        <v>26.65</v>
      </c>
      <c r="C478">
        <v>5200</v>
      </c>
      <c r="D478" s="4">
        <v>8.5967741935483861</v>
      </c>
    </row>
    <row r="479" spans="1:4" x14ac:dyDescent="0.25">
      <c r="A479" s="3">
        <f>SUM(DATE(2024,3,8),TIME(19,0,0))</f>
        <v>45359.791666666664</v>
      </c>
      <c r="B479">
        <v>26.405000000000001</v>
      </c>
      <c r="C479">
        <v>4085</v>
      </c>
      <c r="D479" s="4">
        <v>8.5177419354838708</v>
      </c>
    </row>
    <row r="480" spans="1:4" x14ac:dyDescent="0.25">
      <c r="A480" s="3">
        <f>SUM(DATE(2024,3,8),TIME(20,0,0))</f>
        <v>45359.833333333336</v>
      </c>
      <c r="B480">
        <v>26.234999999999999</v>
      </c>
      <c r="C480">
        <v>2875</v>
      </c>
      <c r="D480" s="4">
        <v>8.4629032258064516</v>
      </c>
    </row>
    <row r="481" spans="1:4" x14ac:dyDescent="0.25">
      <c r="A481" s="3">
        <f>SUM(DATE(2024,3,8),TIME(21,0,0))</f>
        <v>45359.875</v>
      </c>
      <c r="B481">
        <v>26.09</v>
      </c>
      <c r="C481">
        <v>6120</v>
      </c>
      <c r="D481" s="4">
        <v>8.4161290322580644</v>
      </c>
    </row>
    <row r="482" spans="1:4" x14ac:dyDescent="0.25">
      <c r="A482" s="3">
        <f>SUM(DATE(2024,3,8),TIME(22,0,0))</f>
        <v>45359.916666666664</v>
      </c>
      <c r="B482">
        <v>26.25</v>
      </c>
      <c r="C482">
        <v>7025</v>
      </c>
      <c r="D482" s="4">
        <v>8.4677419354838701</v>
      </c>
    </row>
    <row r="483" spans="1:4" x14ac:dyDescent="0.25">
      <c r="A483" s="3">
        <f>SUM(DATE(2024,3,8),TIME(23,0,0))</f>
        <v>45359.958333333336</v>
      </c>
      <c r="B483">
        <v>26.17</v>
      </c>
      <c r="C483">
        <v>6600</v>
      </c>
      <c r="D483" s="4">
        <v>8.4419354838709673</v>
      </c>
    </row>
    <row r="484" spans="1:4" x14ac:dyDescent="0.25">
      <c r="A484" s="3">
        <f>SUM(DATE(2024,3,11),TIME(15,0,0))</f>
        <v>45362.625</v>
      </c>
      <c r="B484">
        <v>26.46</v>
      </c>
      <c r="C484">
        <v>6455</v>
      </c>
      <c r="D484" s="4">
        <v>8.5354838709677416</v>
      </c>
    </row>
    <row r="485" spans="1:4" x14ac:dyDescent="0.25">
      <c r="A485" s="3">
        <f>SUM(DATE(2024,3,11),TIME(16,0,0))</f>
        <v>45362.666666666664</v>
      </c>
      <c r="B485">
        <v>25.74</v>
      </c>
      <c r="C485">
        <v>9350</v>
      </c>
      <c r="D485" s="4">
        <v>8.3032258064516125</v>
      </c>
    </row>
    <row r="486" spans="1:4" x14ac:dyDescent="0.25">
      <c r="A486" s="3">
        <f>SUM(DATE(2024,3,11),TIME(17,0,0))</f>
        <v>45362.708333333336</v>
      </c>
      <c r="B486">
        <v>25.37</v>
      </c>
      <c r="C486">
        <v>8985</v>
      </c>
      <c r="D486" s="4">
        <v>8.1838709677419352</v>
      </c>
    </row>
    <row r="487" spans="1:4" x14ac:dyDescent="0.25">
      <c r="A487" s="3">
        <f>SUM(DATE(2024,3,11),TIME(18,0,0))</f>
        <v>45362.75</v>
      </c>
      <c r="B487">
        <v>25.495000000000001</v>
      </c>
      <c r="C487">
        <v>4615</v>
      </c>
      <c r="D487" s="4">
        <v>8.2241935483870972</v>
      </c>
    </row>
    <row r="488" spans="1:4" x14ac:dyDescent="0.25">
      <c r="A488" s="3">
        <f>SUM(DATE(2024,3,11),TIME(19,0,0))</f>
        <v>45362.791666666664</v>
      </c>
      <c r="B488">
        <v>25.33</v>
      </c>
      <c r="C488">
        <v>4495</v>
      </c>
      <c r="D488" s="4">
        <v>8.1709677419354829</v>
      </c>
    </row>
    <row r="489" spans="1:4" x14ac:dyDescent="0.25">
      <c r="A489" s="3">
        <f>SUM(DATE(2024,3,11),TIME(20,0,0))</f>
        <v>45362.833333333336</v>
      </c>
      <c r="B489">
        <v>24.995000000000001</v>
      </c>
      <c r="C489">
        <v>6515</v>
      </c>
      <c r="D489" s="4">
        <v>8.0629032258064512</v>
      </c>
    </row>
    <row r="490" spans="1:4" x14ac:dyDescent="0.25">
      <c r="A490" s="3">
        <f>SUM(DATE(2024,3,11),TIME(21,0,0))</f>
        <v>45362.875</v>
      </c>
      <c r="B490">
        <v>25.05</v>
      </c>
      <c r="C490">
        <v>6625</v>
      </c>
      <c r="D490" s="4">
        <v>8.0806451612903221</v>
      </c>
    </row>
    <row r="491" spans="1:4" x14ac:dyDescent="0.25">
      <c r="A491" s="3">
        <f>SUM(DATE(2024,3,11),TIME(22,0,0))</f>
        <v>45362.916666666664</v>
      </c>
      <c r="B491">
        <v>25.015000000000001</v>
      </c>
      <c r="C491">
        <v>6060</v>
      </c>
      <c r="D491" s="4">
        <v>8.0693548387096765</v>
      </c>
    </row>
    <row r="492" spans="1:4" x14ac:dyDescent="0.25">
      <c r="A492" s="3">
        <f>SUM(DATE(2024,3,11),TIME(23,0,0))</f>
        <v>45362.958333333336</v>
      </c>
      <c r="B492">
        <v>24.95</v>
      </c>
      <c r="C492">
        <v>6885</v>
      </c>
      <c r="D492" s="4">
        <v>8.0483870967741939</v>
      </c>
    </row>
    <row r="493" spans="1:4" x14ac:dyDescent="0.25">
      <c r="A493" s="3">
        <f>SUM(DATE(2024,3,12),TIME(0,0,0))</f>
        <v>45363</v>
      </c>
      <c r="B493">
        <v>24.754999999999999</v>
      </c>
      <c r="C493">
        <v>15135</v>
      </c>
      <c r="D493" s="4">
        <v>7.9854838709677418</v>
      </c>
    </row>
    <row r="494" spans="1:4" x14ac:dyDescent="0.25">
      <c r="A494" s="3">
        <f>SUM(DATE(2024,3,12),TIME(15,0,0))</f>
        <v>45363.625</v>
      </c>
      <c r="B494">
        <v>24.605</v>
      </c>
      <c r="C494">
        <v>5850</v>
      </c>
      <c r="D494" s="4">
        <v>7.9370967741935479</v>
      </c>
    </row>
    <row r="495" spans="1:4" x14ac:dyDescent="0.25">
      <c r="A495" s="3">
        <f>SUM(DATE(2024,3,12),TIME(16,0,0))</f>
        <v>45363.666666666664</v>
      </c>
      <c r="B495">
        <v>24.355</v>
      </c>
      <c r="C495">
        <v>7120</v>
      </c>
      <c r="D495" s="4">
        <v>7.8564516129032258</v>
      </c>
    </row>
    <row r="496" spans="1:4" x14ac:dyDescent="0.25">
      <c r="A496" s="3">
        <f>SUM(DATE(2024,3,12),TIME(17,0,0))</f>
        <v>45363.708333333336</v>
      </c>
      <c r="B496">
        <v>24.8</v>
      </c>
      <c r="C496">
        <v>7045</v>
      </c>
      <c r="D496" s="4">
        <v>8</v>
      </c>
    </row>
    <row r="497" spans="1:4" x14ac:dyDescent="0.25">
      <c r="A497" s="3">
        <f>SUM(DATE(2024,3,12),TIME(18,0,0))</f>
        <v>45363.75</v>
      </c>
      <c r="B497">
        <v>24.65</v>
      </c>
      <c r="C497">
        <v>5795</v>
      </c>
      <c r="D497" s="4">
        <v>7.9516129032258061</v>
      </c>
    </row>
    <row r="498" spans="1:4" x14ac:dyDescent="0.25">
      <c r="A498" s="3">
        <f>SUM(DATE(2024,3,12),TIME(19,0,0))</f>
        <v>45363.791666666664</v>
      </c>
      <c r="B498">
        <v>24.55</v>
      </c>
      <c r="C498">
        <v>3830</v>
      </c>
      <c r="D498" s="4">
        <v>7.919354838709677</v>
      </c>
    </row>
    <row r="499" spans="1:4" x14ac:dyDescent="0.25">
      <c r="A499" s="3">
        <f>SUM(DATE(2024,3,12),TIME(20,0,0))</f>
        <v>45363.833333333336</v>
      </c>
      <c r="B499">
        <v>24.67</v>
      </c>
      <c r="C499">
        <v>2930</v>
      </c>
      <c r="D499" s="4">
        <v>7.9580645161290322</v>
      </c>
    </row>
    <row r="500" spans="1:4" x14ac:dyDescent="0.25">
      <c r="A500" s="3">
        <f>SUM(DATE(2024,3,12),TIME(21,0,0))</f>
        <v>45363.875</v>
      </c>
      <c r="B500">
        <v>24.55</v>
      </c>
      <c r="C500">
        <v>4670</v>
      </c>
      <c r="D500" s="4">
        <v>7.919354838709677</v>
      </c>
    </row>
    <row r="501" spans="1:4" x14ac:dyDescent="0.25">
      <c r="A501" s="3">
        <f>SUM(DATE(2024,3,12),TIME(22,0,0))</f>
        <v>45363.916666666664</v>
      </c>
      <c r="B501">
        <v>24.7</v>
      </c>
      <c r="C501">
        <v>5120</v>
      </c>
      <c r="D501" s="4">
        <v>7.9677419354838701</v>
      </c>
    </row>
    <row r="502" spans="1:4" x14ac:dyDescent="0.25">
      <c r="A502" s="3">
        <f>SUM(DATE(2024,3,12),TIME(23,0,0))</f>
        <v>45363.958333333336</v>
      </c>
      <c r="B502">
        <v>24.77</v>
      </c>
      <c r="C502">
        <v>6785</v>
      </c>
      <c r="D502" s="4">
        <v>7.9903225806451612</v>
      </c>
    </row>
    <row r="503" spans="1:4" x14ac:dyDescent="0.25">
      <c r="A503" s="3">
        <f>SUM(DATE(2024,3,13),TIME(0,0,0))</f>
        <v>45364</v>
      </c>
      <c r="B503">
        <v>24.9</v>
      </c>
      <c r="C503">
        <v>11665</v>
      </c>
      <c r="D503" s="4">
        <v>8.0322580645161281</v>
      </c>
    </row>
    <row r="504" spans="1:4" x14ac:dyDescent="0.25">
      <c r="A504" s="3">
        <f>SUM(DATE(2024,3,13),TIME(15,0,0))</f>
        <v>45364.625</v>
      </c>
      <c r="B504">
        <v>25.274999999999999</v>
      </c>
      <c r="C504">
        <v>3520</v>
      </c>
      <c r="D504" s="4">
        <v>8.1532258064516121</v>
      </c>
    </row>
    <row r="505" spans="1:4" x14ac:dyDescent="0.25">
      <c r="A505" s="3">
        <f>SUM(DATE(2024,3,13),TIME(16,0,0))</f>
        <v>45364.666666666664</v>
      </c>
      <c r="B505">
        <v>25.234999999999999</v>
      </c>
      <c r="C505">
        <v>6010</v>
      </c>
      <c r="D505" s="4">
        <v>8.1403225806451616</v>
      </c>
    </row>
    <row r="506" spans="1:4" x14ac:dyDescent="0.25">
      <c r="A506" s="3">
        <f>SUM(DATE(2024,3,13),TIME(17,0,0))</f>
        <v>45364.708333333336</v>
      </c>
      <c r="B506">
        <v>24.815000000000001</v>
      </c>
      <c r="C506">
        <v>5555</v>
      </c>
      <c r="D506" s="4">
        <v>8.0048387096774203</v>
      </c>
    </row>
    <row r="507" spans="1:4" x14ac:dyDescent="0.25">
      <c r="A507" s="3">
        <f>SUM(DATE(2024,3,13),TIME(18,0,0))</f>
        <v>45364.75</v>
      </c>
      <c r="B507">
        <v>24.675000000000001</v>
      </c>
      <c r="C507">
        <v>5550</v>
      </c>
      <c r="D507" s="4">
        <v>7.959677419354839</v>
      </c>
    </row>
    <row r="508" spans="1:4" x14ac:dyDescent="0.25">
      <c r="A508" s="3">
        <f>SUM(DATE(2024,3,13),TIME(19,0,0))</f>
        <v>45364.791666666664</v>
      </c>
      <c r="B508">
        <v>24.88</v>
      </c>
      <c r="C508">
        <v>3035</v>
      </c>
      <c r="D508" s="4">
        <v>8.0258064516129028</v>
      </c>
    </row>
    <row r="509" spans="1:4" x14ac:dyDescent="0.25">
      <c r="A509" s="3">
        <f>SUM(DATE(2024,3,13),TIME(20,0,0))</f>
        <v>45364.833333333336</v>
      </c>
      <c r="B509">
        <v>24.73</v>
      </c>
      <c r="C509">
        <v>4310</v>
      </c>
      <c r="D509" s="4">
        <v>7.9774193548387098</v>
      </c>
    </row>
    <row r="510" spans="1:4" x14ac:dyDescent="0.25">
      <c r="A510" s="3">
        <f>SUM(DATE(2024,3,13),TIME(21,0,0))</f>
        <v>45364.875</v>
      </c>
      <c r="B510">
        <v>24.7</v>
      </c>
      <c r="C510">
        <v>3810</v>
      </c>
      <c r="D510" s="4">
        <v>7.9677419354838701</v>
      </c>
    </row>
    <row r="511" spans="1:4" x14ac:dyDescent="0.25">
      <c r="A511" s="3">
        <f>SUM(DATE(2024,3,13),TIME(22,0,0))</f>
        <v>45364.916666666664</v>
      </c>
      <c r="B511">
        <v>24.95</v>
      </c>
      <c r="C511">
        <v>4475</v>
      </c>
      <c r="D511" s="4">
        <v>8.0483870967741939</v>
      </c>
    </row>
    <row r="512" spans="1:4" x14ac:dyDescent="0.25">
      <c r="A512" s="3">
        <f>SUM(DATE(2024,3,13),TIME(23,0,0))</f>
        <v>45364.958333333336</v>
      </c>
      <c r="B512">
        <v>24.86</v>
      </c>
      <c r="C512">
        <v>4140</v>
      </c>
      <c r="D512" s="4">
        <v>8.0193548387096776</v>
      </c>
    </row>
    <row r="513" spans="1:4" x14ac:dyDescent="0.25">
      <c r="A513" s="3">
        <f>SUM(DATE(2024,3,14),TIME(0,0,0))</f>
        <v>45365</v>
      </c>
      <c r="B513">
        <v>24.63</v>
      </c>
      <c r="C513">
        <v>8935</v>
      </c>
      <c r="D513" s="4">
        <v>7.9451612903225799</v>
      </c>
    </row>
    <row r="514" spans="1:4" x14ac:dyDescent="0.25">
      <c r="A514" s="3">
        <f>SUM(DATE(2024,3,14),TIME(15,0,0))</f>
        <v>45365.625</v>
      </c>
      <c r="B514">
        <v>24.785</v>
      </c>
      <c r="C514">
        <v>1830</v>
      </c>
      <c r="D514" s="4">
        <v>7.9951612903225806</v>
      </c>
    </row>
    <row r="515" spans="1:4" x14ac:dyDescent="0.25">
      <c r="A515" s="3">
        <f>SUM(DATE(2024,3,14),TIME(16,0,0))</f>
        <v>45365.666666666664</v>
      </c>
      <c r="B515">
        <v>24.85</v>
      </c>
      <c r="C515">
        <v>5630</v>
      </c>
      <c r="D515" s="4">
        <v>8.0161290322580641</v>
      </c>
    </row>
    <row r="516" spans="1:4" x14ac:dyDescent="0.25">
      <c r="A516" s="3">
        <f>SUM(DATE(2024,3,14),TIME(17,0,0))</f>
        <v>45365.708333333336</v>
      </c>
      <c r="B516">
        <v>24.725000000000001</v>
      </c>
      <c r="C516">
        <v>3200</v>
      </c>
      <c r="D516" s="4">
        <v>7.975806451612903</v>
      </c>
    </row>
    <row r="517" spans="1:4" x14ac:dyDescent="0.25">
      <c r="A517" s="3">
        <f>SUM(DATE(2024,3,14),TIME(18,0,0))</f>
        <v>45365.75</v>
      </c>
      <c r="B517">
        <v>24.9</v>
      </c>
      <c r="C517">
        <v>3030</v>
      </c>
      <c r="D517" s="4">
        <v>8.0322580645161281</v>
      </c>
    </row>
    <row r="518" spans="1:4" x14ac:dyDescent="0.25">
      <c r="A518" s="3">
        <f>SUM(DATE(2024,3,14),TIME(19,0,0))</f>
        <v>45365.791666666664</v>
      </c>
      <c r="B518">
        <v>25</v>
      </c>
      <c r="C518">
        <v>3875</v>
      </c>
      <c r="D518" s="4">
        <v>8.064516129032258</v>
      </c>
    </row>
    <row r="519" spans="1:4" x14ac:dyDescent="0.25">
      <c r="A519" s="3">
        <f>SUM(DATE(2024,3,14),TIME(20,0,0))</f>
        <v>45365.833333333336</v>
      </c>
      <c r="B519">
        <v>25.05</v>
      </c>
      <c r="C519">
        <v>5130</v>
      </c>
      <c r="D519" s="4">
        <v>8.0806451612903221</v>
      </c>
    </row>
    <row r="520" spans="1:4" x14ac:dyDescent="0.25">
      <c r="A520" s="3">
        <f>SUM(DATE(2024,3,14),TIME(21,0,0))</f>
        <v>45365.875</v>
      </c>
      <c r="B520">
        <v>25.17</v>
      </c>
      <c r="C520">
        <v>4735</v>
      </c>
      <c r="D520" s="4">
        <v>8.1193548387096772</v>
      </c>
    </row>
    <row r="521" spans="1:4" x14ac:dyDescent="0.25">
      <c r="A521" s="3">
        <f>SUM(DATE(2024,3,14),TIME(22,0,0))</f>
        <v>45365.916666666664</v>
      </c>
      <c r="B521">
        <v>25.454999999999998</v>
      </c>
      <c r="C521">
        <v>8410</v>
      </c>
      <c r="D521" s="4">
        <v>8.2112903225806448</v>
      </c>
    </row>
    <row r="522" spans="1:4" x14ac:dyDescent="0.25">
      <c r="A522" s="3">
        <f>SUM(DATE(2024,3,14),TIME(23,0,0))</f>
        <v>45365.958333333336</v>
      </c>
      <c r="B522">
        <v>26.08</v>
      </c>
      <c r="C522">
        <v>15270</v>
      </c>
      <c r="D522" s="4">
        <v>8.4129032258064509</v>
      </c>
    </row>
    <row r="523" spans="1:4" x14ac:dyDescent="0.25">
      <c r="A523" s="3">
        <f>SUM(DATE(2024,3,15),TIME(0,0,0))</f>
        <v>45366</v>
      </c>
      <c r="B523">
        <v>26.375</v>
      </c>
      <c r="C523">
        <v>16375</v>
      </c>
      <c r="D523" s="4">
        <v>8.508064516129032</v>
      </c>
    </row>
    <row r="524" spans="1:4" x14ac:dyDescent="0.25">
      <c r="A524" s="3">
        <f>SUM(DATE(2024,3,15),TIME(15,0,0))</f>
        <v>45366.625</v>
      </c>
      <c r="B524">
        <v>26.4</v>
      </c>
      <c r="C524">
        <v>6135</v>
      </c>
      <c r="D524" s="4">
        <v>8.5161290322580641</v>
      </c>
    </row>
    <row r="525" spans="1:4" x14ac:dyDescent="0.25">
      <c r="A525" s="3">
        <f>SUM(DATE(2024,3,15),TIME(16,0,0))</f>
        <v>45366.666666666664</v>
      </c>
      <c r="B525">
        <v>26.265000000000001</v>
      </c>
      <c r="C525">
        <v>7450</v>
      </c>
      <c r="D525" s="4">
        <v>8.4725806451612904</v>
      </c>
    </row>
    <row r="526" spans="1:4" x14ac:dyDescent="0.25">
      <c r="A526" s="3">
        <f>SUM(DATE(2024,3,15),TIME(17,0,0))</f>
        <v>45366.708333333336</v>
      </c>
      <c r="B526">
        <v>26.465</v>
      </c>
      <c r="C526">
        <v>5965</v>
      </c>
      <c r="D526" s="4">
        <v>8.5370967741935484</v>
      </c>
    </row>
    <row r="527" spans="1:4" x14ac:dyDescent="0.25">
      <c r="A527" s="3">
        <f>SUM(DATE(2024,3,15),TIME(18,0,0))</f>
        <v>45366.75</v>
      </c>
      <c r="B527">
        <v>26.89</v>
      </c>
      <c r="C527">
        <v>8390</v>
      </c>
      <c r="D527" s="4">
        <v>8.6741935483870964</v>
      </c>
    </row>
    <row r="528" spans="1:4" x14ac:dyDescent="0.25">
      <c r="A528" s="3">
        <f>SUM(DATE(2024,3,15),TIME(19,0,0))</f>
        <v>45366.791666666664</v>
      </c>
      <c r="B528">
        <v>27.225000000000001</v>
      </c>
      <c r="C528">
        <v>8790</v>
      </c>
      <c r="D528" s="4">
        <v>8.7822580645161299</v>
      </c>
    </row>
    <row r="529" spans="1:4" x14ac:dyDescent="0.25">
      <c r="A529" s="3">
        <f>SUM(DATE(2024,3,15),TIME(20,0,0))</f>
        <v>45366.833333333336</v>
      </c>
      <c r="B529">
        <v>26.95</v>
      </c>
      <c r="C529">
        <v>4670</v>
      </c>
      <c r="D529" s="4">
        <v>8.693548387096774</v>
      </c>
    </row>
    <row r="530" spans="1:4" x14ac:dyDescent="0.25">
      <c r="A530" s="3">
        <f>SUM(DATE(2024,3,15),TIME(21,0,0))</f>
        <v>45366.875</v>
      </c>
      <c r="B530">
        <v>26.86</v>
      </c>
      <c r="C530">
        <v>10595</v>
      </c>
      <c r="D530" s="4">
        <v>8.6645161290322577</v>
      </c>
    </row>
    <row r="531" spans="1:4" x14ac:dyDescent="0.25">
      <c r="A531" s="3">
        <f>SUM(DATE(2024,3,15),TIME(22,0,0))</f>
        <v>45366.916666666664</v>
      </c>
      <c r="B531">
        <v>26.675000000000001</v>
      </c>
      <c r="C531">
        <v>7465</v>
      </c>
      <c r="D531" s="4">
        <v>8.6048387096774199</v>
      </c>
    </row>
    <row r="532" spans="1:4" x14ac:dyDescent="0.25">
      <c r="A532" s="3">
        <f>SUM(DATE(2024,3,15),TIME(23,0,0))</f>
        <v>45366.958333333336</v>
      </c>
      <c r="B532">
        <v>27.004999999999999</v>
      </c>
      <c r="C532">
        <v>6215</v>
      </c>
      <c r="D532" s="4">
        <v>8.7112903225806448</v>
      </c>
    </row>
    <row r="533" spans="1:4" x14ac:dyDescent="0.25">
      <c r="A533" s="3">
        <f>SUM(DATE(2024,3,18),TIME(15,0,0))</f>
        <v>45369.625</v>
      </c>
      <c r="B533">
        <v>28.38</v>
      </c>
      <c r="C533">
        <v>7815</v>
      </c>
      <c r="D533" s="4">
        <v>9.1548387096774189</v>
      </c>
    </row>
    <row r="534" spans="1:4" x14ac:dyDescent="0.25">
      <c r="A534" s="3">
        <f>SUM(DATE(2024,3,18),TIME(16,0,0))</f>
        <v>45369.666666666664</v>
      </c>
      <c r="B534">
        <v>28.6</v>
      </c>
      <c r="C534">
        <v>13095</v>
      </c>
      <c r="D534" s="4">
        <v>9.2258064516129039</v>
      </c>
    </row>
    <row r="535" spans="1:4" x14ac:dyDescent="0.25">
      <c r="A535" s="3">
        <f>SUM(DATE(2024,3,18),TIME(17,0,0))</f>
        <v>45369.708333333336</v>
      </c>
      <c r="B535">
        <v>28.274999999999999</v>
      </c>
      <c r="C535">
        <v>11485</v>
      </c>
      <c r="D535" s="4">
        <v>9.120967741935484</v>
      </c>
    </row>
    <row r="536" spans="1:4" x14ac:dyDescent="0.25">
      <c r="A536" s="3">
        <f>SUM(DATE(2024,3,18),TIME(18,0,0))</f>
        <v>45369.75</v>
      </c>
      <c r="B536">
        <v>28.515000000000001</v>
      </c>
      <c r="C536">
        <v>5340</v>
      </c>
      <c r="D536" s="4">
        <v>9.1983870967741943</v>
      </c>
    </row>
    <row r="537" spans="1:4" x14ac:dyDescent="0.25">
      <c r="A537" s="3">
        <f>SUM(DATE(2024,3,18),TIME(19,0,0))</f>
        <v>45369.791666666664</v>
      </c>
      <c r="B537">
        <v>28.42</v>
      </c>
      <c r="C537">
        <v>6015</v>
      </c>
      <c r="D537" s="4">
        <v>9.1677419354838712</v>
      </c>
    </row>
    <row r="538" spans="1:4" x14ac:dyDescent="0.25">
      <c r="A538" s="3">
        <f>SUM(DATE(2024,3,18),TIME(20,0,0))</f>
        <v>45369.833333333336</v>
      </c>
      <c r="B538">
        <v>28.73</v>
      </c>
      <c r="C538">
        <v>6055</v>
      </c>
      <c r="D538" s="4">
        <v>9.2677419354838708</v>
      </c>
    </row>
    <row r="539" spans="1:4" x14ac:dyDescent="0.25">
      <c r="A539" s="3">
        <f>SUM(DATE(2024,3,18),TIME(21,0,0))</f>
        <v>45369.875</v>
      </c>
      <c r="B539">
        <v>28.675000000000001</v>
      </c>
      <c r="C539">
        <v>5885</v>
      </c>
      <c r="D539" s="4">
        <v>9.25</v>
      </c>
    </row>
    <row r="540" spans="1:4" x14ac:dyDescent="0.25">
      <c r="A540" s="3">
        <f>SUM(DATE(2024,3,18),TIME(22,0,0))</f>
        <v>45369.916666666664</v>
      </c>
      <c r="B540">
        <v>28.43</v>
      </c>
      <c r="C540">
        <v>7420</v>
      </c>
      <c r="D540" s="4">
        <v>9.1709677419354829</v>
      </c>
    </row>
    <row r="541" spans="1:4" x14ac:dyDescent="0.25">
      <c r="A541" s="3">
        <f>SUM(DATE(2024,3,18),TIME(23,0,0))</f>
        <v>45369.958333333336</v>
      </c>
      <c r="B541">
        <v>28.885000000000002</v>
      </c>
      <c r="C541">
        <v>10285</v>
      </c>
      <c r="D541" s="4">
        <v>9.3177419354838715</v>
      </c>
    </row>
    <row r="542" spans="1:4" x14ac:dyDescent="0.25">
      <c r="A542" s="3">
        <f>SUM(DATE(2024,3,19),TIME(0,0,0))</f>
        <v>45370</v>
      </c>
      <c r="B542">
        <v>29.1</v>
      </c>
      <c r="C542">
        <v>15500</v>
      </c>
      <c r="D542" s="4">
        <v>9.387096774193548</v>
      </c>
    </row>
    <row r="543" spans="1:4" x14ac:dyDescent="0.25">
      <c r="A543" s="3">
        <f>SUM(DATE(2024,3,19),TIME(15,0,0))</f>
        <v>45370.625</v>
      </c>
      <c r="B543">
        <v>29.645</v>
      </c>
      <c r="C543">
        <v>6185</v>
      </c>
      <c r="D543" s="4">
        <v>9.5629032258064512</v>
      </c>
    </row>
    <row r="544" spans="1:4" x14ac:dyDescent="0.25">
      <c r="A544" s="3">
        <f>SUM(DATE(2024,3,19),TIME(16,0,0))</f>
        <v>45370.666666666664</v>
      </c>
      <c r="B544">
        <v>28.95</v>
      </c>
      <c r="C544">
        <v>9520</v>
      </c>
      <c r="D544" s="4">
        <v>9.3387096774193541</v>
      </c>
    </row>
    <row r="545" spans="1:4" x14ac:dyDescent="0.25">
      <c r="A545" s="3">
        <f>SUM(DATE(2024,3,19),TIME(17,0,0))</f>
        <v>45370.708333333336</v>
      </c>
      <c r="B545">
        <v>28.535</v>
      </c>
      <c r="C545">
        <v>7115</v>
      </c>
      <c r="D545" s="4">
        <v>9.2048387096774196</v>
      </c>
    </row>
    <row r="546" spans="1:4" x14ac:dyDescent="0.25">
      <c r="A546" s="3">
        <f>SUM(DATE(2024,3,19),TIME(18,0,0))</f>
        <v>45370.75</v>
      </c>
      <c r="B546">
        <v>28.25</v>
      </c>
      <c r="C546">
        <v>7010</v>
      </c>
      <c r="D546" s="4">
        <v>9.112903225806452</v>
      </c>
    </row>
    <row r="547" spans="1:4" x14ac:dyDescent="0.25">
      <c r="A547" s="3">
        <f>SUM(DATE(2024,3,19),TIME(19,0,0))</f>
        <v>45370.791666666664</v>
      </c>
      <c r="B547">
        <v>28.364999999999998</v>
      </c>
      <c r="C547">
        <v>4890</v>
      </c>
      <c r="D547" s="4">
        <v>9.1499999999999986</v>
      </c>
    </row>
    <row r="548" spans="1:4" x14ac:dyDescent="0.25">
      <c r="A548" s="3">
        <f>SUM(DATE(2024,3,19),TIME(20,0,0))</f>
        <v>45370.833333333336</v>
      </c>
      <c r="B548">
        <v>28.204999999999998</v>
      </c>
      <c r="C548">
        <v>4850</v>
      </c>
      <c r="D548" s="4">
        <v>9.0983870967741929</v>
      </c>
    </row>
    <row r="549" spans="1:4" x14ac:dyDescent="0.25">
      <c r="A549" s="3">
        <f>SUM(DATE(2024,3,19),TIME(21,0,0))</f>
        <v>45370.875</v>
      </c>
      <c r="B549">
        <v>27.774999999999999</v>
      </c>
      <c r="C549">
        <v>7255</v>
      </c>
      <c r="D549" s="4">
        <v>8.9596774193548381</v>
      </c>
    </row>
    <row r="550" spans="1:4" x14ac:dyDescent="0.25">
      <c r="A550" s="3">
        <f>SUM(DATE(2024,3,19),TIME(22,0,0))</f>
        <v>45370.916666666664</v>
      </c>
      <c r="B550">
        <v>28.045000000000002</v>
      </c>
      <c r="C550">
        <v>6010</v>
      </c>
      <c r="D550" s="4">
        <v>9.0467741935483872</v>
      </c>
    </row>
    <row r="551" spans="1:4" x14ac:dyDescent="0.25">
      <c r="A551" s="3">
        <f>SUM(DATE(2024,3,19),TIME(23,0,0))</f>
        <v>45370.958333333336</v>
      </c>
      <c r="B551">
        <v>29.055</v>
      </c>
      <c r="C551">
        <v>10175</v>
      </c>
      <c r="D551" s="4">
        <v>9.3725806451612907</v>
      </c>
    </row>
    <row r="552" spans="1:4" x14ac:dyDescent="0.25">
      <c r="A552" s="3">
        <f>SUM(DATE(2024,3,20),TIME(0,0,0))</f>
        <v>45371</v>
      </c>
      <c r="B552">
        <v>29.15</v>
      </c>
      <c r="C552">
        <v>15075</v>
      </c>
      <c r="D552" s="4">
        <v>9.4032258064516121</v>
      </c>
    </row>
    <row r="553" spans="1:4" x14ac:dyDescent="0.25">
      <c r="A553" s="3">
        <f>SUM(DATE(2024,3,20),TIME(15,0,0))</f>
        <v>45371.625</v>
      </c>
      <c r="B553">
        <v>28.78</v>
      </c>
      <c r="C553">
        <v>3710</v>
      </c>
      <c r="D553" s="4">
        <v>9.2838709677419349</v>
      </c>
    </row>
    <row r="554" spans="1:4" x14ac:dyDescent="0.25">
      <c r="A554" s="3">
        <f>SUM(DATE(2024,3,20),TIME(16,0,0))</f>
        <v>45371.666666666664</v>
      </c>
      <c r="B554">
        <v>28.085000000000001</v>
      </c>
      <c r="C554">
        <v>8420</v>
      </c>
      <c r="D554" s="4">
        <v>9.0596774193548395</v>
      </c>
    </row>
    <row r="555" spans="1:4" x14ac:dyDescent="0.25">
      <c r="A555" s="3">
        <f>SUM(DATE(2024,3,20),TIME(17,0,0))</f>
        <v>45371.708333333336</v>
      </c>
      <c r="B555">
        <v>28.175000000000001</v>
      </c>
      <c r="C555">
        <v>5370</v>
      </c>
      <c r="D555" s="4">
        <v>9.0887096774193541</v>
      </c>
    </row>
    <row r="556" spans="1:4" x14ac:dyDescent="0.25">
      <c r="A556" s="3">
        <f>SUM(DATE(2024,3,20),TIME(18,0,0))</f>
        <v>45371.75</v>
      </c>
      <c r="B556">
        <v>28.34</v>
      </c>
      <c r="C556">
        <v>5450</v>
      </c>
      <c r="D556" s="4">
        <v>9.1419354838709666</v>
      </c>
    </row>
    <row r="557" spans="1:4" x14ac:dyDescent="0.25">
      <c r="A557" s="3">
        <f>SUM(DATE(2024,3,20),TIME(19,0,0))</f>
        <v>45371.791666666664</v>
      </c>
      <c r="B557">
        <v>28.175000000000001</v>
      </c>
      <c r="C557">
        <v>4965</v>
      </c>
      <c r="D557" s="4">
        <v>9.0887096774193541</v>
      </c>
    </row>
    <row r="558" spans="1:4" x14ac:dyDescent="0.25">
      <c r="A558" s="3">
        <f>SUM(DATE(2024,3,20),TIME(20,0,0))</f>
        <v>45371.833333333336</v>
      </c>
      <c r="B558">
        <v>28.44</v>
      </c>
      <c r="C558">
        <v>9850</v>
      </c>
      <c r="D558" s="4">
        <v>9.1741935483870964</v>
      </c>
    </row>
    <row r="559" spans="1:4" x14ac:dyDescent="0.25">
      <c r="A559" s="3">
        <f>SUM(DATE(2024,3,20),TIME(21,0,0))</f>
        <v>45371.875</v>
      </c>
      <c r="B559">
        <v>28.414999999999999</v>
      </c>
      <c r="C559">
        <v>5805</v>
      </c>
      <c r="D559" s="4">
        <v>9.1661290322580644</v>
      </c>
    </row>
    <row r="560" spans="1:4" x14ac:dyDescent="0.25">
      <c r="A560" s="3">
        <f>SUM(DATE(2024,3,20),TIME(22,0,0))</f>
        <v>45371.916666666664</v>
      </c>
      <c r="B560">
        <v>28.475000000000001</v>
      </c>
      <c r="C560">
        <v>6895</v>
      </c>
      <c r="D560" s="4">
        <v>9.185483870967742</v>
      </c>
    </row>
    <row r="561" spans="1:4" x14ac:dyDescent="0.25">
      <c r="A561" s="3">
        <f>SUM(DATE(2024,3,20),TIME(23,0,0))</f>
        <v>45371.958333333336</v>
      </c>
      <c r="B561">
        <v>28.015000000000001</v>
      </c>
      <c r="C561">
        <v>9215</v>
      </c>
      <c r="D561" s="4">
        <v>9.0370967741935484</v>
      </c>
    </row>
    <row r="562" spans="1:4" x14ac:dyDescent="0.25">
      <c r="A562" s="3">
        <f>SUM(DATE(2024,3,21),TIME(0,0,0))</f>
        <v>45372</v>
      </c>
      <c r="B562">
        <v>27.274999999999999</v>
      </c>
      <c r="C562">
        <v>17290</v>
      </c>
      <c r="D562" s="4">
        <v>8.7983870967741922</v>
      </c>
    </row>
    <row r="563" spans="1:4" x14ac:dyDescent="0.25">
      <c r="A563" s="3">
        <f>SUM(DATE(2024,3,21),TIME(15,0,0))</f>
        <v>45372.625</v>
      </c>
      <c r="B563">
        <v>26.934999999999999</v>
      </c>
      <c r="C563">
        <v>4280</v>
      </c>
      <c r="D563" s="4">
        <v>8.6887096774193537</v>
      </c>
    </row>
    <row r="564" spans="1:4" x14ac:dyDescent="0.25">
      <c r="A564" s="3">
        <f>SUM(DATE(2024,3,21),TIME(16,0,0))</f>
        <v>45372.666666666664</v>
      </c>
      <c r="B564">
        <v>27.195</v>
      </c>
      <c r="C564">
        <v>5320</v>
      </c>
      <c r="D564" s="4">
        <v>8.7725806451612893</v>
      </c>
    </row>
    <row r="565" spans="1:4" x14ac:dyDescent="0.25">
      <c r="A565" s="3">
        <f>SUM(DATE(2024,3,21),TIME(17,0,0))</f>
        <v>45372.708333333336</v>
      </c>
      <c r="B565">
        <v>27.31</v>
      </c>
      <c r="C565">
        <v>4030</v>
      </c>
      <c r="D565" s="4">
        <v>8.8096774193548377</v>
      </c>
    </row>
    <row r="566" spans="1:4" x14ac:dyDescent="0.25">
      <c r="A566" s="3">
        <f>SUM(DATE(2024,3,21),TIME(18,0,0))</f>
        <v>45372.75</v>
      </c>
      <c r="B566">
        <v>27.37</v>
      </c>
      <c r="C566">
        <v>3140</v>
      </c>
      <c r="D566" s="4">
        <v>8.8290322580645171</v>
      </c>
    </row>
    <row r="567" spans="1:4" x14ac:dyDescent="0.25">
      <c r="A567" s="3">
        <f>SUM(DATE(2024,3,21),TIME(19,0,0))</f>
        <v>45372.791666666664</v>
      </c>
      <c r="B567">
        <v>26.95</v>
      </c>
      <c r="C567">
        <v>3730</v>
      </c>
      <c r="D567" s="4">
        <v>8.693548387096774</v>
      </c>
    </row>
    <row r="568" spans="1:4" x14ac:dyDescent="0.25">
      <c r="A568" s="3">
        <f>SUM(DATE(2024,3,21),TIME(20,0,0))</f>
        <v>45372.833333333336</v>
      </c>
      <c r="B568">
        <v>27.074999999999999</v>
      </c>
      <c r="C568">
        <v>3885</v>
      </c>
      <c r="D568" s="4">
        <v>8.7338709677419342</v>
      </c>
    </row>
    <row r="569" spans="1:4" x14ac:dyDescent="0.25">
      <c r="A569" s="3">
        <f>SUM(DATE(2024,3,21),TIME(21,0,0))</f>
        <v>45372.875</v>
      </c>
      <c r="B569">
        <v>27.17</v>
      </c>
      <c r="C569">
        <v>4095</v>
      </c>
      <c r="D569" s="4">
        <v>8.7645161290322591</v>
      </c>
    </row>
    <row r="570" spans="1:4" x14ac:dyDescent="0.25">
      <c r="A570" s="3">
        <f>SUM(DATE(2024,3,21),TIME(22,0,0))</f>
        <v>45372.916666666664</v>
      </c>
      <c r="B570">
        <v>26.885000000000002</v>
      </c>
      <c r="C570">
        <v>5745</v>
      </c>
      <c r="D570" s="4">
        <v>8.6725806451612915</v>
      </c>
    </row>
    <row r="571" spans="1:4" x14ac:dyDescent="0.25">
      <c r="A571" s="3">
        <f>SUM(DATE(2024,3,21),TIME(23,0,0))</f>
        <v>45372.958333333336</v>
      </c>
      <c r="B571">
        <v>26.53</v>
      </c>
      <c r="C571">
        <v>12450</v>
      </c>
      <c r="D571" s="4">
        <v>8.5580645161290327</v>
      </c>
    </row>
    <row r="572" spans="1:4" x14ac:dyDescent="0.25">
      <c r="A572" s="3">
        <f>SUM(DATE(2024,3,22),TIME(0,0,0))</f>
        <v>45373</v>
      </c>
      <c r="B572">
        <v>26.675000000000001</v>
      </c>
      <c r="C572">
        <v>12975</v>
      </c>
      <c r="D572" s="4">
        <v>8.6048387096774199</v>
      </c>
    </row>
    <row r="573" spans="1:4" x14ac:dyDescent="0.25">
      <c r="A573" s="3">
        <f>SUM(DATE(2024,3,22),TIME(15,0,0))</f>
        <v>45373.625</v>
      </c>
      <c r="B573">
        <v>26.4</v>
      </c>
      <c r="C573">
        <v>2805</v>
      </c>
      <c r="D573" s="4">
        <v>8.5161290322580641</v>
      </c>
    </row>
    <row r="574" spans="1:4" x14ac:dyDescent="0.25">
      <c r="A574" s="3">
        <f>SUM(DATE(2024,3,22),TIME(16,0,0))</f>
        <v>45373.666666666664</v>
      </c>
      <c r="B574">
        <v>26.65</v>
      </c>
      <c r="C574">
        <v>4825</v>
      </c>
      <c r="D574" s="4">
        <v>8.5967741935483861</v>
      </c>
    </row>
    <row r="575" spans="1:4" x14ac:dyDescent="0.25">
      <c r="A575" s="3">
        <f>SUM(DATE(2024,3,22),TIME(17,0,0))</f>
        <v>45373.708333333336</v>
      </c>
      <c r="B575">
        <v>27.1</v>
      </c>
      <c r="C575">
        <v>7105</v>
      </c>
      <c r="D575" s="4">
        <v>8.741935483870968</v>
      </c>
    </row>
    <row r="576" spans="1:4" x14ac:dyDescent="0.25">
      <c r="A576" s="3">
        <f>SUM(DATE(2024,3,22),TIME(18,0,0))</f>
        <v>45373.75</v>
      </c>
      <c r="B576">
        <v>27.29</v>
      </c>
      <c r="C576">
        <v>6600</v>
      </c>
      <c r="D576" s="4">
        <v>8.8032258064516125</v>
      </c>
    </row>
    <row r="577" spans="1:4" x14ac:dyDescent="0.25">
      <c r="A577" s="3">
        <f>SUM(DATE(2024,3,22),TIME(19,0,0))</f>
        <v>45373.791666666664</v>
      </c>
      <c r="B577">
        <v>27.02</v>
      </c>
      <c r="C577">
        <v>3380</v>
      </c>
      <c r="D577" s="4">
        <v>8.7161290322580633</v>
      </c>
    </row>
    <row r="578" spans="1:4" x14ac:dyDescent="0.25">
      <c r="A578" s="3">
        <f>SUM(DATE(2024,3,22),TIME(20,0,0))</f>
        <v>45373.833333333336</v>
      </c>
      <c r="B578">
        <v>27.29</v>
      </c>
      <c r="C578">
        <v>4545</v>
      </c>
      <c r="D578" s="4">
        <v>8.8032258064516125</v>
      </c>
    </row>
    <row r="579" spans="1:4" x14ac:dyDescent="0.25">
      <c r="A579" s="3">
        <f>SUM(DATE(2024,3,22),TIME(21,0,0))</f>
        <v>45373.875</v>
      </c>
      <c r="B579">
        <v>27.704999999999998</v>
      </c>
      <c r="C579">
        <v>7320</v>
      </c>
      <c r="D579" s="4">
        <v>8.937096774193547</v>
      </c>
    </row>
    <row r="580" spans="1:4" x14ac:dyDescent="0.25">
      <c r="A580" s="3">
        <f>SUM(DATE(2024,3,22),TIME(22,0,0))</f>
        <v>45373.916666666664</v>
      </c>
      <c r="B580">
        <v>27.7</v>
      </c>
      <c r="C580">
        <v>6220</v>
      </c>
      <c r="D580" s="4">
        <v>8.935483870967742</v>
      </c>
    </row>
    <row r="581" spans="1:4" x14ac:dyDescent="0.25">
      <c r="A581" s="3">
        <f>SUM(DATE(2024,3,22),TIME(23,0,0))</f>
        <v>45373.958333333336</v>
      </c>
      <c r="B581">
        <v>27.74</v>
      </c>
      <c r="C581">
        <v>5145</v>
      </c>
      <c r="D581" s="4">
        <v>8.9483870967741925</v>
      </c>
    </row>
    <row r="582" spans="1:4" x14ac:dyDescent="0.25">
      <c r="A582" s="3">
        <f>SUM(DATE(2024,3,25),TIME(15,0,0))</f>
        <v>45376.625</v>
      </c>
      <c r="B582">
        <v>28.625</v>
      </c>
      <c r="C582">
        <v>6830</v>
      </c>
      <c r="D582" s="4">
        <v>9.2338709677419359</v>
      </c>
    </row>
    <row r="583" spans="1:4" x14ac:dyDescent="0.25">
      <c r="A583" s="3">
        <f>SUM(DATE(2024,3,25),TIME(16,0,0))</f>
        <v>45376.666666666664</v>
      </c>
      <c r="B583">
        <v>28.55</v>
      </c>
      <c r="C583">
        <v>4340</v>
      </c>
      <c r="D583" s="4">
        <v>9.2096774193548381</v>
      </c>
    </row>
    <row r="584" spans="1:4" x14ac:dyDescent="0.25">
      <c r="A584" s="3">
        <f>SUM(DATE(2024,3,25),TIME(17,0,0))</f>
        <v>45376.708333333336</v>
      </c>
      <c r="B584">
        <v>28.7</v>
      </c>
      <c r="C584">
        <v>5210</v>
      </c>
      <c r="D584" s="4">
        <v>9.258064516129032</v>
      </c>
    </row>
    <row r="585" spans="1:4" x14ac:dyDescent="0.25">
      <c r="A585" s="3">
        <f>SUM(DATE(2024,3,25),TIME(18,0,0))</f>
        <v>45376.75</v>
      </c>
      <c r="B585">
        <v>28.66</v>
      </c>
      <c r="C585">
        <v>3070</v>
      </c>
      <c r="D585" s="4">
        <v>9.2451612903225797</v>
      </c>
    </row>
    <row r="586" spans="1:4" x14ac:dyDescent="0.25">
      <c r="A586" s="3">
        <f>SUM(DATE(2024,3,25),TIME(19,0,0))</f>
        <v>45376.791666666664</v>
      </c>
      <c r="B586">
        <v>28.95</v>
      </c>
      <c r="C586">
        <v>6250</v>
      </c>
      <c r="D586" s="4">
        <v>9.3387096774193541</v>
      </c>
    </row>
    <row r="587" spans="1:4" x14ac:dyDescent="0.25">
      <c r="A587" s="3">
        <f>SUM(DATE(2024,3,25),TIME(20,0,0))</f>
        <v>45376.833333333336</v>
      </c>
      <c r="B587">
        <v>28.51</v>
      </c>
      <c r="C587">
        <v>4555</v>
      </c>
      <c r="D587" s="4">
        <v>9.1967741935483875</v>
      </c>
    </row>
    <row r="588" spans="1:4" x14ac:dyDescent="0.25">
      <c r="A588" s="3">
        <f>SUM(DATE(2024,3,25),TIME(21,0,0))</f>
        <v>45376.875</v>
      </c>
      <c r="B588">
        <v>28.754999999999999</v>
      </c>
      <c r="C588">
        <v>4295</v>
      </c>
      <c r="D588" s="4">
        <v>9.2758064516129028</v>
      </c>
    </row>
    <row r="589" spans="1:4" x14ac:dyDescent="0.25">
      <c r="A589" s="3">
        <f>SUM(DATE(2024,3,25),TIME(22,0,0))</f>
        <v>45376.916666666664</v>
      </c>
      <c r="B589">
        <v>28.175000000000001</v>
      </c>
      <c r="C589">
        <v>6555</v>
      </c>
      <c r="D589" s="4">
        <v>9.0887096774193541</v>
      </c>
    </row>
    <row r="590" spans="1:4" x14ac:dyDescent="0.25">
      <c r="A590" s="3">
        <f>SUM(DATE(2024,3,25),TIME(23,0,0))</f>
        <v>45376.958333333336</v>
      </c>
      <c r="B590">
        <v>28.565000000000001</v>
      </c>
      <c r="C590">
        <v>6210</v>
      </c>
      <c r="D590" s="4">
        <v>9.2145161290322584</v>
      </c>
    </row>
    <row r="591" spans="1:4" x14ac:dyDescent="0.25">
      <c r="A591" s="3">
        <f>SUM(DATE(2024,3,26),TIME(0,0,0))</f>
        <v>45377</v>
      </c>
      <c r="B591">
        <v>28.055</v>
      </c>
      <c r="C591">
        <v>10735</v>
      </c>
      <c r="D591" s="4">
        <v>9.0499999999999989</v>
      </c>
    </row>
    <row r="592" spans="1:4" x14ac:dyDescent="0.25">
      <c r="A592" s="3">
        <f>SUM(DATE(2024,3,26),TIME(15,0,0))</f>
        <v>45377.625</v>
      </c>
      <c r="B592">
        <v>27.65</v>
      </c>
      <c r="C592">
        <v>3625</v>
      </c>
      <c r="D592" s="4">
        <v>8.9193548387096762</v>
      </c>
    </row>
    <row r="593" spans="1:4" x14ac:dyDescent="0.25">
      <c r="A593" s="3">
        <f>SUM(DATE(2024,3,26),TIME(16,0,0))</f>
        <v>45377.666666666664</v>
      </c>
      <c r="B593">
        <v>27.914999999999999</v>
      </c>
      <c r="C593">
        <v>5180</v>
      </c>
      <c r="D593" s="4">
        <v>9.0048387096774185</v>
      </c>
    </row>
    <row r="594" spans="1:4" x14ac:dyDescent="0.25">
      <c r="A594" s="3">
        <f>SUM(DATE(2024,3,26),TIME(17,0,0))</f>
        <v>45377.708333333336</v>
      </c>
      <c r="B594">
        <v>28.015000000000001</v>
      </c>
      <c r="C594">
        <v>4185</v>
      </c>
      <c r="D594" s="4">
        <v>9.0370967741935484</v>
      </c>
    </row>
    <row r="595" spans="1:4" x14ac:dyDescent="0.25">
      <c r="A595" s="3">
        <f>SUM(DATE(2024,3,26),TIME(18,0,0))</f>
        <v>45377.75</v>
      </c>
      <c r="B595">
        <v>28.184999999999999</v>
      </c>
      <c r="C595">
        <v>4500</v>
      </c>
      <c r="D595" s="4">
        <v>9.0919354838709676</v>
      </c>
    </row>
    <row r="596" spans="1:4" x14ac:dyDescent="0.25">
      <c r="A596" s="3">
        <f>SUM(DATE(2024,3,26),TIME(19,0,0))</f>
        <v>45377.791666666664</v>
      </c>
      <c r="B596">
        <v>28</v>
      </c>
      <c r="C596">
        <v>3055</v>
      </c>
      <c r="D596" s="4">
        <v>9.0322580645161281</v>
      </c>
    </row>
    <row r="597" spans="1:4" x14ac:dyDescent="0.25">
      <c r="A597" s="3">
        <f>SUM(DATE(2024,3,26),TIME(20,0,0))</f>
        <v>45377.833333333336</v>
      </c>
      <c r="B597">
        <v>27.574999999999999</v>
      </c>
      <c r="C597">
        <v>4820</v>
      </c>
      <c r="D597" s="4">
        <v>8.8951612903225801</v>
      </c>
    </row>
    <row r="598" spans="1:4" x14ac:dyDescent="0.25">
      <c r="A598" s="3">
        <f>SUM(DATE(2024,3,26),TIME(21,0,0))</f>
        <v>45377.875</v>
      </c>
      <c r="B598">
        <v>27.48</v>
      </c>
      <c r="C598">
        <v>5890</v>
      </c>
      <c r="D598" s="4">
        <v>8.8645161290322587</v>
      </c>
    </row>
    <row r="599" spans="1:4" x14ac:dyDescent="0.25">
      <c r="A599" s="3">
        <f>SUM(DATE(2024,3,26),TIME(22,0,0))</f>
        <v>45377.916666666664</v>
      </c>
      <c r="B599">
        <v>27.1</v>
      </c>
      <c r="C599">
        <v>5440</v>
      </c>
      <c r="D599" s="4">
        <v>8.741935483870968</v>
      </c>
    </row>
    <row r="600" spans="1:4" x14ac:dyDescent="0.25">
      <c r="A600" s="3">
        <f>SUM(DATE(2024,3,26),TIME(23,0,0))</f>
        <v>45377.958333333336</v>
      </c>
      <c r="B600">
        <v>27.254999999999999</v>
      </c>
      <c r="C600">
        <v>6820</v>
      </c>
      <c r="D600" s="4">
        <v>8.7919354838709669</v>
      </c>
    </row>
    <row r="601" spans="1:4" x14ac:dyDescent="0.25">
      <c r="A601" s="3">
        <f>SUM(DATE(2024,3,27),TIME(0,0,0))</f>
        <v>45378</v>
      </c>
      <c r="B601">
        <v>27.55</v>
      </c>
      <c r="C601">
        <v>8870</v>
      </c>
      <c r="D601" s="4">
        <v>8.887096774193548</v>
      </c>
    </row>
    <row r="602" spans="1:4" x14ac:dyDescent="0.25">
      <c r="A602" s="3">
        <f>SUM(DATE(2024,3,27),TIME(15,0,0))</f>
        <v>45378.625</v>
      </c>
      <c r="B602">
        <v>27.524999999999999</v>
      </c>
      <c r="C602">
        <v>2000</v>
      </c>
      <c r="D602" s="4">
        <v>8.879032258064516</v>
      </c>
    </row>
    <row r="603" spans="1:4" x14ac:dyDescent="0.25">
      <c r="A603" s="3">
        <f>SUM(DATE(2024,3,27),TIME(16,0,0))</f>
        <v>45378.666666666664</v>
      </c>
      <c r="B603">
        <v>27.28</v>
      </c>
      <c r="C603">
        <v>2405</v>
      </c>
      <c r="D603" s="4">
        <v>8.8000000000000007</v>
      </c>
    </row>
    <row r="604" spans="1:4" x14ac:dyDescent="0.25">
      <c r="A604" s="3">
        <f>SUM(DATE(2024,3,27),TIME(17,0,0))</f>
        <v>45378.708333333336</v>
      </c>
      <c r="B604">
        <v>27.15</v>
      </c>
      <c r="C604">
        <v>4125</v>
      </c>
      <c r="D604" s="4">
        <v>8.758064516129032</v>
      </c>
    </row>
    <row r="605" spans="1:4" x14ac:dyDescent="0.25">
      <c r="A605" s="3">
        <f>SUM(DATE(2024,3,27),TIME(18,0,0))</f>
        <v>45378.75</v>
      </c>
      <c r="B605">
        <v>27.05</v>
      </c>
      <c r="C605">
        <v>1870</v>
      </c>
      <c r="D605" s="4">
        <v>8.7258064516129039</v>
      </c>
    </row>
    <row r="606" spans="1:4" x14ac:dyDescent="0.25">
      <c r="A606" s="3">
        <f>SUM(DATE(2024,3,27),TIME(19,0,0))</f>
        <v>45378.791666666664</v>
      </c>
      <c r="B606">
        <v>27.12</v>
      </c>
      <c r="C606">
        <v>1250</v>
      </c>
      <c r="D606" s="4">
        <v>8.7483870967741932</v>
      </c>
    </row>
    <row r="607" spans="1:4" x14ac:dyDescent="0.25">
      <c r="A607" s="3">
        <f>SUM(DATE(2024,3,27),TIME(20,0,0))</f>
        <v>45378.833333333336</v>
      </c>
      <c r="B607">
        <v>26.85</v>
      </c>
      <c r="C607">
        <v>3560</v>
      </c>
      <c r="D607" s="4">
        <v>8.6612903225806459</v>
      </c>
    </row>
    <row r="608" spans="1:4" x14ac:dyDescent="0.25">
      <c r="A608" s="3">
        <f>SUM(DATE(2024,3,27),TIME(21,0,0))</f>
        <v>45378.875</v>
      </c>
      <c r="B608">
        <v>27.114999999999998</v>
      </c>
      <c r="C608">
        <v>1485</v>
      </c>
      <c r="D608" s="4">
        <v>8.7467741935483865</v>
      </c>
    </row>
    <row r="609" spans="1:4" x14ac:dyDescent="0.25">
      <c r="A609" s="3">
        <f>SUM(DATE(2024,3,27),TIME(22,0,0))</f>
        <v>45378.916666666664</v>
      </c>
      <c r="B609">
        <v>27.2</v>
      </c>
      <c r="C609">
        <v>2335</v>
      </c>
      <c r="D609" s="4">
        <v>8.7741935483870961</v>
      </c>
    </row>
    <row r="610" spans="1:4" x14ac:dyDescent="0.25">
      <c r="A610" s="3">
        <f>SUM(DATE(2024,3,27),TIME(23,0,0))</f>
        <v>45378.958333333336</v>
      </c>
      <c r="B610">
        <v>27.5</v>
      </c>
      <c r="C610">
        <v>2165</v>
      </c>
      <c r="D610" s="4">
        <v>8.870967741935484</v>
      </c>
    </row>
    <row r="611" spans="1:4" x14ac:dyDescent="0.25">
      <c r="A611" s="3">
        <f>SUM(DATE(2024,3,28),TIME(0,0,0))</f>
        <v>45379</v>
      </c>
      <c r="B611">
        <v>27.64</v>
      </c>
      <c r="C611">
        <v>5545</v>
      </c>
      <c r="D611" s="4">
        <v>8.9161290322580644</v>
      </c>
    </row>
    <row r="612" spans="1:4" x14ac:dyDescent="0.25">
      <c r="A612" s="3">
        <f>SUM(DATE(2024,3,28),TIME(15,0,0))</f>
        <v>45379.625</v>
      </c>
      <c r="B612">
        <v>27.63</v>
      </c>
      <c r="C612">
        <v>2145</v>
      </c>
      <c r="D612" s="4">
        <v>8.9129032258064509</v>
      </c>
    </row>
    <row r="613" spans="1:4" x14ac:dyDescent="0.25">
      <c r="A613" s="3">
        <f>SUM(DATE(2024,3,28),TIME(16,0,0))</f>
        <v>45379.666666666664</v>
      </c>
      <c r="B613">
        <v>27.75</v>
      </c>
      <c r="C613">
        <v>5085</v>
      </c>
      <c r="D613" s="4">
        <v>8.9516129032258061</v>
      </c>
    </row>
    <row r="614" spans="1:4" x14ac:dyDescent="0.25">
      <c r="A614" s="3">
        <f>SUM(DATE(2024,3,28),TIME(17,0,0))</f>
        <v>45379.708333333336</v>
      </c>
      <c r="B614">
        <v>27.535</v>
      </c>
      <c r="C614">
        <v>5215</v>
      </c>
      <c r="D614" s="4">
        <v>8.8822580645161295</v>
      </c>
    </row>
    <row r="615" spans="1:4" x14ac:dyDescent="0.25">
      <c r="A615" s="3">
        <f>SUM(DATE(2024,3,28),TIME(18,0,0))</f>
        <v>45379.75</v>
      </c>
      <c r="B615">
        <v>27.2</v>
      </c>
      <c r="C615">
        <v>6325</v>
      </c>
      <c r="D615" s="4">
        <v>8.7741935483870961</v>
      </c>
    </row>
    <row r="616" spans="1:4" x14ac:dyDescent="0.25">
      <c r="A616" s="3">
        <f>SUM(DATE(2024,3,28),TIME(19,0,0))</f>
        <v>45379.791666666664</v>
      </c>
      <c r="B616">
        <v>27.21</v>
      </c>
      <c r="C616">
        <v>4495</v>
      </c>
      <c r="D616" s="4">
        <v>8.7774193548387096</v>
      </c>
    </row>
    <row r="617" spans="1:4" x14ac:dyDescent="0.25">
      <c r="A617" s="3">
        <f>SUM(DATE(2024,3,28),TIME(20,0,0))</f>
        <v>45379.833333333336</v>
      </c>
      <c r="B617">
        <v>27.265000000000001</v>
      </c>
      <c r="C617">
        <v>3460</v>
      </c>
      <c r="D617" s="4">
        <v>8.7951612903225804</v>
      </c>
    </row>
    <row r="618" spans="1:4" x14ac:dyDescent="0.25">
      <c r="A618" s="3">
        <f>SUM(DATE(2024,3,28),TIME(21,0,0))</f>
        <v>45379.875</v>
      </c>
      <c r="B618">
        <v>27.43</v>
      </c>
      <c r="C618">
        <v>5510</v>
      </c>
      <c r="D618" s="4">
        <v>8.8483870967741929</v>
      </c>
    </row>
    <row r="619" spans="1:4" x14ac:dyDescent="0.25">
      <c r="A619" s="3">
        <f>SUM(DATE(2024,3,28),TIME(22,0,0))</f>
        <v>45379.916666666664</v>
      </c>
      <c r="B619">
        <v>27.5</v>
      </c>
      <c r="C619">
        <v>4300</v>
      </c>
      <c r="D619" s="4">
        <v>8.870967741935484</v>
      </c>
    </row>
    <row r="620" spans="1:4" x14ac:dyDescent="0.25">
      <c r="A620" s="3">
        <f>SUM(DATE(2024,3,28),TIME(23,0,0))</f>
        <v>45379.958333333336</v>
      </c>
      <c r="B620">
        <v>27.42</v>
      </c>
      <c r="C620">
        <v>5930</v>
      </c>
      <c r="D620" s="4">
        <v>8.8451612903225811</v>
      </c>
    </row>
    <row r="621" spans="1:4" x14ac:dyDescent="0.25">
      <c r="A621" s="3">
        <f>SUM(DATE(2024,3,29),TIME(0,0,0))</f>
        <v>45380</v>
      </c>
      <c r="B621">
        <v>27.475000000000001</v>
      </c>
      <c r="C621">
        <v>12775</v>
      </c>
      <c r="D621" s="4">
        <v>8.862903225806452</v>
      </c>
    </row>
    <row r="622" spans="1:4" x14ac:dyDescent="0.25">
      <c r="A622" s="3">
        <f>SUM(DATE(2024,4,2),TIME(14,0,0))</f>
        <v>45384.583333333336</v>
      </c>
      <c r="B622">
        <v>27.355</v>
      </c>
      <c r="C622">
        <v>5900</v>
      </c>
      <c r="D622" s="4">
        <v>8.8241935483870968</v>
      </c>
    </row>
    <row r="623" spans="1:4" x14ac:dyDescent="0.25">
      <c r="A623" s="3">
        <f>SUM(DATE(2024,4,2),TIME(15,0,0))</f>
        <v>45384.625</v>
      </c>
      <c r="B623">
        <v>26.86</v>
      </c>
      <c r="C623">
        <v>7690</v>
      </c>
      <c r="D623" s="4">
        <v>8.6645161290322577</v>
      </c>
    </row>
    <row r="624" spans="1:4" x14ac:dyDescent="0.25">
      <c r="A624" s="3">
        <f>SUM(DATE(2024,4,2),TIME(16,0,0))</f>
        <v>45384.666666666664</v>
      </c>
      <c r="B624">
        <v>26.6</v>
      </c>
      <c r="C624">
        <v>6185</v>
      </c>
      <c r="D624" s="4">
        <v>8.5806451612903221</v>
      </c>
    </row>
    <row r="625" spans="1:4" x14ac:dyDescent="0.25">
      <c r="A625" s="3">
        <f>SUM(DATE(2024,4,2),TIME(17,0,0))</f>
        <v>45384.708333333336</v>
      </c>
      <c r="B625">
        <v>26.934999999999999</v>
      </c>
      <c r="C625">
        <v>4050</v>
      </c>
      <c r="D625" s="4">
        <v>8.6887096774193537</v>
      </c>
    </row>
    <row r="626" spans="1:4" x14ac:dyDescent="0.25">
      <c r="A626" s="3">
        <f>SUM(DATE(2024,4,2),TIME(18,0,0))</f>
        <v>45384.75</v>
      </c>
      <c r="B626">
        <v>26.97</v>
      </c>
      <c r="C626">
        <v>3705</v>
      </c>
      <c r="D626" s="4">
        <v>8.6999999999999993</v>
      </c>
    </row>
    <row r="627" spans="1:4" x14ac:dyDescent="0.25">
      <c r="A627" s="3">
        <f>SUM(DATE(2024,4,2),TIME(19,0,0))</f>
        <v>45384.791666666664</v>
      </c>
      <c r="B627">
        <v>26.94</v>
      </c>
      <c r="C627">
        <v>3240</v>
      </c>
      <c r="D627" s="4">
        <v>8.6903225806451623</v>
      </c>
    </row>
    <row r="628" spans="1:4" x14ac:dyDescent="0.25">
      <c r="A628" s="3">
        <f>SUM(DATE(2024,4,2),TIME(20,0,0))</f>
        <v>45384.833333333336</v>
      </c>
      <c r="B628">
        <v>26.6</v>
      </c>
      <c r="C628">
        <v>4780</v>
      </c>
      <c r="D628" s="4">
        <v>8.5806451612903221</v>
      </c>
    </row>
    <row r="629" spans="1:4" x14ac:dyDescent="0.25">
      <c r="A629" s="3">
        <f>SUM(DATE(2024,4,2),TIME(21,0,0))</f>
        <v>45384.875</v>
      </c>
      <c r="B629">
        <v>26.254999999999999</v>
      </c>
      <c r="C629">
        <v>10710</v>
      </c>
      <c r="D629" s="4">
        <v>8.4693548387096769</v>
      </c>
    </row>
    <row r="630" spans="1:4" x14ac:dyDescent="0.25">
      <c r="A630" s="3">
        <f>SUM(DATE(2024,4,2),TIME(22,0,0))</f>
        <v>45384.916666666664</v>
      </c>
      <c r="B630">
        <v>26.324999999999999</v>
      </c>
      <c r="C630">
        <v>9680</v>
      </c>
      <c r="D630" s="4">
        <v>8.491935483870968</v>
      </c>
    </row>
    <row r="631" spans="1:4" x14ac:dyDescent="0.25">
      <c r="A631" s="3">
        <f>SUM(DATE(2024,4,2),TIME(23,0,0))</f>
        <v>45384.958333333336</v>
      </c>
      <c r="B631">
        <v>26.3</v>
      </c>
      <c r="C631">
        <v>14655</v>
      </c>
      <c r="D631" s="4">
        <v>8.4838709677419359</v>
      </c>
    </row>
    <row r="632" spans="1:4" x14ac:dyDescent="0.25">
      <c r="A632" s="3">
        <f>SUM(DATE(2024,4,3),TIME(14,0,0))</f>
        <v>45385.583333333336</v>
      </c>
      <c r="B632">
        <v>25.65</v>
      </c>
      <c r="C632">
        <v>4360</v>
      </c>
      <c r="D632" s="4">
        <v>8.2741935483870961</v>
      </c>
    </row>
    <row r="633" spans="1:4" x14ac:dyDescent="0.25">
      <c r="A633" s="3">
        <f>SUM(DATE(2024,4,3),TIME(15,0,0))</f>
        <v>45385.625</v>
      </c>
      <c r="B633">
        <v>25.7</v>
      </c>
      <c r="C633">
        <v>7705</v>
      </c>
      <c r="D633" s="4">
        <v>8.2903225806451601</v>
      </c>
    </row>
    <row r="634" spans="1:4" x14ac:dyDescent="0.25">
      <c r="A634" s="3">
        <f>SUM(DATE(2024,4,3),TIME(16,0,0))</f>
        <v>45385.666666666664</v>
      </c>
      <c r="B634">
        <v>25.86</v>
      </c>
      <c r="C634">
        <v>7625</v>
      </c>
      <c r="D634" s="4">
        <v>8.3419354838709676</v>
      </c>
    </row>
    <row r="635" spans="1:4" x14ac:dyDescent="0.25">
      <c r="A635" s="3">
        <f>SUM(DATE(2024,4,3),TIME(17,0,0))</f>
        <v>45385.708333333336</v>
      </c>
      <c r="B635">
        <v>25.765000000000001</v>
      </c>
      <c r="C635">
        <v>4665</v>
      </c>
      <c r="D635" s="4">
        <v>8.3112903225806445</v>
      </c>
    </row>
    <row r="636" spans="1:4" x14ac:dyDescent="0.25">
      <c r="A636" s="3">
        <f>SUM(DATE(2024,4,3),TIME(18,0,0))</f>
        <v>45385.75</v>
      </c>
      <c r="B636">
        <v>25.68</v>
      </c>
      <c r="C636">
        <v>3870</v>
      </c>
      <c r="D636" s="4">
        <v>8.2838709677419349</v>
      </c>
    </row>
    <row r="637" spans="1:4" x14ac:dyDescent="0.25">
      <c r="A637" s="3">
        <f>SUM(DATE(2024,4,3),TIME(19,0,0))</f>
        <v>45385.791666666664</v>
      </c>
      <c r="B637">
        <v>25.54</v>
      </c>
      <c r="C637">
        <v>6125</v>
      </c>
      <c r="D637" s="4">
        <v>8.2387096774193544</v>
      </c>
    </row>
    <row r="638" spans="1:4" x14ac:dyDescent="0.25">
      <c r="A638" s="3">
        <f>SUM(DATE(2024,4,3),TIME(20,0,0))</f>
        <v>45385.833333333336</v>
      </c>
      <c r="B638">
        <v>25.285</v>
      </c>
      <c r="C638">
        <v>7325</v>
      </c>
      <c r="D638" s="4">
        <v>8.1564516129032256</v>
      </c>
    </row>
    <row r="639" spans="1:4" x14ac:dyDescent="0.25">
      <c r="A639" s="3">
        <f>SUM(DATE(2024,4,3),TIME(21,0,0))</f>
        <v>45385.875</v>
      </c>
      <c r="B639">
        <v>25.475000000000001</v>
      </c>
      <c r="C639">
        <v>8080</v>
      </c>
      <c r="D639" s="4">
        <v>8.2177419354838719</v>
      </c>
    </row>
    <row r="640" spans="1:4" x14ac:dyDescent="0.25">
      <c r="A640" s="3">
        <f>SUM(DATE(2024,4,3),TIME(22,0,0))</f>
        <v>45385.916666666664</v>
      </c>
      <c r="B640">
        <v>25.375</v>
      </c>
      <c r="C640">
        <v>6840</v>
      </c>
      <c r="D640" s="4">
        <v>8.185483870967742</v>
      </c>
    </row>
    <row r="641" spans="1:4" x14ac:dyDescent="0.25">
      <c r="A641" s="3">
        <f>SUM(DATE(2024,4,3),TIME(23,0,0))</f>
        <v>45385.958333333336</v>
      </c>
      <c r="B641">
        <v>25.79</v>
      </c>
      <c r="C641">
        <v>12375</v>
      </c>
      <c r="D641" s="4">
        <v>8.3193548387096765</v>
      </c>
    </row>
    <row r="642" spans="1:4" x14ac:dyDescent="0.25">
      <c r="A642" s="3">
        <f>SUM(DATE(2024,4,4),TIME(14,0,0))</f>
        <v>45386.583333333336</v>
      </c>
      <c r="B642">
        <v>25.62</v>
      </c>
      <c r="C642">
        <v>2895</v>
      </c>
      <c r="D642" s="4">
        <v>8.2645161290322573</v>
      </c>
    </row>
    <row r="643" spans="1:4" x14ac:dyDescent="0.25">
      <c r="A643" s="3">
        <f>SUM(DATE(2024,4,4),TIME(15,0,0))</f>
        <v>45386.625</v>
      </c>
      <c r="B643">
        <v>26.07</v>
      </c>
      <c r="C643">
        <v>6515</v>
      </c>
      <c r="D643" s="4">
        <v>8.4096774193548391</v>
      </c>
    </row>
    <row r="644" spans="1:4" x14ac:dyDescent="0.25">
      <c r="A644" s="3">
        <f>SUM(DATE(2024,4,4),TIME(16,0,0))</f>
        <v>45386.666666666664</v>
      </c>
      <c r="B644">
        <v>26.03</v>
      </c>
      <c r="C644">
        <v>5315</v>
      </c>
      <c r="D644" s="4">
        <v>8.3967741935483868</v>
      </c>
    </row>
    <row r="645" spans="1:4" x14ac:dyDescent="0.25">
      <c r="A645" s="3">
        <f>SUM(DATE(2024,4,4),TIME(17,0,0))</f>
        <v>45386.708333333336</v>
      </c>
      <c r="B645">
        <v>25.695</v>
      </c>
      <c r="C645">
        <v>4910</v>
      </c>
      <c r="D645" s="4">
        <v>8.2887096774193552</v>
      </c>
    </row>
    <row r="646" spans="1:4" x14ac:dyDescent="0.25">
      <c r="A646" s="3">
        <f>SUM(DATE(2024,4,4),TIME(18,0,0))</f>
        <v>45386.75</v>
      </c>
      <c r="B646">
        <v>25.67</v>
      </c>
      <c r="C646">
        <v>4980</v>
      </c>
      <c r="D646" s="4">
        <v>8.2806451612903231</v>
      </c>
    </row>
    <row r="647" spans="1:4" x14ac:dyDescent="0.25">
      <c r="A647" s="3">
        <f>SUM(DATE(2024,4,4),TIME(19,0,0))</f>
        <v>45386.791666666664</v>
      </c>
      <c r="B647">
        <v>26.08</v>
      </c>
      <c r="C647">
        <v>6140</v>
      </c>
      <c r="D647" s="4">
        <v>8.4129032258064509</v>
      </c>
    </row>
    <row r="648" spans="1:4" x14ac:dyDescent="0.25">
      <c r="A648" s="3">
        <f>SUM(DATE(2024,4,4),TIME(20,0,0))</f>
        <v>45386.833333333336</v>
      </c>
      <c r="B648">
        <v>26.18</v>
      </c>
      <c r="C648">
        <v>5865</v>
      </c>
      <c r="D648" s="4">
        <v>8.4451612903225808</v>
      </c>
    </row>
    <row r="649" spans="1:4" x14ac:dyDescent="0.25">
      <c r="A649" s="3">
        <f>SUM(DATE(2024,4,4),TIME(21,0,0))</f>
        <v>45386.875</v>
      </c>
      <c r="B649">
        <v>26.32</v>
      </c>
      <c r="C649">
        <v>10255</v>
      </c>
      <c r="D649" s="4">
        <v>8.4903225806451612</v>
      </c>
    </row>
    <row r="650" spans="1:4" x14ac:dyDescent="0.25">
      <c r="A650" s="3">
        <f>SUM(DATE(2024,4,4),TIME(22,0,0))</f>
        <v>45386.916666666664</v>
      </c>
      <c r="B650">
        <v>26.27</v>
      </c>
      <c r="C650">
        <v>5605</v>
      </c>
      <c r="D650" s="4">
        <v>8.4741935483870972</v>
      </c>
    </row>
    <row r="651" spans="1:4" x14ac:dyDescent="0.25">
      <c r="A651" s="3">
        <f>SUM(DATE(2024,4,4),TIME(23,0,0))</f>
        <v>45386.958333333336</v>
      </c>
      <c r="B651">
        <v>25.975000000000001</v>
      </c>
      <c r="C651">
        <v>13210</v>
      </c>
      <c r="D651" s="4">
        <v>8.379032258064516</v>
      </c>
    </row>
    <row r="652" spans="1:4" x14ac:dyDescent="0.25">
      <c r="A652" s="3">
        <f>SUM(DATE(2024,4,5),TIME(14,0,0))</f>
        <v>45387.583333333336</v>
      </c>
      <c r="B652">
        <v>26.504999999999999</v>
      </c>
      <c r="C652">
        <v>3350</v>
      </c>
      <c r="D652" s="4">
        <v>8.5499999999999989</v>
      </c>
    </row>
    <row r="653" spans="1:4" x14ac:dyDescent="0.25">
      <c r="A653" s="3">
        <f>SUM(DATE(2024,4,5),TIME(15,0,0))</f>
        <v>45387.625</v>
      </c>
      <c r="B653">
        <v>26.335000000000001</v>
      </c>
      <c r="C653">
        <v>3480</v>
      </c>
      <c r="D653" s="4">
        <v>8.4951612903225815</v>
      </c>
    </row>
    <row r="654" spans="1:4" x14ac:dyDescent="0.25">
      <c r="A654" s="3">
        <f>SUM(DATE(2024,4,5),TIME(16,0,0))</f>
        <v>45387.666666666664</v>
      </c>
      <c r="B654">
        <v>26.535</v>
      </c>
      <c r="C654">
        <v>4615</v>
      </c>
      <c r="D654" s="4">
        <v>8.5596774193548377</v>
      </c>
    </row>
    <row r="655" spans="1:4" x14ac:dyDescent="0.25">
      <c r="A655" s="3">
        <f>SUM(DATE(2024,4,5),TIME(17,0,0))</f>
        <v>45387.708333333336</v>
      </c>
      <c r="B655">
        <v>26.25</v>
      </c>
      <c r="C655">
        <v>5980</v>
      </c>
      <c r="D655" s="4">
        <v>8.4677419354838701</v>
      </c>
    </row>
    <row r="656" spans="1:4" x14ac:dyDescent="0.25">
      <c r="A656" s="3">
        <f>SUM(DATE(2024,4,5),TIME(18,0,0))</f>
        <v>45387.75</v>
      </c>
      <c r="B656">
        <v>26.265000000000001</v>
      </c>
      <c r="C656">
        <v>6270</v>
      </c>
      <c r="D656" s="4">
        <v>8.4725806451612904</v>
      </c>
    </row>
    <row r="657" spans="1:4" x14ac:dyDescent="0.25">
      <c r="A657" s="3">
        <f>SUM(DATE(2024,4,5),TIME(19,0,0))</f>
        <v>45387.791666666664</v>
      </c>
      <c r="B657">
        <v>26.1</v>
      </c>
      <c r="C657">
        <v>5070</v>
      </c>
      <c r="D657" s="4">
        <v>8.4193548387096779</v>
      </c>
    </row>
    <row r="658" spans="1:4" x14ac:dyDescent="0.25">
      <c r="A658" s="3">
        <f>SUM(DATE(2024,4,5),TIME(20,0,0))</f>
        <v>45387.833333333336</v>
      </c>
      <c r="B658">
        <v>26.22</v>
      </c>
      <c r="C658">
        <v>4635</v>
      </c>
      <c r="D658" s="4">
        <v>8.4580645161290313</v>
      </c>
    </row>
    <row r="659" spans="1:4" x14ac:dyDescent="0.25">
      <c r="A659" s="3">
        <f>SUM(DATE(2024,4,5),TIME(21,0,0))</f>
        <v>45387.875</v>
      </c>
      <c r="B659">
        <v>26.75</v>
      </c>
      <c r="C659">
        <v>8295</v>
      </c>
      <c r="D659" s="4">
        <v>8.629032258064516</v>
      </c>
    </row>
    <row r="660" spans="1:4" x14ac:dyDescent="0.25">
      <c r="A660" s="3">
        <f>SUM(DATE(2024,4,5),TIME(22,0,0))</f>
        <v>45387.916666666664</v>
      </c>
      <c r="B660">
        <v>26.92</v>
      </c>
      <c r="C660">
        <v>11455</v>
      </c>
      <c r="D660" s="4">
        <v>8.6838709677419352</v>
      </c>
    </row>
    <row r="661" spans="1:4" x14ac:dyDescent="0.25">
      <c r="A661" s="3">
        <f>SUM(DATE(2024,4,5),TIME(23,0,0))</f>
        <v>45387.958333333336</v>
      </c>
      <c r="B661">
        <v>26.84</v>
      </c>
      <c r="C661">
        <v>12580</v>
      </c>
      <c r="D661" s="4">
        <v>8.6580645161290324</v>
      </c>
    </row>
    <row r="662" spans="1:4" x14ac:dyDescent="0.25">
      <c r="A662" s="3">
        <f>SUM(DATE(2024,4,8),TIME(14,0,0))</f>
        <v>45390.583333333336</v>
      </c>
      <c r="B662">
        <v>26.48</v>
      </c>
      <c r="C662">
        <v>3690</v>
      </c>
      <c r="D662" s="4">
        <v>8.5419354838709669</v>
      </c>
    </row>
    <row r="663" spans="1:4" x14ac:dyDescent="0.25">
      <c r="A663" s="3">
        <f>SUM(DATE(2024,4,8),TIME(15,0,0))</f>
        <v>45390.625</v>
      </c>
      <c r="B663">
        <v>26.655000000000001</v>
      </c>
      <c r="C663">
        <v>4480</v>
      </c>
      <c r="D663" s="4">
        <v>8.5983870967741929</v>
      </c>
    </row>
    <row r="664" spans="1:4" x14ac:dyDescent="0.25">
      <c r="A664" s="3">
        <f>SUM(DATE(2024,4,8),TIME(16,0,0))</f>
        <v>45390.666666666664</v>
      </c>
      <c r="B664">
        <v>26.574999999999999</v>
      </c>
      <c r="C664">
        <v>4405</v>
      </c>
      <c r="D664" s="4">
        <v>8.57258064516129</v>
      </c>
    </row>
    <row r="665" spans="1:4" x14ac:dyDescent="0.25">
      <c r="A665" s="3">
        <f>SUM(DATE(2024,4,8),TIME(17,0,0))</f>
        <v>45390.708333333336</v>
      </c>
      <c r="B665">
        <v>26.815000000000001</v>
      </c>
      <c r="C665">
        <v>4760</v>
      </c>
      <c r="D665" s="4">
        <v>8.65</v>
      </c>
    </row>
    <row r="666" spans="1:4" x14ac:dyDescent="0.25">
      <c r="A666" s="3">
        <f>SUM(DATE(2024,4,8),TIME(18,0,0))</f>
        <v>45390.75</v>
      </c>
      <c r="B666">
        <v>26.82</v>
      </c>
      <c r="C666">
        <v>2770</v>
      </c>
      <c r="D666" s="4">
        <v>8.6516129032258071</v>
      </c>
    </row>
    <row r="667" spans="1:4" x14ac:dyDescent="0.25">
      <c r="A667" s="3">
        <f>SUM(DATE(2024,4,8),TIME(19,0,0))</f>
        <v>45390.791666666664</v>
      </c>
      <c r="B667">
        <v>27.024999999999999</v>
      </c>
      <c r="C667">
        <v>4795</v>
      </c>
      <c r="D667" s="4">
        <v>8.7177419354838701</v>
      </c>
    </row>
    <row r="668" spans="1:4" x14ac:dyDescent="0.25">
      <c r="A668" s="3">
        <f>SUM(DATE(2024,4,8),TIME(20,0,0))</f>
        <v>45390.833333333336</v>
      </c>
      <c r="B668">
        <v>27.35</v>
      </c>
      <c r="C668">
        <v>7100</v>
      </c>
      <c r="D668" s="4">
        <v>8.82258064516129</v>
      </c>
    </row>
    <row r="669" spans="1:4" x14ac:dyDescent="0.25">
      <c r="A669" s="3">
        <f>SUM(DATE(2024,4,8),TIME(21,0,0))</f>
        <v>45390.875</v>
      </c>
      <c r="B669">
        <v>27.625</v>
      </c>
      <c r="C669">
        <v>12105</v>
      </c>
      <c r="D669" s="4">
        <v>8.9112903225806441</v>
      </c>
    </row>
    <row r="670" spans="1:4" x14ac:dyDescent="0.25">
      <c r="A670" s="3">
        <f>SUM(DATE(2024,4,8),TIME(22,0,0))</f>
        <v>45390.916666666664</v>
      </c>
      <c r="B670">
        <v>27.925000000000001</v>
      </c>
      <c r="C670">
        <v>12375</v>
      </c>
      <c r="D670" s="4">
        <v>9.008064516129032</v>
      </c>
    </row>
    <row r="671" spans="1:4" x14ac:dyDescent="0.25">
      <c r="A671" s="3">
        <f>SUM(DATE(2024,4,8),TIME(23,0,0))</f>
        <v>45390.958333333336</v>
      </c>
      <c r="B671">
        <v>27.8</v>
      </c>
      <c r="C671">
        <v>13840</v>
      </c>
      <c r="D671" s="4">
        <v>8.9677419354838701</v>
      </c>
    </row>
    <row r="672" spans="1:4" x14ac:dyDescent="0.25">
      <c r="A672" s="3">
        <f>SUM(DATE(2024,4,9),TIME(14,0,0))</f>
        <v>45391.583333333336</v>
      </c>
      <c r="B672">
        <v>27.995000000000001</v>
      </c>
      <c r="C672">
        <v>3825</v>
      </c>
      <c r="D672" s="4">
        <v>9.0306451612903231</v>
      </c>
    </row>
    <row r="673" spans="1:4" x14ac:dyDescent="0.25">
      <c r="A673" s="3">
        <f>SUM(DATE(2024,4,9),TIME(15,0,0))</f>
        <v>45391.625</v>
      </c>
      <c r="B673">
        <v>27.65</v>
      </c>
      <c r="C673">
        <v>9230</v>
      </c>
      <c r="D673" s="4">
        <v>8.9193548387096762</v>
      </c>
    </row>
    <row r="674" spans="1:4" x14ac:dyDescent="0.25">
      <c r="A674" s="3">
        <f>SUM(DATE(2024,4,9),TIME(16,0,0))</f>
        <v>45391.666666666664</v>
      </c>
      <c r="B674">
        <v>27.734999999999999</v>
      </c>
      <c r="C674">
        <v>5795</v>
      </c>
      <c r="D674" s="4">
        <v>8.9467741935483875</v>
      </c>
    </row>
    <row r="675" spans="1:4" x14ac:dyDescent="0.25">
      <c r="A675" s="3">
        <f>SUM(DATE(2024,4,9),TIME(17,0,0))</f>
        <v>45391.708333333336</v>
      </c>
      <c r="B675">
        <v>28.04</v>
      </c>
      <c r="C675">
        <v>7765</v>
      </c>
      <c r="D675" s="4">
        <v>9.0451612903225804</v>
      </c>
    </row>
    <row r="676" spans="1:4" x14ac:dyDescent="0.25">
      <c r="A676" s="3">
        <f>SUM(DATE(2024,4,9),TIME(18,0,0))</f>
        <v>45391.75</v>
      </c>
      <c r="B676">
        <v>28.274999999999999</v>
      </c>
      <c r="C676">
        <v>6290</v>
      </c>
      <c r="D676" s="4">
        <v>9.120967741935484</v>
      </c>
    </row>
    <row r="677" spans="1:4" x14ac:dyDescent="0.25">
      <c r="A677" s="3">
        <f>SUM(DATE(2024,4,9),TIME(19,0,0))</f>
        <v>45391.791666666664</v>
      </c>
      <c r="B677">
        <v>28.48</v>
      </c>
      <c r="C677">
        <v>6520</v>
      </c>
      <c r="D677" s="4">
        <v>9.1870967741935488</v>
      </c>
    </row>
    <row r="678" spans="1:4" x14ac:dyDescent="0.25">
      <c r="A678" s="3">
        <f>SUM(DATE(2024,4,9),TIME(20,0,0))</f>
        <v>45391.833333333336</v>
      </c>
      <c r="B678">
        <v>28.285</v>
      </c>
      <c r="C678">
        <v>6745</v>
      </c>
      <c r="D678" s="4">
        <v>9.1241935483870957</v>
      </c>
    </row>
    <row r="679" spans="1:4" x14ac:dyDescent="0.25">
      <c r="A679" s="3">
        <f>SUM(DATE(2024,4,9),TIME(21,0,0))</f>
        <v>45391.875</v>
      </c>
      <c r="B679">
        <v>27.774999999999999</v>
      </c>
      <c r="C679">
        <v>9195</v>
      </c>
      <c r="D679" s="4">
        <v>8.9596774193548381</v>
      </c>
    </row>
    <row r="680" spans="1:4" x14ac:dyDescent="0.25">
      <c r="A680" s="3">
        <f>SUM(DATE(2024,4,9),TIME(22,0,0))</f>
        <v>45391.916666666664</v>
      </c>
      <c r="B680">
        <v>27.64</v>
      </c>
      <c r="C680">
        <v>8440</v>
      </c>
      <c r="D680" s="4">
        <v>8.9161290322580644</v>
      </c>
    </row>
    <row r="681" spans="1:4" x14ac:dyDescent="0.25">
      <c r="A681" s="3">
        <f>SUM(DATE(2024,4,9),TIME(23,0,0))</f>
        <v>45391.958333333336</v>
      </c>
      <c r="B681">
        <v>27.364999999999998</v>
      </c>
      <c r="C681">
        <v>14505</v>
      </c>
      <c r="D681" s="4">
        <v>8.8274193548387085</v>
      </c>
    </row>
    <row r="682" spans="1:4" x14ac:dyDescent="0.25">
      <c r="A682" s="3">
        <f>SUM(DATE(2024,4,10),TIME(14,0,0))</f>
        <v>45392.583333333336</v>
      </c>
      <c r="B682">
        <v>27.42</v>
      </c>
      <c r="C682">
        <v>2685</v>
      </c>
      <c r="D682" s="4">
        <v>8.8451612903225811</v>
      </c>
    </row>
    <row r="683" spans="1:4" x14ac:dyDescent="0.25">
      <c r="A683" s="3">
        <f>SUM(DATE(2024,4,10),TIME(15,0,0))</f>
        <v>45392.625</v>
      </c>
      <c r="B683">
        <v>27.8</v>
      </c>
      <c r="C683">
        <v>6175</v>
      </c>
      <c r="D683" s="4">
        <v>8.9677419354838701</v>
      </c>
    </row>
    <row r="684" spans="1:4" x14ac:dyDescent="0.25">
      <c r="A684" s="3">
        <f>SUM(DATE(2024,4,10),TIME(16,0,0))</f>
        <v>45392.666666666664</v>
      </c>
      <c r="B684">
        <v>27.375</v>
      </c>
      <c r="C684">
        <v>6635</v>
      </c>
      <c r="D684" s="4">
        <v>8.8306451612903221</v>
      </c>
    </row>
    <row r="685" spans="1:4" x14ac:dyDescent="0.25">
      <c r="A685" s="3">
        <f>SUM(DATE(2024,4,10),TIME(17,0,0))</f>
        <v>45392.708333333336</v>
      </c>
      <c r="B685">
        <v>27.055</v>
      </c>
      <c r="C685">
        <v>6605</v>
      </c>
      <c r="D685" s="4">
        <v>8.7274193548387089</v>
      </c>
    </row>
    <row r="686" spans="1:4" x14ac:dyDescent="0.25">
      <c r="A686" s="3">
        <f>SUM(DATE(2024,4,10),TIME(18,0,0))</f>
        <v>45392.75</v>
      </c>
      <c r="B686">
        <v>26.9</v>
      </c>
      <c r="C686">
        <v>4620</v>
      </c>
      <c r="D686" s="4">
        <v>8.6774193548387082</v>
      </c>
    </row>
    <row r="687" spans="1:4" x14ac:dyDescent="0.25">
      <c r="A687" s="3">
        <f>SUM(DATE(2024,4,10),TIME(19,0,0))</f>
        <v>45392.791666666664</v>
      </c>
      <c r="B687">
        <v>26.995000000000001</v>
      </c>
      <c r="C687">
        <v>4275</v>
      </c>
      <c r="D687" s="4">
        <v>8.7080645161290331</v>
      </c>
    </row>
    <row r="688" spans="1:4" x14ac:dyDescent="0.25">
      <c r="A688" s="3">
        <f>SUM(DATE(2024,4,10),TIME(20,0,0))</f>
        <v>45392.833333333336</v>
      </c>
      <c r="B688">
        <v>27.05</v>
      </c>
      <c r="C688">
        <v>3855</v>
      </c>
      <c r="D688" s="4">
        <v>8.7258064516129039</v>
      </c>
    </row>
    <row r="689" spans="1:4" x14ac:dyDescent="0.25">
      <c r="A689" s="3">
        <f>SUM(DATE(2024,4,10),TIME(21,0,0))</f>
        <v>45392.875</v>
      </c>
      <c r="B689">
        <v>27.565000000000001</v>
      </c>
      <c r="C689">
        <v>14545</v>
      </c>
      <c r="D689" s="4">
        <v>8.8919354838709683</v>
      </c>
    </row>
    <row r="690" spans="1:4" x14ac:dyDescent="0.25">
      <c r="A690" s="3">
        <f>SUM(DATE(2024,4,10),TIME(22,0,0))</f>
        <v>45392.916666666664</v>
      </c>
      <c r="B690">
        <v>27.22</v>
      </c>
      <c r="C690">
        <v>4860</v>
      </c>
      <c r="D690" s="4">
        <v>8.7806451612903214</v>
      </c>
    </row>
    <row r="691" spans="1:4" x14ac:dyDescent="0.25">
      <c r="A691" s="3">
        <f>SUM(DATE(2024,4,10),TIME(23,0,0))</f>
        <v>45392.958333333336</v>
      </c>
      <c r="B691">
        <v>27.385000000000002</v>
      </c>
      <c r="C691">
        <v>11615</v>
      </c>
      <c r="D691" s="4">
        <v>8.8338709677419356</v>
      </c>
    </row>
    <row r="692" spans="1:4" x14ac:dyDescent="0.25">
      <c r="A692" s="3">
        <f>SUM(DATE(2024,4,11),TIME(14,0,0))</f>
        <v>45393.583333333336</v>
      </c>
      <c r="B692">
        <v>28.225000000000001</v>
      </c>
      <c r="C692">
        <v>4945</v>
      </c>
      <c r="D692" s="4">
        <v>9.1048387096774199</v>
      </c>
    </row>
    <row r="693" spans="1:4" x14ac:dyDescent="0.25">
      <c r="A693" s="3">
        <f>SUM(DATE(2024,4,11),TIME(15,0,0))</f>
        <v>45393.625</v>
      </c>
      <c r="B693">
        <v>28.725000000000001</v>
      </c>
      <c r="C693">
        <v>9270</v>
      </c>
      <c r="D693" s="4">
        <v>9.2661290322580641</v>
      </c>
    </row>
    <row r="694" spans="1:4" x14ac:dyDescent="0.25">
      <c r="A694" s="3">
        <f>SUM(DATE(2024,4,11),TIME(16,0,0))</f>
        <v>45393.666666666664</v>
      </c>
      <c r="B694">
        <v>28.8</v>
      </c>
      <c r="C694">
        <v>10940</v>
      </c>
      <c r="D694" s="4">
        <v>9.2903225806451619</v>
      </c>
    </row>
    <row r="695" spans="1:4" x14ac:dyDescent="0.25">
      <c r="A695" s="3">
        <f>SUM(DATE(2024,4,11),TIME(17,0,0))</f>
        <v>45393.708333333336</v>
      </c>
      <c r="B695">
        <v>28.675000000000001</v>
      </c>
      <c r="C695">
        <v>6075</v>
      </c>
      <c r="D695" s="4">
        <v>9.25</v>
      </c>
    </row>
    <row r="696" spans="1:4" x14ac:dyDescent="0.25">
      <c r="A696" s="3">
        <f>SUM(DATE(2024,4,11),TIME(18,0,0))</f>
        <v>45393.75</v>
      </c>
      <c r="B696">
        <v>28.46</v>
      </c>
      <c r="C696">
        <v>3855</v>
      </c>
      <c r="D696" s="4">
        <v>9.1806451612903217</v>
      </c>
    </row>
    <row r="697" spans="1:4" x14ac:dyDescent="0.25">
      <c r="A697" s="3">
        <f>SUM(DATE(2024,4,11),TIME(19,0,0))</f>
        <v>45393.791666666664</v>
      </c>
      <c r="B697">
        <v>28.75</v>
      </c>
      <c r="C697">
        <v>3215</v>
      </c>
      <c r="D697" s="4">
        <v>9.2741935483870961</v>
      </c>
    </row>
    <row r="698" spans="1:4" x14ac:dyDescent="0.25">
      <c r="A698" s="3">
        <f>SUM(DATE(2024,4,11),TIME(20,0,0))</f>
        <v>45393.833333333336</v>
      </c>
      <c r="B698">
        <v>28.815000000000001</v>
      </c>
      <c r="C698">
        <v>4535</v>
      </c>
      <c r="D698" s="4">
        <v>9.2951612903225804</v>
      </c>
    </row>
    <row r="699" spans="1:4" x14ac:dyDescent="0.25">
      <c r="A699" s="3">
        <f>SUM(DATE(2024,4,11),TIME(21,0,0))</f>
        <v>45393.875</v>
      </c>
      <c r="B699">
        <v>29</v>
      </c>
      <c r="C699">
        <v>7060</v>
      </c>
      <c r="D699" s="4">
        <v>9.3548387096774199</v>
      </c>
    </row>
    <row r="700" spans="1:4" x14ac:dyDescent="0.25">
      <c r="A700" s="3">
        <f>SUM(DATE(2024,4,11),TIME(22,0,0))</f>
        <v>45393.916666666664</v>
      </c>
      <c r="B700">
        <v>29.57</v>
      </c>
      <c r="C700">
        <v>11640</v>
      </c>
      <c r="D700" s="4">
        <v>9.5387096774193552</v>
      </c>
    </row>
    <row r="701" spans="1:4" x14ac:dyDescent="0.25">
      <c r="A701" s="3">
        <f>SUM(DATE(2024,4,11),TIME(23,0,0))</f>
        <v>45393.958333333336</v>
      </c>
      <c r="B701">
        <v>29.45</v>
      </c>
      <c r="C701">
        <v>14350</v>
      </c>
      <c r="D701" s="4">
        <v>9.5</v>
      </c>
    </row>
    <row r="702" spans="1:4" x14ac:dyDescent="0.25">
      <c r="A702" s="3">
        <f>SUM(DATE(2024,4,12),TIME(14,0,0))</f>
        <v>45394.583333333336</v>
      </c>
      <c r="B702">
        <v>29.36</v>
      </c>
      <c r="C702">
        <v>3895</v>
      </c>
      <c r="D702" s="4">
        <v>9.4709677419354836</v>
      </c>
    </row>
    <row r="703" spans="1:4" x14ac:dyDescent="0.25">
      <c r="A703" s="3">
        <f>SUM(DATE(2024,4,12),TIME(15,0,0))</f>
        <v>45394.625</v>
      </c>
      <c r="B703">
        <v>30.12</v>
      </c>
      <c r="C703">
        <v>11415</v>
      </c>
      <c r="D703" s="4">
        <v>9.7161290322580651</v>
      </c>
    </row>
    <row r="704" spans="1:4" x14ac:dyDescent="0.25">
      <c r="A704" s="3">
        <f>SUM(DATE(2024,4,12),TIME(16,0,0))</f>
        <v>45394.666666666664</v>
      </c>
      <c r="B704">
        <v>29.805</v>
      </c>
      <c r="C704">
        <v>7895</v>
      </c>
      <c r="D704" s="4">
        <v>9.6145161290322569</v>
      </c>
    </row>
    <row r="705" spans="1:4" x14ac:dyDescent="0.25">
      <c r="A705" s="3">
        <f>SUM(DATE(2024,4,12),TIME(17,0,0))</f>
        <v>45394.708333333336</v>
      </c>
      <c r="B705">
        <v>30.15</v>
      </c>
      <c r="C705">
        <v>5925</v>
      </c>
      <c r="D705" s="4">
        <v>9.7258064516129021</v>
      </c>
    </row>
    <row r="706" spans="1:4" x14ac:dyDescent="0.25">
      <c r="A706" s="3">
        <f>SUM(DATE(2024,4,12),TIME(18,0,0))</f>
        <v>45394.75</v>
      </c>
      <c r="B706">
        <v>29.75</v>
      </c>
      <c r="C706">
        <v>4855</v>
      </c>
      <c r="D706" s="4">
        <v>9.5967741935483861</v>
      </c>
    </row>
    <row r="707" spans="1:4" x14ac:dyDescent="0.25">
      <c r="A707" s="3">
        <f>SUM(DATE(2024,4,12),TIME(19,0,0))</f>
        <v>45394.791666666664</v>
      </c>
      <c r="B707">
        <v>29.23</v>
      </c>
      <c r="C707">
        <v>5580</v>
      </c>
      <c r="D707" s="4">
        <v>9.4290322580645167</v>
      </c>
    </row>
    <row r="708" spans="1:4" x14ac:dyDescent="0.25">
      <c r="A708" s="3">
        <f>SUM(DATE(2024,4,12),TIME(20,0,0))</f>
        <v>45394.833333333336</v>
      </c>
      <c r="B708">
        <v>29.795000000000002</v>
      </c>
      <c r="C708">
        <v>7025</v>
      </c>
      <c r="D708" s="4">
        <v>9.6112903225806452</v>
      </c>
    </row>
    <row r="709" spans="1:4" x14ac:dyDescent="0.25">
      <c r="A709" s="3">
        <f>SUM(DATE(2024,4,12),TIME(21,0,0))</f>
        <v>45394.875</v>
      </c>
      <c r="B709">
        <v>30.215</v>
      </c>
      <c r="C709">
        <v>12795</v>
      </c>
      <c r="D709" s="4">
        <v>9.7467741935483865</v>
      </c>
    </row>
    <row r="710" spans="1:4" x14ac:dyDescent="0.25">
      <c r="A710" s="3">
        <f>SUM(DATE(2024,4,12),TIME(22,0,0))</f>
        <v>45394.916666666664</v>
      </c>
      <c r="B710">
        <v>30.934999999999999</v>
      </c>
      <c r="C710">
        <v>11735</v>
      </c>
      <c r="D710" s="4">
        <v>9.9790322580645157</v>
      </c>
    </row>
    <row r="711" spans="1:4" x14ac:dyDescent="0.25">
      <c r="A711" s="3">
        <f>SUM(DATE(2024,4,12),TIME(23,0,0))</f>
        <v>45394.958333333336</v>
      </c>
      <c r="B711">
        <v>30.79</v>
      </c>
      <c r="C711">
        <v>15510</v>
      </c>
      <c r="D711" s="4">
        <v>9.9322580645161285</v>
      </c>
    </row>
    <row r="712" spans="1:4" x14ac:dyDescent="0.25">
      <c r="A712" s="3">
        <f>SUM(DATE(2024,4,15),TIME(14,0,0))</f>
        <v>45397.583333333336</v>
      </c>
      <c r="B712">
        <v>30.16</v>
      </c>
      <c r="C712">
        <v>8850</v>
      </c>
      <c r="D712" s="4">
        <v>9.7290322580645157</v>
      </c>
    </row>
    <row r="713" spans="1:4" x14ac:dyDescent="0.25">
      <c r="A713" s="3">
        <f>SUM(DATE(2024,4,15),TIME(15,0,0))</f>
        <v>45397.625</v>
      </c>
      <c r="B713">
        <v>30.015000000000001</v>
      </c>
      <c r="C713">
        <v>5115</v>
      </c>
      <c r="D713" s="4">
        <v>9.6822580645161285</v>
      </c>
    </row>
    <row r="714" spans="1:4" x14ac:dyDescent="0.25">
      <c r="A714" s="3">
        <f>SUM(DATE(2024,4,15),TIME(16,0,0))</f>
        <v>45397.666666666664</v>
      </c>
      <c r="B714">
        <v>30.675000000000001</v>
      </c>
      <c r="C714">
        <v>7400</v>
      </c>
      <c r="D714" s="4">
        <v>9.8951612903225801</v>
      </c>
    </row>
    <row r="715" spans="1:4" x14ac:dyDescent="0.25">
      <c r="A715" s="3">
        <f>SUM(DATE(2024,4,15),TIME(17,0,0))</f>
        <v>45397.708333333336</v>
      </c>
      <c r="B715">
        <v>30.324999999999999</v>
      </c>
      <c r="C715">
        <v>5535</v>
      </c>
      <c r="D715" s="4">
        <v>9.7822580645161281</v>
      </c>
    </row>
    <row r="716" spans="1:4" x14ac:dyDescent="0.25">
      <c r="A716" s="3">
        <f>SUM(DATE(2024,4,15),TIME(18,0,0))</f>
        <v>45397.75</v>
      </c>
      <c r="B716">
        <v>30.3</v>
      </c>
      <c r="C716">
        <v>6205</v>
      </c>
      <c r="D716" s="4">
        <v>9.7741935483870961</v>
      </c>
    </row>
    <row r="717" spans="1:4" x14ac:dyDescent="0.25">
      <c r="A717" s="3">
        <f>SUM(DATE(2024,4,15),TIME(19,0,0))</f>
        <v>45397.791666666664</v>
      </c>
      <c r="B717">
        <v>30.565000000000001</v>
      </c>
      <c r="C717">
        <v>4405</v>
      </c>
      <c r="D717" s="4">
        <v>9.8596774193548384</v>
      </c>
    </row>
    <row r="718" spans="1:4" x14ac:dyDescent="0.25">
      <c r="A718" s="3">
        <f>SUM(DATE(2024,4,15),TIME(20,0,0))</f>
        <v>45397.833333333336</v>
      </c>
      <c r="B718">
        <v>30.69</v>
      </c>
      <c r="C718">
        <v>6395</v>
      </c>
      <c r="D718" s="4">
        <v>9.9</v>
      </c>
    </row>
    <row r="719" spans="1:4" x14ac:dyDescent="0.25">
      <c r="A719" s="3">
        <f>SUM(DATE(2024,4,15),TIME(21,0,0))</f>
        <v>45397.875</v>
      </c>
      <c r="B719">
        <v>30.645</v>
      </c>
      <c r="C719">
        <v>8740</v>
      </c>
      <c r="D719" s="4">
        <v>9.8854838709677413</v>
      </c>
    </row>
    <row r="720" spans="1:4" x14ac:dyDescent="0.25">
      <c r="A720" s="3">
        <f>SUM(DATE(2024,4,15),TIME(22,0,0))</f>
        <v>45397.916666666664</v>
      </c>
      <c r="B720">
        <v>31.08</v>
      </c>
      <c r="C720">
        <v>9300</v>
      </c>
      <c r="D720" s="4">
        <v>10.025806451612903</v>
      </c>
    </row>
    <row r="721" spans="1:4" x14ac:dyDescent="0.25">
      <c r="A721" s="3">
        <f>SUM(DATE(2024,4,15),TIME(23,0,0))</f>
        <v>45397.958333333336</v>
      </c>
      <c r="B721">
        <v>31.4</v>
      </c>
      <c r="C721">
        <v>14410</v>
      </c>
      <c r="D721" s="4">
        <v>10.129032258064516</v>
      </c>
    </row>
    <row r="722" spans="1:4" x14ac:dyDescent="0.25">
      <c r="A722" s="3">
        <f>SUM(DATE(2024,4,16),TIME(14,0,0))</f>
        <v>45398.583333333336</v>
      </c>
      <c r="B722">
        <v>31.88</v>
      </c>
      <c r="C722">
        <v>5930</v>
      </c>
      <c r="D722" s="4">
        <v>10.283870967741935</v>
      </c>
    </row>
    <row r="723" spans="1:4" x14ac:dyDescent="0.25">
      <c r="A723" s="3">
        <f>SUM(DATE(2024,4,16),TIME(15,0,0))</f>
        <v>45398.625</v>
      </c>
      <c r="B723">
        <v>32.075000000000003</v>
      </c>
      <c r="C723">
        <v>4555</v>
      </c>
      <c r="D723" s="4">
        <v>10.346774193548388</v>
      </c>
    </row>
    <row r="724" spans="1:4" x14ac:dyDescent="0.25">
      <c r="A724" s="3">
        <f>SUM(DATE(2024,4,16),TIME(16,0,0))</f>
        <v>45398.666666666664</v>
      </c>
      <c r="B724">
        <v>32.96</v>
      </c>
      <c r="C724">
        <v>13065</v>
      </c>
      <c r="D724" s="4">
        <v>10.63225806451613</v>
      </c>
    </row>
    <row r="725" spans="1:4" x14ac:dyDescent="0.25">
      <c r="A725" s="3">
        <f>SUM(DATE(2024,4,16),TIME(17,0,0))</f>
        <v>45398.708333333336</v>
      </c>
      <c r="B725">
        <v>32.65</v>
      </c>
      <c r="C725">
        <v>10965</v>
      </c>
      <c r="D725" s="4">
        <v>10.532258064516128</v>
      </c>
    </row>
    <row r="726" spans="1:4" x14ac:dyDescent="0.25">
      <c r="A726" s="3">
        <f>SUM(DATE(2024,4,16),TIME(18,0,0))</f>
        <v>45398.75</v>
      </c>
      <c r="B726">
        <v>32.590000000000003</v>
      </c>
      <c r="C726">
        <v>8165</v>
      </c>
      <c r="D726" s="4">
        <v>10.512903225806452</v>
      </c>
    </row>
    <row r="727" spans="1:4" x14ac:dyDescent="0.25">
      <c r="A727" s="3">
        <f>SUM(DATE(2024,4,16),TIME(19,0,0))</f>
        <v>45398.791666666664</v>
      </c>
      <c r="B727">
        <v>33.090000000000003</v>
      </c>
      <c r="C727">
        <v>6450</v>
      </c>
      <c r="D727" s="4">
        <v>10.674193548387098</v>
      </c>
    </row>
    <row r="728" spans="1:4" x14ac:dyDescent="0.25">
      <c r="A728" s="3">
        <f>SUM(DATE(2024,4,16),TIME(20,0,0))</f>
        <v>45398.833333333336</v>
      </c>
      <c r="B728">
        <v>33.299999999999997</v>
      </c>
      <c r="C728">
        <v>9855</v>
      </c>
      <c r="D728" s="4">
        <v>10.741935483870966</v>
      </c>
    </row>
    <row r="729" spans="1:4" x14ac:dyDescent="0.25">
      <c r="A729" s="3">
        <f>SUM(DATE(2024,4,16),TIME(21,0,0))</f>
        <v>45398.875</v>
      </c>
      <c r="B729">
        <v>32.984999999999999</v>
      </c>
      <c r="C729">
        <v>7675</v>
      </c>
      <c r="D729" s="4">
        <v>10.640322580645162</v>
      </c>
    </row>
    <row r="730" spans="1:4" x14ac:dyDescent="0.25">
      <c r="A730" s="3">
        <f>SUM(DATE(2024,4,16),TIME(22,0,0))</f>
        <v>45398.916666666664</v>
      </c>
      <c r="B730">
        <v>33.42</v>
      </c>
      <c r="C730">
        <v>10760</v>
      </c>
      <c r="D730" s="4">
        <v>10.780645161290323</v>
      </c>
    </row>
    <row r="731" spans="1:4" x14ac:dyDescent="0.25">
      <c r="A731" s="3">
        <f>SUM(DATE(2024,4,16),TIME(23,0,0))</f>
        <v>45398.958333333336</v>
      </c>
      <c r="B731">
        <v>33.5</v>
      </c>
      <c r="C731">
        <v>14035</v>
      </c>
      <c r="D731" s="4">
        <v>10.806451612903226</v>
      </c>
    </row>
    <row r="732" spans="1:4" x14ac:dyDescent="0.25">
      <c r="A732" s="3">
        <f>SUM(DATE(2024,4,17),TIME(14,0,0))</f>
        <v>45399.583333333336</v>
      </c>
      <c r="B732">
        <v>33.15</v>
      </c>
      <c r="C732">
        <v>7490</v>
      </c>
      <c r="D732" s="4">
        <v>10.693548387096774</v>
      </c>
    </row>
    <row r="733" spans="1:4" x14ac:dyDescent="0.25">
      <c r="A733" s="3">
        <f>SUM(DATE(2024,4,17),TIME(15,0,0))</f>
        <v>45399.625</v>
      </c>
      <c r="B733">
        <v>32.704999999999998</v>
      </c>
      <c r="C733">
        <v>9275</v>
      </c>
      <c r="D733" s="4">
        <v>10.549999999999999</v>
      </c>
    </row>
    <row r="734" spans="1:4" x14ac:dyDescent="0.25">
      <c r="A734" s="3">
        <f>SUM(DATE(2024,4,17),TIME(16,0,0))</f>
        <v>45399.666666666664</v>
      </c>
      <c r="B734">
        <v>32.270000000000003</v>
      </c>
      <c r="C734">
        <v>9845</v>
      </c>
      <c r="D734" s="4">
        <v>10.409677419354839</v>
      </c>
    </row>
    <row r="735" spans="1:4" x14ac:dyDescent="0.25">
      <c r="A735" s="3">
        <f>SUM(DATE(2024,4,17),TIME(17,0,0))</f>
        <v>45399.708333333336</v>
      </c>
      <c r="B735">
        <v>32.700000000000003</v>
      </c>
      <c r="C735">
        <v>6915</v>
      </c>
      <c r="D735" s="4">
        <v>10.548387096774194</v>
      </c>
    </row>
    <row r="736" spans="1:4" x14ac:dyDescent="0.25">
      <c r="A736" s="3">
        <f>SUM(DATE(2024,4,17),TIME(18,0,0))</f>
        <v>45399.75</v>
      </c>
      <c r="B736">
        <v>32.365000000000002</v>
      </c>
      <c r="C736">
        <v>4225</v>
      </c>
      <c r="D736" s="4">
        <v>10.440322580645162</v>
      </c>
    </row>
    <row r="737" spans="1:4" x14ac:dyDescent="0.25">
      <c r="A737" s="3">
        <f>SUM(DATE(2024,4,17),TIME(19,0,0))</f>
        <v>45399.791666666664</v>
      </c>
      <c r="B737">
        <v>32.04</v>
      </c>
      <c r="C737">
        <v>7245</v>
      </c>
      <c r="D737" s="4">
        <v>10.335483870967741</v>
      </c>
    </row>
    <row r="738" spans="1:4" x14ac:dyDescent="0.25">
      <c r="A738" s="3">
        <f>SUM(DATE(2024,4,17),TIME(20,0,0))</f>
        <v>45399.833333333336</v>
      </c>
      <c r="B738">
        <v>31.75</v>
      </c>
      <c r="C738">
        <v>7585</v>
      </c>
      <c r="D738" s="4">
        <v>10.241935483870968</v>
      </c>
    </row>
    <row r="739" spans="1:4" x14ac:dyDescent="0.25">
      <c r="A739" s="3">
        <f>SUM(DATE(2024,4,17),TIME(21,0,0))</f>
        <v>45399.875</v>
      </c>
      <c r="B739">
        <v>31.2</v>
      </c>
      <c r="C739">
        <v>7140</v>
      </c>
      <c r="D739" s="4">
        <v>10.064516129032258</v>
      </c>
    </row>
    <row r="740" spans="1:4" x14ac:dyDescent="0.25">
      <c r="A740" s="3">
        <f>SUM(DATE(2024,4,17),TIME(22,0,0))</f>
        <v>45399.916666666664</v>
      </c>
      <c r="B740">
        <v>31.33</v>
      </c>
      <c r="C740">
        <v>7290</v>
      </c>
      <c r="D740" s="4">
        <v>10.106451612903225</v>
      </c>
    </row>
    <row r="741" spans="1:4" x14ac:dyDescent="0.25">
      <c r="A741" s="3">
        <f>SUM(DATE(2024,4,17),TIME(23,0,0))</f>
        <v>45399.958333333336</v>
      </c>
      <c r="B741">
        <v>31.9</v>
      </c>
      <c r="C741">
        <v>14400</v>
      </c>
      <c r="D741" s="4">
        <v>10.29032258064516</v>
      </c>
    </row>
    <row r="742" spans="1:4" x14ac:dyDescent="0.25">
      <c r="A742" s="3">
        <f>SUM(DATE(2024,4,18),TIME(14,0,0))</f>
        <v>45400.583333333336</v>
      </c>
      <c r="B742">
        <v>30.45</v>
      </c>
      <c r="C742">
        <v>5475</v>
      </c>
      <c r="D742" s="4">
        <v>9.82258064516129</v>
      </c>
    </row>
    <row r="743" spans="1:4" x14ac:dyDescent="0.25">
      <c r="A743" s="3">
        <f>SUM(DATE(2024,4,18),TIME(15,0,0))</f>
        <v>45400.625</v>
      </c>
      <c r="B743">
        <v>30.734999999999999</v>
      </c>
      <c r="C743">
        <v>5950</v>
      </c>
      <c r="D743" s="4">
        <v>9.9145161290322577</v>
      </c>
    </row>
    <row r="744" spans="1:4" x14ac:dyDescent="0.25">
      <c r="A744" s="3">
        <f>SUM(DATE(2024,4,18),TIME(16,0,0))</f>
        <v>45400.666666666664</v>
      </c>
      <c r="B744">
        <v>30.925000000000001</v>
      </c>
      <c r="C744">
        <v>6960</v>
      </c>
      <c r="D744" s="4">
        <v>9.9758064516129039</v>
      </c>
    </row>
    <row r="745" spans="1:4" x14ac:dyDescent="0.25">
      <c r="A745" s="3">
        <f>SUM(DATE(2024,4,18),TIME(17,0,0))</f>
        <v>45400.708333333336</v>
      </c>
      <c r="B745">
        <v>31.454999999999998</v>
      </c>
      <c r="C745">
        <v>12955</v>
      </c>
      <c r="D745" s="4">
        <v>10.146774193548387</v>
      </c>
    </row>
    <row r="746" spans="1:4" x14ac:dyDescent="0.25">
      <c r="A746" s="3">
        <f>SUM(DATE(2024,4,18),TIME(18,0,0))</f>
        <v>45400.75</v>
      </c>
      <c r="B746">
        <v>31.914999999999999</v>
      </c>
      <c r="C746">
        <v>6385</v>
      </c>
      <c r="D746" s="4">
        <v>10.29516129032258</v>
      </c>
    </row>
    <row r="747" spans="1:4" x14ac:dyDescent="0.25">
      <c r="A747" s="3">
        <f>SUM(DATE(2024,4,18),TIME(19,0,0))</f>
        <v>45400.791666666664</v>
      </c>
      <c r="B747">
        <v>31.68</v>
      </c>
      <c r="C747">
        <v>4330</v>
      </c>
      <c r="D747" s="4">
        <v>10.219354838709677</v>
      </c>
    </row>
    <row r="748" spans="1:4" x14ac:dyDescent="0.25">
      <c r="A748" s="3">
        <f>SUM(DATE(2024,4,18),TIME(20,0,0))</f>
        <v>45400.833333333336</v>
      </c>
      <c r="B748">
        <v>32.44</v>
      </c>
      <c r="C748">
        <v>8050</v>
      </c>
      <c r="D748" s="4">
        <v>10.464516129032257</v>
      </c>
    </row>
    <row r="749" spans="1:4" x14ac:dyDescent="0.25">
      <c r="A749" s="3">
        <f>SUM(DATE(2024,4,18),TIME(21,0,0))</f>
        <v>45400.875</v>
      </c>
      <c r="B749">
        <v>32.4</v>
      </c>
      <c r="C749">
        <v>7205</v>
      </c>
      <c r="D749" s="4">
        <v>10.451612903225806</v>
      </c>
    </row>
    <row r="750" spans="1:4" x14ac:dyDescent="0.25">
      <c r="A750" s="3">
        <f>SUM(DATE(2024,4,18),TIME(22,0,0))</f>
        <v>45400.916666666664</v>
      </c>
      <c r="B750">
        <v>32.4</v>
      </c>
      <c r="C750">
        <v>6045</v>
      </c>
      <c r="D750" s="4">
        <v>10.451612903225806</v>
      </c>
    </row>
    <row r="751" spans="1:4" x14ac:dyDescent="0.25">
      <c r="A751" s="3">
        <f>SUM(DATE(2024,4,18),TIME(23,0,0))</f>
        <v>45400.958333333336</v>
      </c>
      <c r="B751">
        <v>32.134999999999998</v>
      </c>
      <c r="C751">
        <v>12295</v>
      </c>
      <c r="D751" s="4">
        <v>10.366129032258064</v>
      </c>
    </row>
    <row r="752" spans="1:4" x14ac:dyDescent="0.25">
      <c r="A752" s="3">
        <f>SUM(DATE(2024,4,19),TIME(14,0,0))</f>
        <v>45401.583333333336</v>
      </c>
      <c r="B752">
        <v>32.840000000000003</v>
      </c>
      <c r="C752">
        <v>7350</v>
      </c>
      <c r="D752" s="4">
        <v>10.593548387096774</v>
      </c>
    </row>
    <row r="753" spans="1:4" x14ac:dyDescent="0.25">
      <c r="A753" s="3">
        <f>SUM(DATE(2024,4,19),TIME(15,0,0))</f>
        <v>45401.625</v>
      </c>
      <c r="B753">
        <v>32.299999999999997</v>
      </c>
      <c r="C753">
        <v>7800</v>
      </c>
      <c r="D753" s="4">
        <v>10.419354838709676</v>
      </c>
    </row>
    <row r="754" spans="1:4" x14ac:dyDescent="0.25">
      <c r="A754" s="3">
        <f>SUM(DATE(2024,4,19),TIME(16,0,0))</f>
        <v>45401.666666666664</v>
      </c>
      <c r="B754">
        <v>31.315000000000001</v>
      </c>
      <c r="C754">
        <v>10570</v>
      </c>
      <c r="D754" s="4">
        <v>10.101612903225806</v>
      </c>
    </row>
    <row r="755" spans="1:4" x14ac:dyDescent="0.25">
      <c r="A755" s="3">
        <f>SUM(DATE(2024,4,19),TIME(17,0,0))</f>
        <v>45401.708333333336</v>
      </c>
      <c r="B755">
        <v>31.43</v>
      </c>
      <c r="C755">
        <v>3865</v>
      </c>
      <c r="D755" s="4">
        <v>10.138709677419355</v>
      </c>
    </row>
    <row r="756" spans="1:4" x14ac:dyDescent="0.25">
      <c r="A756" s="3">
        <f>SUM(DATE(2024,4,19),TIME(18,0,0))</f>
        <v>45401.75</v>
      </c>
      <c r="B756">
        <v>31.75</v>
      </c>
      <c r="C756">
        <v>4910</v>
      </c>
      <c r="D756" s="4">
        <v>10.241935483870968</v>
      </c>
    </row>
    <row r="757" spans="1:4" x14ac:dyDescent="0.25">
      <c r="A757" s="3">
        <f>SUM(DATE(2024,4,19),TIME(19,0,0))</f>
        <v>45401.791666666664</v>
      </c>
      <c r="B757">
        <v>31.8</v>
      </c>
      <c r="C757">
        <v>3965</v>
      </c>
      <c r="D757" s="4">
        <v>10.258064516129032</v>
      </c>
    </row>
    <row r="758" spans="1:4" x14ac:dyDescent="0.25">
      <c r="A758" s="3">
        <f>SUM(DATE(2024,4,19),TIME(20,0,0))</f>
        <v>45401.833333333336</v>
      </c>
      <c r="B758">
        <v>31</v>
      </c>
      <c r="C758">
        <v>8345</v>
      </c>
      <c r="D758" s="4">
        <v>10</v>
      </c>
    </row>
    <row r="759" spans="1:4" x14ac:dyDescent="0.25">
      <c r="A759" s="3">
        <f>SUM(DATE(2024,4,19),TIME(21,0,0))</f>
        <v>45401.875</v>
      </c>
      <c r="B759">
        <v>31.254999999999999</v>
      </c>
      <c r="C759">
        <v>7465</v>
      </c>
      <c r="D759" s="4">
        <v>10.082258064516129</v>
      </c>
    </row>
    <row r="760" spans="1:4" x14ac:dyDescent="0.25">
      <c r="A760" s="3">
        <f>SUM(DATE(2024,4,19),TIME(22,0,0))</f>
        <v>45401.916666666664</v>
      </c>
      <c r="B760">
        <v>30.98</v>
      </c>
      <c r="C760">
        <v>7385</v>
      </c>
      <c r="D760" s="4">
        <v>9.9935483870967747</v>
      </c>
    </row>
    <row r="761" spans="1:4" x14ac:dyDescent="0.25">
      <c r="A761" s="3">
        <f>SUM(DATE(2024,4,19),TIME(23,0,0))</f>
        <v>45401.958333333336</v>
      </c>
      <c r="B761">
        <v>30.695</v>
      </c>
      <c r="C761">
        <v>13070</v>
      </c>
      <c r="D761" s="4">
        <v>9.9016129032258071</v>
      </c>
    </row>
    <row r="762" spans="1:4" x14ac:dyDescent="0.25">
      <c r="A762" s="3">
        <f>SUM(DATE(2024,4,22),TIME(14,0,0))</f>
        <v>45404.583333333336</v>
      </c>
      <c r="B762">
        <v>29.844999999999999</v>
      </c>
      <c r="C762">
        <v>5325</v>
      </c>
      <c r="D762" s="4">
        <v>9.6274193548387093</v>
      </c>
    </row>
    <row r="763" spans="1:4" x14ac:dyDescent="0.25">
      <c r="A763" s="3">
        <f>SUM(DATE(2024,4,22),TIME(15,0,0))</f>
        <v>45404.625</v>
      </c>
      <c r="B763">
        <v>30.074999999999999</v>
      </c>
      <c r="C763">
        <v>5845</v>
      </c>
      <c r="D763" s="4">
        <v>9.7016129032258061</v>
      </c>
    </row>
    <row r="764" spans="1:4" x14ac:dyDescent="0.25">
      <c r="A764" s="3">
        <f>SUM(DATE(2024,4,22),TIME(16,0,0))</f>
        <v>45404.666666666664</v>
      </c>
      <c r="B764">
        <v>29.835000000000001</v>
      </c>
      <c r="C764">
        <v>4610</v>
      </c>
      <c r="D764" s="4">
        <v>9.6241935483870975</v>
      </c>
    </row>
    <row r="765" spans="1:4" x14ac:dyDescent="0.25">
      <c r="A765" s="3">
        <f>SUM(DATE(2024,4,22),TIME(17,0,0))</f>
        <v>45404.708333333336</v>
      </c>
      <c r="B765">
        <v>30.2</v>
      </c>
      <c r="C765">
        <v>6315</v>
      </c>
      <c r="D765" s="4">
        <v>9.741935483870968</v>
      </c>
    </row>
    <row r="766" spans="1:4" x14ac:dyDescent="0.25">
      <c r="A766" s="3">
        <f>SUM(DATE(2024,4,22),TIME(18,0,0))</f>
        <v>45404.75</v>
      </c>
      <c r="B766">
        <v>30.2</v>
      </c>
      <c r="C766">
        <v>4140</v>
      </c>
      <c r="D766" s="4">
        <v>9.741935483870968</v>
      </c>
    </row>
    <row r="767" spans="1:4" x14ac:dyDescent="0.25">
      <c r="A767" s="3">
        <f>SUM(DATE(2024,4,22),TIME(19,0,0))</f>
        <v>45404.791666666664</v>
      </c>
      <c r="B767">
        <v>30.11</v>
      </c>
      <c r="C767">
        <v>3180</v>
      </c>
      <c r="D767" s="4">
        <v>9.7129032258064516</v>
      </c>
    </row>
    <row r="768" spans="1:4" x14ac:dyDescent="0.25">
      <c r="A768" s="3">
        <f>SUM(DATE(2024,4,22),TIME(20,0,0))</f>
        <v>45404.833333333336</v>
      </c>
      <c r="B768">
        <v>29.774999999999999</v>
      </c>
      <c r="C768">
        <v>5520</v>
      </c>
      <c r="D768" s="4">
        <v>9.6048387096774182</v>
      </c>
    </row>
    <row r="769" spans="1:4" x14ac:dyDescent="0.25">
      <c r="A769" s="3">
        <f>SUM(DATE(2024,4,22),TIME(21,0,0))</f>
        <v>45404.875</v>
      </c>
      <c r="B769">
        <v>29.565000000000001</v>
      </c>
      <c r="C769">
        <v>6450</v>
      </c>
      <c r="D769" s="4">
        <v>9.5370967741935484</v>
      </c>
    </row>
    <row r="770" spans="1:4" x14ac:dyDescent="0.25">
      <c r="A770" s="3">
        <f>SUM(DATE(2024,4,22),TIME(22,0,0))</f>
        <v>45404.916666666664</v>
      </c>
      <c r="B770">
        <v>29.555</v>
      </c>
      <c r="C770">
        <v>5110</v>
      </c>
      <c r="D770" s="4">
        <v>9.5338709677419349</v>
      </c>
    </row>
    <row r="771" spans="1:4" x14ac:dyDescent="0.25">
      <c r="A771" s="3">
        <f>SUM(DATE(2024,4,22),TIME(23,0,0))</f>
        <v>45404.958333333336</v>
      </c>
      <c r="B771">
        <v>29.074999999999999</v>
      </c>
      <c r="C771">
        <v>13105</v>
      </c>
      <c r="D771" s="4">
        <v>9.379032258064516</v>
      </c>
    </row>
    <row r="772" spans="1:4" x14ac:dyDescent="0.25">
      <c r="A772" s="3">
        <f>SUM(DATE(2024,4,23),TIME(14,0,0))</f>
        <v>45405.583333333336</v>
      </c>
      <c r="B772">
        <v>28.945</v>
      </c>
      <c r="C772">
        <v>4025</v>
      </c>
      <c r="D772" s="4">
        <v>9.3370967741935473</v>
      </c>
    </row>
    <row r="773" spans="1:4" x14ac:dyDescent="0.25">
      <c r="A773" s="3">
        <f>SUM(DATE(2024,4,23),TIME(15,0,0))</f>
        <v>45405.625</v>
      </c>
      <c r="B773">
        <v>29.3</v>
      </c>
      <c r="C773">
        <v>5795</v>
      </c>
      <c r="D773" s="4">
        <v>9.4516129032258061</v>
      </c>
    </row>
    <row r="774" spans="1:4" x14ac:dyDescent="0.25">
      <c r="A774" s="3">
        <f>SUM(DATE(2024,4,23),TIME(16,0,0))</f>
        <v>45405.666666666664</v>
      </c>
      <c r="B774">
        <v>29.42</v>
      </c>
      <c r="C774">
        <v>6245</v>
      </c>
      <c r="D774" s="4">
        <v>9.4903225806451612</v>
      </c>
    </row>
    <row r="775" spans="1:4" x14ac:dyDescent="0.25">
      <c r="A775" s="3">
        <f>SUM(DATE(2024,4,23),TIME(17,0,0))</f>
        <v>45405.708333333336</v>
      </c>
      <c r="B775">
        <v>29.65</v>
      </c>
      <c r="C775">
        <v>10505</v>
      </c>
      <c r="D775" s="4">
        <v>9.564516129032258</v>
      </c>
    </row>
    <row r="776" spans="1:4" x14ac:dyDescent="0.25">
      <c r="A776" s="3">
        <f>SUM(DATE(2024,4,23),TIME(18,0,0))</f>
        <v>45405.75</v>
      </c>
      <c r="B776">
        <v>29.29</v>
      </c>
      <c r="C776">
        <v>3900</v>
      </c>
      <c r="D776" s="4">
        <v>9.4483870967741925</v>
      </c>
    </row>
    <row r="777" spans="1:4" x14ac:dyDescent="0.25">
      <c r="A777" s="3">
        <f>SUM(DATE(2024,4,23),TIME(19,0,0))</f>
        <v>45405.791666666664</v>
      </c>
      <c r="B777">
        <v>28.914999999999999</v>
      </c>
      <c r="C777">
        <v>4765</v>
      </c>
      <c r="D777" s="4">
        <v>9.3274193548387085</v>
      </c>
    </row>
    <row r="778" spans="1:4" x14ac:dyDescent="0.25">
      <c r="A778" s="3">
        <f>SUM(DATE(2024,4,23),TIME(20,0,0))</f>
        <v>45405.833333333336</v>
      </c>
      <c r="B778">
        <v>28.65</v>
      </c>
      <c r="C778">
        <v>5470</v>
      </c>
      <c r="D778" s="4">
        <v>9.2419354838709662</v>
      </c>
    </row>
    <row r="779" spans="1:4" x14ac:dyDescent="0.25">
      <c r="A779" s="3">
        <f>SUM(DATE(2024,4,23),TIME(21,0,0))</f>
        <v>45405.875</v>
      </c>
      <c r="B779">
        <v>28.84</v>
      </c>
      <c r="C779">
        <v>5005</v>
      </c>
      <c r="D779" s="4">
        <v>9.3032258064516125</v>
      </c>
    </row>
    <row r="780" spans="1:4" x14ac:dyDescent="0.25">
      <c r="A780" s="3">
        <f>SUM(DATE(2024,4,23),TIME(22,0,0))</f>
        <v>45405.916666666664</v>
      </c>
      <c r="B780">
        <v>28.605</v>
      </c>
      <c r="C780">
        <v>8125</v>
      </c>
      <c r="D780" s="4">
        <v>9.2274193548387089</v>
      </c>
    </row>
    <row r="781" spans="1:4" x14ac:dyDescent="0.25">
      <c r="A781" s="3">
        <f>SUM(DATE(2024,4,23),TIME(23,0,0))</f>
        <v>45405.958333333336</v>
      </c>
      <c r="B781">
        <v>28.59</v>
      </c>
      <c r="C781">
        <v>10515</v>
      </c>
      <c r="D781" s="4">
        <v>9.2225806451612904</v>
      </c>
    </row>
    <row r="782" spans="1:4" x14ac:dyDescent="0.25">
      <c r="A782" s="3">
        <f>SUM(DATE(2024,4,24),TIME(14,0,0))</f>
        <v>45406.583333333336</v>
      </c>
      <c r="B782">
        <v>28.91</v>
      </c>
      <c r="C782">
        <v>2820</v>
      </c>
      <c r="D782" s="4">
        <v>9.3258064516129036</v>
      </c>
    </row>
    <row r="783" spans="1:4" x14ac:dyDescent="0.25">
      <c r="A783" s="3">
        <f>SUM(DATE(2024,4,24),TIME(15,0,0))</f>
        <v>45406.625</v>
      </c>
      <c r="B783">
        <v>28.934999999999999</v>
      </c>
      <c r="C783">
        <v>6605</v>
      </c>
      <c r="D783" s="4">
        <v>9.3338709677419356</v>
      </c>
    </row>
    <row r="784" spans="1:4" x14ac:dyDescent="0.25">
      <c r="A784" s="3">
        <f>SUM(DATE(2024,4,24),TIME(16,0,0))</f>
        <v>45406.666666666664</v>
      </c>
      <c r="B784">
        <v>28.954999999999998</v>
      </c>
      <c r="C784">
        <v>4705</v>
      </c>
      <c r="D784" s="4">
        <v>9.3403225806451609</v>
      </c>
    </row>
    <row r="785" spans="1:4" x14ac:dyDescent="0.25">
      <c r="A785" s="3">
        <f>SUM(DATE(2024,4,24),TIME(17,0,0))</f>
        <v>45406.708333333336</v>
      </c>
      <c r="B785">
        <v>28.37</v>
      </c>
      <c r="C785">
        <v>6740</v>
      </c>
      <c r="D785" s="4">
        <v>9.1516129032258071</v>
      </c>
    </row>
    <row r="786" spans="1:4" x14ac:dyDescent="0.25">
      <c r="A786" s="3">
        <f>SUM(DATE(2024,4,24),TIME(18,0,0))</f>
        <v>45406.75</v>
      </c>
      <c r="B786">
        <v>28.28</v>
      </c>
      <c r="C786">
        <v>3210</v>
      </c>
      <c r="D786" s="4">
        <v>9.1225806451612907</v>
      </c>
    </row>
    <row r="787" spans="1:4" x14ac:dyDescent="0.25">
      <c r="A787" s="3">
        <f>SUM(DATE(2024,4,24),TIME(19,0,0))</f>
        <v>45406.791666666664</v>
      </c>
      <c r="B787">
        <v>28.39</v>
      </c>
      <c r="C787">
        <v>3435</v>
      </c>
      <c r="D787" s="4">
        <v>9.1580645161290324</v>
      </c>
    </row>
    <row r="788" spans="1:4" x14ac:dyDescent="0.25">
      <c r="A788" s="3">
        <f>SUM(DATE(2024,4,24),TIME(20,0,0))</f>
        <v>45406.833333333336</v>
      </c>
      <c r="B788">
        <v>28.45</v>
      </c>
      <c r="C788">
        <v>2765</v>
      </c>
      <c r="D788" s="4">
        <v>9.17741935483871</v>
      </c>
    </row>
    <row r="789" spans="1:4" x14ac:dyDescent="0.25">
      <c r="A789" s="3">
        <f>SUM(DATE(2024,4,24),TIME(21,0,0))</f>
        <v>45406.875</v>
      </c>
      <c r="B789">
        <v>28.765000000000001</v>
      </c>
      <c r="C789">
        <v>4715</v>
      </c>
      <c r="D789" s="4">
        <v>9.2790322580645164</v>
      </c>
    </row>
    <row r="790" spans="1:4" x14ac:dyDescent="0.25">
      <c r="A790" s="3">
        <f>SUM(DATE(2024,4,24),TIME(22,0,0))</f>
        <v>45406.916666666664</v>
      </c>
      <c r="B790">
        <v>29.05</v>
      </c>
      <c r="C790">
        <v>5500</v>
      </c>
      <c r="D790" s="4">
        <v>9.370967741935484</v>
      </c>
    </row>
    <row r="791" spans="1:4" x14ac:dyDescent="0.25">
      <c r="A791" s="3">
        <f>SUM(DATE(2024,4,24),TIME(23,0,0))</f>
        <v>45406.958333333336</v>
      </c>
      <c r="B791">
        <v>29.13</v>
      </c>
      <c r="C791">
        <v>12190</v>
      </c>
      <c r="D791" s="4">
        <v>9.3967741935483868</v>
      </c>
    </row>
    <row r="792" spans="1:4" x14ac:dyDescent="0.25">
      <c r="A792" s="3">
        <f>SUM(DATE(2024,4,25),TIME(14,0,0))</f>
        <v>45407.583333333336</v>
      </c>
      <c r="B792">
        <v>29.61</v>
      </c>
      <c r="C792">
        <v>4590</v>
      </c>
      <c r="D792" s="4">
        <v>9.5516129032258057</v>
      </c>
    </row>
    <row r="793" spans="1:4" x14ac:dyDescent="0.25">
      <c r="A793" s="3">
        <f>SUM(DATE(2024,4,25),TIME(15,0,0))</f>
        <v>45407.625</v>
      </c>
      <c r="B793">
        <v>29.74</v>
      </c>
      <c r="C793">
        <v>5465</v>
      </c>
      <c r="D793" s="4">
        <v>9.5935483870967726</v>
      </c>
    </row>
    <row r="794" spans="1:4" x14ac:dyDescent="0.25">
      <c r="A794" s="3">
        <f>SUM(DATE(2024,4,25),TIME(16,0,0))</f>
        <v>45407.666666666664</v>
      </c>
      <c r="B794">
        <v>29.56</v>
      </c>
      <c r="C794">
        <v>5545</v>
      </c>
      <c r="D794" s="4">
        <v>9.5354838709677416</v>
      </c>
    </row>
    <row r="795" spans="1:4" x14ac:dyDescent="0.25">
      <c r="A795" s="3">
        <f>SUM(DATE(2024,4,25),TIME(17,0,0))</f>
        <v>45407.708333333336</v>
      </c>
      <c r="B795">
        <v>29.5</v>
      </c>
      <c r="C795">
        <v>4200</v>
      </c>
      <c r="D795" s="4">
        <v>9.5161290322580641</v>
      </c>
    </row>
    <row r="796" spans="1:4" x14ac:dyDescent="0.25">
      <c r="A796" s="3">
        <f>SUM(DATE(2024,4,25),TIME(18,0,0))</f>
        <v>45407.75</v>
      </c>
      <c r="B796">
        <v>29.635000000000002</v>
      </c>
      <c r="C796">
        <v>2545</v>
      </c>
      <c r="D796" s="4">
        <v>9.5596774193548395</v>
      </c>
    </row>
    <row r="797" spans="1:4" x14ac:dyDescent="0.25">
      <c r="A797" s="3">
        <f>SUM(DATE(2024,4,25),TIME(19,0,0))</f>
        <v>45407.791666666664</v>
      </c>
      <c r="B797">
        <v>29.94</v>
      </c>
      <c r="C797">
        <v>5270</v>
      </c>
      <c r="D797" s="4">
        <v>9.6580645161290324</v>
      </c>
    </row>
    <row r="798" spans="1:4" x14ac:dyDescent="0.25">
      <c r="A798" s="3">
        <f>SUM(DATE(2024,4,25),TIME(20,0,0))</f>
        <v>45407.833333333336</v>
      </c>
      <c r="B798">
        <v>30.75</v>
      </c>
      <c r="C798">
        <v>8845</v>
      </c>
      <c r="D798" s="4">
        <v>9.9193548387096779</v>
      </c>
    </row>
    <row r="799" spans="1:4" x14ac:dyDescent="0.25">
      <c r="A799" s="3">
        <f>SUM(DATE(2024,4,25),TIME(21,0,0))</f>
        <v>45407.875</v>
      </c>
      <c r="B799">
        <v>30.44</v>
      </c>
      <c r="C799">
        <v>7910</v>
      </c>
      <c r="D799" s="4">
        <v>9.8193548387096783</v>
      </c>
    </row>
    <row r="800" spans="1:4" x14ac:dyDescent="0.25">
      <c r="A800" s="3">
        <f>SUM(DATE(2024,4,25),TIME(22,0,0))</f>
        <v>45407.916666666664</v>
      </c>
      <c r="B800">
        <v>29.87</v>
      </c>
      <c r="C800">
        <v>8345</v>
      </c>
      <c r="D800" s="4">
        <v>9.6354838709677413</v>
      </c>
    </row>
    <row r="801" spans="1:4" x14ac:dyDescent="0.25">
      <c r="A801" s="3">
        <f>SUM(DATE(2024,4,25),TIME(23,0,0))</f>
        <v>45407.958333333336</v>
      </c>
      <c r="B801">
        <v>29.9</v>
      </c>
      <c r="C801">
        <v>10855</v>
      </c>
      <c r="D801" s="4">
        <v>9.6451612903225801</v>
      </c>
    </row>
    <row r="802" spans="1:4" x14ac:dyDescent="0.25">
      <c r="A802" s="3">
        <f>SUM(DATE(2024,4,26),TIME(14,0,0))</f>
        <v>45408.583333333336</v>
      </c>
      <c r="B802">
        <v>30.13</v>
      </c>
      <c r="C802">
        <v>2650</v>
      </c>
      <c r="D802" s="4">
        <v>9.7193548387096769</v>
      </c>
    </row>
    <row r="803" spans="1:4" x14ac:dyDescent="0.25">
      <c r="A803" s="3">
        <f>SUM(DATE(2024,4,26),TIME(15,0,0))</f>
        <v>45408.625</v>
      </c>
      <c r="B803">
        <v>29.995000000000001</v>
      </c>
      <c r="C803">
        <v>2555</v>
      </c>
      <c r="D803" s="4">
        <v>9.6758064516129032</v>
      </c>
    </row>
    <row r="804" spans="1:4" x14ac:dyDescent="0.25">
      <c r="A804" s="3">
        <f>SUM(DATE(2024,4,26),TIME(16,0,0))</f>
        <v>45408.666666666664</v>
      </c>
      <c r="B804">
        <v>29.555</v>
      </c>
      <c r="C804">
        <v>5635</v>
      </c>
      <c r="D804" s="4">
        <v>9.5338709677419349</v>
      </c>
    </row>
    <row r="805" spans="1:4" x14ac:dyDescent="0.25">
      <c r="A805" s="3">
        <f>SUM(DATE(2024,4,26),TIME(17,0,0))</f>
        <v>45408.708333333336</v>
      </c>
      <c r="B805">
        <v>29.8</v>
      </c>
      <c r="C805">
        <v>4590</v>
      </c>
      <c r="D805" s="4">
        <v>9.612903225806452</v>
      </c>
    </row>
    <row r="806" spans="1:4" x14ac:dyDescent="0.25">
      <c r="A806" s="3">
        <f>SUM(DATE(2024,4,26),TIME(18,0,0))</f>
        <v>45408.75</v>
      </c>
      <c r="B806">
        <v>29.215</v>
      </c>
      <c r="C806">
        <v>4330</v>
      </c>
      <c r="D806" s="4">
        <v>9.4241935483870964</v>
      </c>
    </row>
    <row r="807" spans="1:4" x14ac:dyDescent="0.25">
      <c r="A807" s="3">
        <f>SUM(DATE(2024,4,26),TIME(19,0,0))</f>
        <v>45408.791666666664</v>
      </c>
      <c r="B807">
        <v>29.64</v>
      </c>
      <c r="C807">
        <v>2960</v>
      </c>
      <c r="D807" s="4">
        <v>9.5612903225806445</v>
      </c>
    </row>
    <row r="808" spans="1:4" x14ac:dyDescent="0.25">
      <c r="A808" s="3">
        <f>SUM(DATE(2024,4,26),TIME(20,0,0))</f>
        <v>45408.833333333336</v>
      </c>
      <c r="B808">
        <v>29.155000000000001</v>
      </c>
      <c r="C808">
        <v>6000</v>
      </c>
      <c r="D808" s="4">
        <v>9.4048387096774189</v>
      </c>
    </row>
    <row r="809" spans="1:4" x14ac:dyDescent="0.25">
      <c r="A809" s="3">
        <f>SUM(DATE(2024,4,26),TIME(21,0,0))</f>
        <v>45408.875</v>
      </c>
      <c r="B809">
        <v>29</v>
      </c>
      <c r="C809">
        <v>5660</v>
      </c>
      <c r="D809" s="4">
        <v>9.3548387096774199</v>
      </c>
    </row>
    <row r="810" spans="1:4" x14ac:dyDescent="0.25">
      <c r="A810" s="3">
        <f>SUM(DATE(2024,4,26),TIME(22,0,0))</f>
        <v>45408.916666666664</v>
      </c>
      <c r="B810">
        <v>28.89</v>
      </c>
      <c r="C810">
        <v>4645</v>
      </c>
      <c r="D810" s="4">
        <v>9.3193548387096765</v>
      </c>
    </row>
    <row r="811" spans="1:4" x14ac:dyDescent="0.25">
      <c r="A811" s="3">
        <f>SUM(DATE(2024,4,26),TIME(23,0,0))</f>
        <v>45408.958333333336</v>
      </c>
      <c r="B811">
        <v>29.35</v>
      </c>
      <c r="C811">
        <v>9820</v>
      </c>
      <c r="D811" s="4">
        <v>9.4677419354838719</v>
      </c>
    </row>
    <row r="812" spans="1:4" x14ac:dyDescent="0.25">
      <c r="A812" s="3">
        <f>SUM(DATE(2024,4,29),TIME(14,0,0))</f>
        <v>45411.583333333336</v>
      </c>
      <c r="B812">
        <v>28.36</v>
      </c>
      <c r="C812">
        <v>1630</v>
      </c>
      <c r="D812" s="4">
        <v>9.1483870967741936</v>
      </c>
    </row>
    <row r="813" spans="1:4" x14ac:dyDescent="0.25">
      <c r="A813" s="3">
        <f>SUM(DATE(2024,4,29),TIME(15,0,0))</f>
        <v>45411.625</v>
      </c>
      <c r="B813">
        <v>28.33</v>
      </c>
      <c r="C813">
        <v>1775</v>
      </c>
      <c r="D813" s="4">
        <v>9.1387096774193548</v>
      </c>
    </row>
    <row r="814" spans="1:4" x14ac:dyDescent="0.25">
      <c r="A814" s="3">
        <f>SUM(DATE(2024,4,29),TIME(16,0,0))</f>
        <v>45411.666666666664</v>
      </c>
      <c r="B814">
        <v>28.25</v>
      </c>
      <c r="C814">
        <v>2050</v>
      </c>
      <c r="D814" s="4">
        <v>9.112903225806452</v>
      </c>
    </row>
    <row r="815" spans="1:4" x14ac:dyDescent="0.25">
      <c r="A815" s="3">
        <f>SUM(DATE(2024,4,29),TIME(17,0,0))</f>
        <v>45411.708333333336</v>
      </c>
      <c r="B815">
        <v>28.03</v>
      </c>
      <c r="C815">
        <v>1885</v>
      </c>
      <c r="D815" s="4">
        <v>9.0419354838709687</v>
      </c>
    </row>
    <row r="816" spans="1:4" x14ac:dyDescent="0.25">
      <c r="A816" s="3">
        <f>SUM(DATE(2024,4,29),TIME(18,0,0))</f>
        <v>45411.75</v>
      </c>
      <c r="B816">
        <v>28.125</v>
      </c>
      <c r="C816">
        <v>965</v>
      </c>
      <c r="D816" s="4">
        <v>9.07258064516129</v>
      </c>
    </row>
    <row r="817" spans="1:4" x14ac:dyDescent="0.25">
      <c r="A817" s="3">
        <f>SUM(DATE(2024,4,29),TIME(19,0,0))</f>
        <v>45411.791666666664</v>
      </c>
      <c r="B817">
        <v>28.145</v>
      </c>
      <c r="C817">
        <v>1275</v>
      </c>
      <c r="D817" s="4">
        <v>9.0790322580645153</v>
      </c>
    </row>
    <row r="818" spans="1:4" x14ac:dyDescent="0.25">
      <c r="A818" s="3">
        <f>SUM(DATE(2024,4,29),TIME(20,0,0))</f>
        <v>45411.833333333336</v>
      </c>
      <c r="B818">
        <v>28.094999999999999</v>
      </c>
      <c r="C818">
        <v>790</v>
      </c>
      <c r="D818" s="4">
        <v>9.0629032258064512</v>
      </c>
    </row>
    <row r="819" spans="1:4" x14ac:dyDescent="0.25">
      <c r="A819" s="3">
        <f>SUM(DATE(2024,4,29),TIME(21,0,0))</f>
        <v>45411.875</v>
      </c>
      <c r="B819">
        <v>27.92</v>
      </c>
      <c r="C819">
        <v>1755</v>
      </c>
      <c r="D819" s="4">
        <v>9.0064516129032253</v>
      </c>
    </row>
    <row r="820" spans="1:4" x14ac:dyDescent="0.25">
      <c r="A820" s="3">
        <f>SUM(DATE(2024,4,29),TIME(22,0,0))</f>
        <v>45411.916666666664</v>
      </c>
      <c r="B820">
        <v>27.975000000000001</v>
      </c>
      <c r="C820">
        <v>1745</v>
      </c>
      <c r="D820" s="4">
        <v>9.0241935483870961</v>
      </c>
    </row>
    <row r="821" spans="1:4" x14ac:dyDescent="0.25">
      <c r="A821" s="3">
        <f>SUM(DATE(2024,4,29),TIME(23,0,0))</f>
        <v>45411.958333333336</v>
      </c>
      <c r="B821">
        <v>28.15</v>
      </c>
      <c r="C821">
        <v>5090</v>
      </c>
      <c r="D821" s="4">
        <v>9.0806451612903221</v>
      </c>
    </row>
    <row r="822" spans="1:4" x14ac:dyDescent="0.25">
      <c r="A822" s="3">
        <f>SUM(DATE(2024,4,30),TIME(14,0,0))</f>
        <v>45412.583333333336</v>
      </c>
      <c r="B822">
        <v>28.07</v>
      </c>
      <c r="C822">
        <v>4040</v>
      </c>
      <c r="D822" s="4">
        <v>9.0548387096774192</v>
      </c>
    </row>
    <row r="823" spans="1:4" x14ac:dyDescent="0.25">
      <c r="A823" s="3">
        <f>SUM(DATE(2024,4,30),TIME(15,0,0))</f>
        <v>45412.625</v>
      </c>
      <c r="B823">
        <v>28.704999999999998</v>
      </c>
      <c r="C823">
        <v>6585</v>
      </c>
      <c r="D823" s="4">
        <v>9.259677419354837</v>
      </c>
    </row>
    <row r="824" spans="1:4" x14ac:dyDescent="0.25">
      <c r="A824" s="3">
        <f>SUM(DATE(2024,4,30),TIME(16,0,0))</f>
        <v>45412.666666666664</v>
      </c>
      <c r="B824">
        <v>29.02</v>
      </c>
      <c r="C824">
        <v>7300</v>
      </c>
      <c r="D824" s="4">
        <v>9.3612903225806452</v>
      </c>
    </row>
    <row r="825" spans="1:4" x14ac:dyDescent="0.25">
      <c r="A825" s="3">
        <f>SUM(DATE(2024,4,30),TIME(17,0,0))</f>
        <v>45412.708333333336</v>
      </c>
      <c r="B825">
        <v>29.215</v>
      </c>
      <c r="C825">
        <v>7855</v>
      </c>
      <c r="D825" s="4">
        <v>9.4241935483870964</v>
      </c>
    </row>
    <row r="826" spans="1:4" x14ac:dyDescent="0.25">
      <c r="A826" s="3">
        <f>SUM(DATE(2024,4,30),TIME(18,0,0))</f>
        <v>45412.75</v>
      </c>
      <c r="B826">
        <v>29.38</v>
      </c>
      <c r="C826">
        <v>3930</v>
      </c>
      <c r="D826" s="4">
        <v>9.4774193548387089</v>
      </c>
    </row>
    <row r="827" spans="1:4" x14ac:dyDescent="0.25">
      <c r="A827" s="3">
        <f>SUM(DATE(2024,4,30),TIME(19,0,0))</f>
        <v>45412.791666666664</v>
      </c>
      <c r="B827">
        <v>28.95</v>
      </c>
      <c r="C827">
        <v>4930</v>
      </c>
      <c r="D827" s="4">
        <v>9.3387096774193541</v>
      </c>
    </row>
    <row r="828" spans="1:4" x14ac:dyDescent="0.25">
      <c r="A828" s="3">
        <f>SUM(DATE(2024,4,30),TIME(20,0,0))</f>
        <v>45412.833333333336</v>
      </c>
      <c r="B828">
        <v>29.35</v>
      </c>
      <c r="C828">
        <v>6435</v>
      </c>
      <c r="D828" s="4">
        <v>9.4677419354838719</v>
      </c>
    </row>
    <row r="829" spans="1:4" x14ac:dyDescent="0.25">
      <c r="A829" s="3">
        <f>SUM(DATE(2024,4,30),TIME(21,0,0))</f>
        <v>45412.875</v>
      </c>
      <c r="B829">
        <v>29.2</v>
      </c>
      <c r="C829">
        <v>5310</v>
      </c>
      <c r="D829" s="4">
        <v>9.4193548387096762</v>
      </c>
    </row>
    <row r="830" spans="1:4" x14ac:dyDescent="0.25">
      <c r="A830" s="3">
        <f>SUM(DATE(2024,4,30),TIME(22,0,0))</f>
        <v>45412.916666666664</v>
      </c>
      <c r="B830">
        <v>28.95</v>
      </c>
      <c r="C830">
        <v>7215</v>
      </c>
      <c r="D830" s="4">
        <v>9.3387096774193541</v>
      </c>
    </row>
    <row r="831" spans="1:4" x14ac:dyDescent="0.25">
      <c r="A831" s="3">
        <f>SUM(DATE(2024,4,30),TIME(23,0,0))</f>
        <v>45412.958333333336</v>
      </c>
      <c r="B831">
        <v>29.375</v>
      </c>
      <c r="C831">
        <v>11410</v>
      </c>
      <c r="D831" s="4">
        <v>9.4758064516129021</v>
      </c>
    </row>
    <row r="832" spans="1:4" x14ac:dyDescent="0.25">
      <c r="A832" s="3">
        <f>SUM(DATE(2024,5,1),TIME(14,0,0))</f>
        <v>45413.583333333336</v>
      </c>
      <c r="B832">
        <v>29.15</v>
      </c>
      <c r="C832">
        <v>3175</v>
      </c>
      <c r="D832" s="4">
        <v>9.4032258064516121</v>
      </c>
    </row>
    <row r="833" spans="1:4" x14ac:dyDescent="0.25">
      <c r="A833" s="3">
        <f>SUM(DATE(2024,5,1),TIME(15,0,0))</f>
        <v>45413.625</v>
      </c>
      <c r="B833">
        <v>28.7</v>
      </c>
      <c r="C833">
        <v>3205</v>
      </c>
      <c r="D833" s="4">
        <v>9.258064516129032</v>
      </c>
    </row>
    <row r="834" spans="1:4" x14ac:dyDescent="0.25">
      <c r="A834" s="3">
        <f>SUM(DATE(2024,5,1),TIME(16,0,0))</f>
        <v>45413.666666666664</v>
      </c>
      <c r="B834">
        <v>28.56</v>
      </c>
      <c r="C834">
        <v>4965</v>
      </c>
      <c r="D834" s="4">
        <v>9.2129032258064516</v>
      </c>
    </row>
    <row r="835" spans="1:4" x14ac:dyDescent="0.25">
      <c r="A835" s="3">
        <f>SUM(DATE(2024,5,1),TIME(17,0,0))</f>
        <v>45413.708333333336</v>
      </c>
      <c r="B835">
        <v>28.684999999999999</v>
      </c>
      <c r="C835">
        <v>3370</v>
      </c>
      <c r="D835" s="4">
        <v>9.2532258064516117</v>
      </c>
    </row>
    <row r="836" spans="1:4" x14ac:dyDescent="0.25">
      <c r="A836" s="3">
        <f>SUM(DATE(2024,5,1),TIME(18,0,0))</f>
        <v>45413.75</v>
      </c>
      <c r="B836">
        <v>28.545000000000002</v>
      </c>
      <c r="C836">
        <v>4970</v>
      </c>
      <c r="D836" s="4">
        <v>9.2080645161290331</v>
      </c>
    </row>
    <row r="837" spans="1:4" x14ac:dyDescent="0.25">
      <c r="A837" s="3">
        <f>SUM(DATE(2024,5,1),TIME(19,0,0))</f>
        <v>45413.791666666664</v>
      </c>
      <c r="B837">
        <v>28.585000000000001</v>
      </c>
      <c r="C837">
        <v>1805</v>
      </c>
      <c r="D837" s="4">
        <v>9.2209677419354836</v>
      </c>
    </row>
    <row r="838" spans="1:4" x14ac:dyDescent="0.25">
      <c r="A838" s="3">
        <f>SUM(DATE(2024,5,1),TIME(20,0,0))</f>
        <v>45413.833333333336</v>
      </c>
      <c r="B838">
        <v>28.79</v>
      </c>
      <c r="C838">
        <v>2345</v>
      </c>
      <c r="D838" s="4">
        <v>9.2870967741935484</v>
      </c>
    </row>
    <row r="839" spans="1:4" x14ac:dyDescent="0.25">
      <c r="A839" s="3">
        <f>SUM(DATE(2024,5,1),TIME(21,0,0))</f>
        <v>45413.875</v>
      </c>
      <c r="B839">
        <v>28.75</v>
      </c>
      <c r="C839">
        <v>6275</v>
      </c>
      <c r="D839" s="4">
        <v>9.2741935483870961</v>
      </c>
    </row>
    <row r="840" spans="1:4" x14ac:dyDescent="0.25">
      <c r="A840" s="3">
        <f>SUM(DATE(2024,5,1),TIME(22,0,0))</f>
        <v>45413.916666666664</v>
      </c>
      <c r="B840">
        <v>28.715</v>
      </c>
      <c r="C840">
        <v>3825</v>
      </c>
      <c r="D840" s="4">
        <v>9.2629032258064505</v>
      </c>
    </row>
    <row r="841" spans="1:4" x14ac:dyDescent="0.25">
      <c r="A841" s="3">
        <f>SUM(DATE(2024,5,1),TIME(23,0,0))</f>
        <v>45413.958333333336</v>
      </c>
      <c r="B841">
        <v>28.91</v>
      </c>
      <c r="C841">
        <v>9790</v>
      </c>
      <c r="D841" s="4">
        <v>9.3258064516129036</v>
      </c>
    </row>
    <row r="842" spans="1:4" x14ac:dyDescent="0.25">
      <c r="A842" s="3">
        <f>SUM(DATE(2024,5,2),TIME(14,0,0))</f>
        <v>45414.583333333336</v>
      </c>
      <c r="B842">
        <v>28.815000000000001</v>
      </c>
      <c r="C842">
        <v>2850</v>
      </c>
      <c r="D842" s="4">
        <v>9.2951612903225804</v>
      </c>
    </row>
    <row r="843" spans="1:4" x14ac:dyDescent="0.25">
      <c r="A843" s="3">
        <f>SUM(DATE(2024,5,2),TIME(15,0,0))</f>
        <v>45414.625</v>
      </c>
      <c r="B843">
        <v>29.6</v>
      </c>
      <c r="C843">
        <v>7725</v>
      </c>
      <c r="D843" s="4">
        <v>9.5483870967741939</v>
      </c>
    </row>
    <row r="844" spans="1:4" x14ac:dyDescent="0.25">
      <c r="A844" s="3">
        <f>SUM(DATE(2024,5,2),TIME(16,0,0))</f>
        <v>45414.666666666664</v>
      </c>
      <c r="B844">
        <v>30.094999999999999</v>
      </c>
      <c r="C844">
        <v>7925</v>
      </c>
      <c r="D844" s="4">
        <v>9.7080645161290313</v>
      </c>
    </row>
    <row r="845" spans="1:4" x14ac:dyDescent="0.25">
      <c r="A845" s="3">
        <f>SUM(DATE(2024,5,2),TIME(17,0,0))</f>
        <v>45414.708333333336</v>
      </c>
      <c r="B845">
        <v>30.03</v>
      </c>
      <c r="C845">
        <v>6425</v>
      </c>
      <c r="D845" s="4">
        <v>9.6870967741935488</v>
      </c>
    </row>
    <row r="846" spans="1:4" x14ac:dyDescent="0.25">
      <c r="A846" s="3">
        <f>SUM(DATE(2024,5,2),TIME(18,0,0))</f>
        <v>45414.75</v>
      </c>
      <c r="B846">
        <v>30.15</v>
      </c>
      <c r="C846">
        <v>6270</v>
      </c>
      <c r="D846" s="4">
        <v>9.7258064516129021</v>
      </c>
    </row>
    <row r="847" spans="1:4" x14ac:dyDescent="0.25">
      <c r="A847" s="3">
        <f>SUM(DATE(2024,5,2),TIME(19,0,0))</f>
        <v>45414.791666666664</v>
      </c>
      <c r="B847">
        <v>30.375</v>
      </c>
      <c r="C847">
        <v>5915</v>
      </c>
      <c r="D847" s="4">
        <v>9.7983870967741939</v>
      </c>
    </row>
    <row r="848" spans="1:4" x14ac:dyDescent="0.25">
      <c r="A848" s="3">
        <f>SUM(DATE(2024,5,2),TIME(20,0,0))</f>
        <v>45414.833333333336</v>
      </c>
      <c r="B848">
        <v>30.16</v>
      </c>
      <c r="C848">
        <v>6555</v>
      </c>
      <c r="D848" s="4">
        <v>9.7290322580645157</v>
      </c>
    </row>
    <row r="849" spans="1:4" x14ac:dyDescent="0.25">
      <c r="A849" s="3">
        <f>SUM(DATE(2024,5,2),TIME(21,0,0))</f>
        <v>45414.875</v>
      </c>
      <c r="B849">
        <v>30.574999999999999</v>
      </c>
      <c r="C849">
        <v>7620</v>
      </c>
      <c r="D849" s="4">
        <v>9.862903225806452</v>
      </c>
    </row>
    <row r="850" spans="1:4" x14ac:dyDescent="0.25">
      <c r="A850" s="3">
        <f>SUM(DATE(2024,5,2),TIME(22,0,0))</f>
        <v>45414.916666666664</v>
      </c>
      <c r="B850">
        <v>30.93</v>
      </c>
      <c r="C850">
        <v>14765</v>
      </c>
      <c r="D850" s="4">
        <v>9.9774193548387089</v>
      </c>
    </row>
    <row r="851" spans="1:4" x14ac:dyDescent="0.25">
      <c r="A851" s="3">
        <f>SUM(DATE(2024,5,2),TIME(23,0,0))</f>
        <v>45414.958333333336</v>
      </c>
      <c r="B851">
        <v>30.9</v>
      </c>
      <c r="C851">
        <v>14725</v>
      </c>
      <c r="D851" s="4">
        <v>9.9677419354838701</v>
      </c>
    </row>
    <row r="852" spans="1:4" x14ac:dyDescent="0.25">
      <c r="A852" s="3">
        <f>SUM(DATE(2024,5,3),TIME(14,0,0))</f>
        <v>45415.583333333336</v>
      </c>
      <c r="B852">
        <v>31.12</v>
      </c>
      <c r="C852">
        <v>3245</v>
      </c>
      <c r="D852" s="4">
        <v>10.038709677419355</v>
      </c>
    </row>
    <row r="853" spans="1:4" x14ac:dyDescent="0.25">
      <c r="A853" s="3">
        <f>SUM(DATE(2024,5,3),TIME(15,0,0))</f>
        <v>45415.625</v>
      </c>
      <c r="B853">
        <v>30.94</v>
      </c>
      <c r="C853">
        <v>6260</v>
      </c>
      <c r="D853" s="4">
        <v>9.9806451612903224</v>
      </c>
    </row>
    <row r="854" spans="1:4" x14ac:dyDescent="0.25">
      <c r="A854" s="3">
        <f>SUM(DATE(2024,5,3),TIME(16,0,0))</f>
        <v>45415.666666666664</v>
      </c>
      <c r="B854">
        <v>30.72</v>
      </c>
      <c r="C854">
        <v>8870</v>
      </c>
      <c r="D854" s="4">
        <v>9.9096774193548374</v>
      </c>
    </row>
    <row r="855" spans="1:4" x14ac:dyDescent="0.25">
      <c r="A855" s="3">
        <f>SUM(DATE(2024,5,3),TIME(17,0,0))</f>
        <v>45415.708333333336</v>
      </c>
      <c r="B855">
        <v>30.55</v>
      </c>
      <c r="C855">
        <v>5860</v>
      </c>
      <c r="D855" s="4">
        <v>9.8548387096774199</v>
      </c>
    </row>
    <row r="856" spans="1:4" x14ac:dyDescent="0.25">
      <c r="A856" s="3">
        <f>SUM(DATE(2024,5,3),TIME(18,0,0))</f>
        <v>45415.75</v>
      </c>
      <c r="B856">
        <v>31.055</v>
      </c>
      <c r="C856">
        <v>4650</v>
      </c>
      <c r="D856" s="4">
        <v>10.017741935483871</v>
      </c>
    </row>
    <row r="857" spans="1:4" x14ac:dyDescent="0.25">
      <c r="A857" s="3">
        <f>SUM(DATE(2024,5,3),TIME(19,0,0))</f>
        <v>45415.791666666664</v>
      </c>
      <c r="B857">
        <v>31.59</v>
      </c>
      <c r="C857">
        <v>9420</v>
      </c>
      <c r="D857" s="4">
        <v>10.19032258064516</v>
      </c>
    </row>
    <row r="858" spans="1:4" x14ac:dyDescent="0.25">
      <c r="A858" s="3">
        <f>SUM(DATE(2024,5,3),TIME(20,0,0))</f>
        <v>45415.833333333336</v>
      </c>
      <c r="B858">
        <v>31.324999999999999</v>
      </c>
      <c r="C858">
        <v>4290</v>
      </c>
      <c r="D858" s="4">
        <v>10.104838709677418</v>
      </c>
    </row>
    <row r="859" spans="1:4" x14ac:dyDescent="0.25">
      <c r="A859" s="3">
        <f>SUM(DATE(2024,5,3),TIME(21,0,0))</f>
        <v>45415.875</v>
      </c>
      <c r="B859">
        <v>31.125</v>
      </c>
      <c r="C859">
        <v>5255</v>
      </c>
      <c r="D859" s="4">
        <v>10.04032258064516</v>
      </c>
    </row>
    <row r="860" spans="1:4" x14ac:dyDescent="0.25">
      <c r="A860" s="3">
        <f>SUM(DATE(2024,5,3),TIME(22,0,0))</f>
        <v>45415.916666666664</v>
      </c>
      <c r="B860">
        <v>30.625</v>
      </c>
      <c r="C860">
        <v>9210</v>
      </c>
      <c r="D860" s="4">
        <v>9.879032258064516</v>
      </c>
    </row>
    <row r="861" spans="1:4" x14ac:dyDescent="0.25">
      <c r="A861" s="3">
        <f>SUM(DATE(2024,5,3),TIME(23,0,0))</f>
        <v>45415.958333333336</v>
      </c>
      <c r="B861">
        <v>30.07</v>
      </c>
      <c r="C861">
        <v>16020</v>
      </c>
      <c r="D861" s="4">
        <v>9.6999999999999993</v>
      </c>
    </row>
    <row r="862" spans="1:4" x14ac:dyDescent="0.25">
      <c r="A862" s="3">
        <f>SUM(DATE(2024,5,6),TIME(14,0,0))</f>
        <v>45418.583333333336</v>
      </c>
      <c r="B862">
        <v>30.574999999999999</v>
      </c>
      <c r="C862">
        <v>2255</v>
      </c>
      <c r="D862" s="4">
        <v>9.862903225806452</v>
      </c>
    </row>
    <row r="863" spans="1:4" x14ac:dyDescent="0.25">
      <c r="A863" s="3">
        <f>SUM(DATE(2024,5,6),TIME(15,0,0))</f>
        <v>45418.625</v>
      </c>
      <c r="B863">
        <v>30.7</v>
      </c>
      <c r="C863">
        <v>3015</v>
      </c>
      <c r="D863" s="4">
        <v>9.9032258064516121</v>
      </c>
    </row>
    <row r="864" spans="1:4" x14ac:dyDescent="0.25">
      <c r="A864" s="3">
        <f>SUM(DATE(2024,5,6),TIME(16,0,0))</f>
        <v>45418.666666666664</v>
      </c>
      <c r="B864">
        <v>30.85</v>
      </c>
      <c r="C864">
        <v>2720</v>
      </c>
      <c r="D864" s="4">
        <v>9.9516129032258061</v>
      </c>
    </row>
    <row r="865" spans="1:4" x14ac:dyDescent="0.25">
      <c r="A865" s="3">
        <f>SUM(DATE(2024,5,6),TIME(17,0,0))</f>
        <v>45418.708333333336</v>
      </c>
      <c r="B865">
        <v>31.62</v>
      </c>
      <c r="C865">
        <v>4065</v>
      </c>
      <c r="D865" s="4">
        <v>10.199999999999999</v>
      </c>
    </row>
    <row r="866" spans="1:4" x14ac:dyDescent="0.25">
      <c r="A866" s="3">
        <f>SUM(DATE(2024,5,6),TIME(18,0,0))</f>
        <v>45418.75</v>
      </c>
      <c r="B866">
        <v>32.06</v>
      </c>
      <c r="C866">
        <v>4655</v>
      </c>
      <c r="D866" s="4">
        <v>10.341935483870968</v>
      </c>
    </row>
    <row r="867" spans="1:4" x14ac:dyDescent="0.25">
      <c r="A867" s="3">
        <f>SUM(DATE(2024,5,6),TIME(19,0,0))</f>
        <v>45418.791666666664</v>
      </c>
      <c r="B867">
        <v>31.85</v>
      </c>
      <c r="C867">
        <v>2815</v>
      </c>
      <c r="D867" s="4">
        <v>10.274193548387096</v>
      </c>
    </row>
    <row r="868" spans="1:4" x14ac:dyDescent="0.25">
      <c r="A868" s="3">
        <f>SUM(DATE(2024,5,6),TIME(20,0,0))</f>
        <v>45418.833333333336</v>
      </c>
      <c r="B868">
        <v>31.48</v>
      </c>
      <c r="C868">
        <v>3340</v>
      </c>
      <c r="D868" s="4">
        <v>10.154838709677419</v>
      </c>
    </row>
    <row r="869" spans="1:4" x14ac:dyDescent="0.25">
      <c r="A869" s="3">
        <f>SUM(DATE(2024,5,6),TIME(21,0,0))</f>
        <v>45418.875</v>
      </c>
      <c r="B869">
        <v>31.54</v>
      </c>
      <c r="C869">
        <v>2700</v>
      </c>
      <c r="D869" s="4">
        <v>10.174193548387096</v>
      </c>
    </row>
    <row r="870" spans="1:4" x14ac:dyDescent="0.25">
      <c r="A870" s="3">
        <f>SUM(DATE(2024,5,6),TIME(22,0,0))</f>
        <v>45418.916666666664</v>
      </c>
      <c r="B870">
        <v>31.704999999999998</v>
      </c>
      <c r="C870">
        <v>3800</v>
      </c>
      <c r="D870" s="4">
        <v>10.227419354838709</v>
      </c>
    </row>
    <row r="871" spans="1:4" x14ac:dyDescent="0.25">
      <c r="A871" s="3">
        <f>SUM(DATE(2024,5,6),TIME(23,0,0))</f>
        <v>45418.958333333336</v>
      </c>
      <c r="B871">
        <v>31.83</v>
      </c>
      <c r="C871">
        <v>5880</v>
      </c>
      <c r="D871" s="4">
        <v>10.267741935483871</v>
      </c>
    </row>
    <row r="872" spans="1:4" x14ac:dyDescent="0.25">
      <c r="A872" s="3">
        <f>SUM(DATE(2024,5,7),TIME(14,0,0))</f>
        <v>45419.583333333336</v>
      </c>
      <c r="B872">
        <v>31.9</v>
      </c>
      <c r="C872">
        <v>3405</v>
      </c>
      <c r="D872" s="4">
        <v>10.29032258064516</v>
      </c>
    </row>
    <row r="873" spans="1:4" x14ac:dyDescent="0.25">
      <c r="A873" s="3">
        <f>SUM(DATE(2024,5,7),TIME(15,0,0))</f>
        <v>45419.625</v>
      </c>
      <c r="B873">
        <v>31.885000000000002</v>
      </c>
      <c r="C873">
        <v>6200</v>
      </c>
      <c r="D873" s="4">
        <v>10.285483870967742</v>
      </c>
    </row>
    <row r="874" spans="1:4" x14ac:dyDescent="0.25">
      <c r="A874" s="3">
        <f>SUM(DATE(2024,5,7),TIME(16,0,0))</f>
        <v>45419.666666666664</v>
      </c>
      <c r="B874">
        <v>30.774999999999999</v>
      </c>
      <c r="C874">
        <v>12760</v>
      </c>
      <c r="D874" s="4">
        <v>9.9274193548387082</v>
      </c>
    </row>
    <row r="875" spans="1:4" x14ac:dyDescent="0.25">
      <c r="A875" s="3">
        <f>SUM(DATE(2024,5,7),TIME(17,0,0))</f>
        <v>45419.708333333336</v>
      </c>
      <c r="B875">
        <v>30.95</v>
      </c>
      <c r="C875">
        <v>7465</v>
      </c>
      <c r="D875" s="4">
        <v>9.9838709677419342</v>
      </c>
    </row>
    <row r="876" spans="1:4" x14ac:dyDescent="0.25">
      <c r="A876" s="3">
        <f>SUM(DATE(2024,5,7),TIME(18,0,0))</f>
        <v>45419.75</v>
      </c>
      <c r="B876">
        <v>30.75</v>
      </c>
      <c r="C876">
        <v>4680</v>
      </c>
      <c r="D876" s="4">
        <v>9.9193548387096779</v>
      </c>
    </row>
    <row r="877" spans="1:4" x14ac:dyDescent="0.25">
      <c r="A877" s="3">
        <f>SUM(DATE(2024,5,7),TIME(19,0,0))</f>
        <v>45419.791666666664</v>
      </c>
      <c r="B877">
        <v>31.184999999999999</v>
      </c>
      <c r="C877">
        <v>2965</v>
      </c>
      <c r="D877" s="4">
        <v>10.059677419354838</v>
      </c>
    </row>
    <row r="878" spans="1:4" x14ac:dyDescent="0.25">
      <c r="A878" s="3">
        <f>SUM(DATE(2024,5,7),TIME(20,0,0))</f>
        <v>45419.833333333336</v>
      </c>
      <c r="B878">
        <v>31.295000000000002</v>
      </c>
      <c r="C878">
        <v>5435</v>
      </c>
      <c r="D878" s="4">
        <v>10.095161290322581</v>
      </c>
    </row>
    <row r="879" spans="1:4" x14ac:dyDescent="0.25">
      <c r="A879" s="3">
        <f>SUM(DATE(2024,5,7),TIME(21,0,0))</f>
        <v>45419.875</v>
      </c>
      <c r="B879">
        <v>31.08</v>
      </c>
      <c r="C879">
        <v>3945</v>
      </c>
      <c r="D879" s="4">
        <v>10.025806451612903</v>
      </c>
    </row>
    <row r="880" spans="1:4" x14ac:dyDescent="0.25">
      <c r="A880" s="3">
        <f>SUM(DATE(2024,5,7),TIME(22,0,0))</f>
        <v>45419.916666666664</v>
      </c>
      <c r="B880">
        <v>30.87</v>
      </c>
      <c r="C880">
        <v>5790</v>
      </c>
      <c r="D880" s="4">
        <v>9.9580645161290331</v>
      </c>
    </row>
    <row r="881" spans="1:4" x14ac:dyDescent="0.25">
      <c r="A881" s="3">
        <f>SUM(DATE(2024,5,7),TIME(23,0,0))</f>
        <v>45419.958333333336</v>
      </c>
      <c r="B881">
        <v>30.704999999999998</v>
      </c>
      <c r="C881">
        <v>11105</v>
      </c>
      <c r="D881" s="4">
        <v>9.9048387096774189</v>
      </c>
    </row>
    <row r="882" spans="1:4" x14ac:dyDescent="0.25">
      <c r="A882" s="3">
        <f>SUM(DATE(2024,5,8),TIME(14,0,0))</f>
        <v>45420.583333333336</v>
      </c>
      <c r="B882">
        <v>30.454999999999998</v>
      </c>
      <c r="C882">
        <v>3650</v>
      </c>
      <c r="D882" s="4">
        <v>9.8241935483870968</v>
      </c>
    </row>
    <row r="883" spans="1:4" x14ac:dyDescent="0.25">
      <c r="A883" s="3">
        <f>SUM(DATE(2024,5,8),TIME(15,0,0))</f>
        <v>45420.625</v>
      </c>
      <c r="B883">
        <v>30.16</v>
      </c>
      <c r="C883">
        <v>8195</v>
      </c>
      <c r="D883" s="4">
        <v>9.7290322580645157</v>
      </c>
    </row>
    <row r="884" spans="1:4" x14ac:dyDescent="0.25">
      <c r="A884" s="3">
        <f>SUM(DATE(2024,5,8),TIME(16,0,0))</f>
        <v>45420.666666666664</v>
      </c>
      <c r="B884">
        <v>30.5</v>
      </c>
      <c r="C884">
        <v>4520</v>
      </c>
      <c r="D884" s="4">
        <v>9.8387096774193541</v>
      </c>
    </row>
    <row r="885" spans="1:4" x14ac:dyDescent="0.25">
      <c r="A885" s="3">
        <f>SUM(DATE(2024,5,8),TIME(17,0,0))</f>
        <v>45420.708333333336</v>
      </c>
      <c r="B885">
        <v>30.72</v>
      </c>
      <c r="C885">
        <v>4130</v>
      </c>
      <c r="D885" s="4">
        <v>9.9096774193548374</v>
      </c>
    </row>
    <row r="886" spans="1:4" x14ac:dyDescent="0.25">
      <c r="A886" s="3">
        <f>SUM(DATE(2024,5,8),TIME(18,0,0))</f>
        <v>45420.75</v>
      </c>
      <c r="B886">
        <v>30.635000000000002</v>
      </c>
      <c r="C886">
        <v>2740</v>
      </c>
      <c r="D886" s="4">
        <v>9.8822580645161295</v>
      </c>
    </row>
    <row r="887" spans="1:4" x14ac:dyDescent="0.25">
      <c r="A887" s="3">
        <f>SUM(DATE(2024,5,8),TIME(19,0,0))</f>
        <v>45420.791666666664</v>
      </c>
      <c r="B887">
        <v>30.625</v>
      </c>
      <c r="C887">
        <v>4245</v>
      </c>
      <c r="D887" s="4">
        <v>9.879032258064516</v>
      </c>
    </row>
    <row r="888" spans="1:4" x14ac:dyDescent="0.25">
      <c r="A888" s="3">
        <f>SUM(DATE(2024,5,8),TIME(20,0,0))</f>
        <v>45420.833333333336</v>
      </c>
      <c r="B888">
        <v>30.87</v>
      </c>
      <c r="C888">
        <v>4375</v>
      </c>
      <c r="D888" s="4">
        <v>9.9580645161290331</v>
      </c>
    </row>
    <row r="889" spans="1:4" x14ac:dyDescent="0.25">
      <c r="A889" s="3">
        <f>SUM(DATE(2024,5,8),TIME(21,0,0))</f>
        <v>45420.875</v>
      </c>
      <c r="B889">
        <v>30.774999999999999</v>
      </c>
      <c r="C889">
        <v>7170</v>
      </c>
      <c r="D889" s="4">
        <v>9.9274193548387082</v>
      </c>
    </row>
    <row r="890" spans="1:4" x14ac:dyDescent="0.25">
      <c r="A890" s="3">
        <f>SUM(DATE(2024,5,8),TIME(22,0,0))</f>
        <v>45420.916666666664</v>
      </c>
      <c r="B890">
        <v>30.635000000000002</v>
      </c>
      <c r="C890">
        <v>6895</v>
      </c>
      <c r="D890" s="4">
        <v>9.8822580645161295</v>
      </c>
    </row>
    <row r="891" spans="1:4" x14ac:dyDescent="0.25">
      <c r="A891" s="3">
        <f>SUM(DATE(2024,5,8),TIME(23,0,0))</f>
        <v>45420.958333333336</v>
      </c>
      <c r="B891">
        <v>30.69</v>
      </c>
      <c r="C891">
        <v>12350</v>
      </c>
      <c r="D891" s="4">
        <v>9.9</v>
      </c>
    </row>
    <row r="892" spans="1:4" x14ac:dyDescent="0.25">
      <c r="A892" s="3">
        <f>SUM(DATE(2024,5,9),TIME(14,0,0))</f>
        <v>45421.583333333336</v>
      </c>
      <c r="B892">
        <v>30.5</v>
      </c>
      <c r="C892">
        <v>3220</v>
      </c>
      <c r="D892" s="4">
        <v>9.8387096774193541</v>
      </c>
    </row>
    <row r="893" spans="1:4" x14ac:dyDescent="0.25">
      <c r="A893" s="3">
        <f>SUM(DATE(2024,5,9),TIME(15,0,0))</f>
        <v>45421.625</v>
      </c>
      <c r="B893">
        <v>30.864999999999998</v>
      </c>
      <c r="C893">
        <v>4000</v>
      </c>
      <c r="D893" s="4">
        <v>9.9564516129032246</v>
      </c>
    </row>
    <row r="894" spans="1:4" x14ac:dyDescent="0.25">
      <c r="A894" s="3">
        <f>SUM(DATE(2024,5,9),TIME(16,0,0))</f>
        <v>45421.666666666664</v>
      </c>
      <c r="B894">
        <v>31.234999999999999</v>
      </c>
      <c r="C894">
        <v>7530</v>
      </c>
      <c r="D894" s="4">
        <v>10.075806451612904</v>
      </c>
    </row>
    <row r="895" spans="1:4" x14ac:dyDescent="0.25">
      <c r="A895" s="3">
        <f>SUM(DATE(2024,5,9),TIME(17,0,0))</f>
        <v>45421.708333333336</v>
      </c>
      <c r="B895">
        <v>31.324999999999999</v>
      </c>
      <c r="C895">
        <v>4985</v>
      </c>
      <c r="D895" s="4">
        <v>10.104838709677418</v>
      </c>
    </row>
    <row r="896" spans="1:4" x14ac:dyDescent="0.25">
      <c r="A896" s="3">
        <f>SUM(DATE(2024,5,9),TIME(18,0,0))</f>
        <v>45421.75</v>
      </c>
      <c r="B896">
        <v>31.24</v>
      </c>
      <c r="C896">
        <v>4135</v>
      </c>
      <c r="D896" s="4">
        <v>10.077419354838709</v>
      </c>
    </row>
    <row r="897" spans="1:4" x14ac:dyDescent="0.25">
      <c r="A897" s="3">
        <f>SUM(DATE(2024,5,9),TIME(19,0,0))</f>
        <v>45421.791666666664</v>
      </c>
      <c r="B897">
        <v>31.4</v>
      </c>
      <c r="C897">
        <v>3620</v>
      </c>
      <c r="D897" s="4">
        <v>10.129032258064516</v>
      </c>
    </row>
    <row r="898" spans="1:4" x14ac:dyDescent="0.25">
      <c r="A898" s="3">
        <f>SUM(DATE(2024,5,9),TIME(20,0,0))</f>
        <v>45421.833333333336</v>
      </c>
      <c r="B898">
        <v>31.405000000000001</v>
      </c>
      <c r="C898">
        <v>3450</v>
      </c>
      <c r="D898" s="4">
        <v>10.130645161290323</v>
      </c>
    </row>
    <row r="899" spans="1:4" x14ac:dyDescent="0.25">
      <c r="A899" s="3">
        <f>SUM(DATE(2024,5,9),TIME(21,0,0))</f>
        <v>45421.875</v>
      </c>
      <c r="B899">
        <v>31.27</v>
      </c>
      <c r="C899">
        <v>3650</v>
      </c>
      <c r="D899" s="4">
        <v>10.087096774193547</v>
      </c>
    </row>
    <row r="900" spans="1:4" x14ac:dyDescent="0.25">
      <c r="A900" s="3">
        <f>SUM(DATE(2024,5,9),TIME(22,0,0))</f>
        <v>45421.916666666664</v>
      </c>
      <c r="B900">
        <v>30.77</v>
      </c>
      <c r="C900">
        <v>7030</v>
      </c>
      <c r="D900" s="4">
        <v>9.9258064516129032</v>
      </c>
    </row>
    <row r="901" spans="1:4" x14ac:dyDescent="0.25">
      <c r="A901" s="3">
        <f>SUM(DATE(2024,5,9),TIME(23,0,0))</f>
        <v>45421.958333333336</v>
      </c>
      <c r="B901">
        <v>30.975000000000001</v>
      </c>
      <c r="C901">
        <v>7780</v>
      </c>
      <c r="D901" s="4">
        <v>9.991935483870968</v>
      </c>
    </row>
    <row r="902" spans="1:4" x14ac:dyDescent="0.25">
      <c r="A902" s="3">
        <f>SUM(DATE(2024,5,10),TIME(14,0,0))</f>
        <v>45422.583333333336</v>
      </c>
      <c r="B902">
        <v>30.945</v>
      </c>
      <c r="C902">
        <v>2830</v>
      </c>
      <c r="D902" s="4">
        <v>9.9822580645161292</v>
      </c>
    </row>
    <row r="903" spans="1:4" x14ac:dyDescent="0.25">
      <c r="A903" s="3">
        <f>SUM(DATE(2024,5,10),TIME(15,0,0))</f>
        <v>45422.625</v>
      </c>
      <c r="B903">
        <v>31.285</v>
      </c>
      <c r="C903">
        <v>4790</v>
      </c>
      <c r="D903" s="4">
        <v>10.091935483870968</v>
      </c>
    </row>
    <row r="904" spans="1:4" x14ac:dyDescent="0.25">
      <c r="A904" s="3">
        <f>SUM(DATE(2024,5,10),TIME(16,0,0))</f>
        <v>45422.666666666664</v>
      </c>
      <c r="B904">
        <v>31.39</v>
      </c>
      <c r="C904">
        <v>6775</v>
      </c>
      <c r="D904" s="4">
        <v>10.125806451612902</v>
      </c>
    </row>
    <row r="905" spans="1:4" x14ac:dyDescent="0.25">
      <c r="A905" s="3">
        <f>SUM(DATE(2024,5,10),TIME(17,0,0))</f>
        <v>45422.708333333336</v>
      </c>
      <c r="B905">
        <v>30.715</v>
      </c>
      <c r="C905">
        <v>8730</v>
      </c>
      <c r="D905" s="4">
        <v>9.9080645161290324</v>
      </c>
    </row>
    <row r="906" spans="1:4" x14ac:dyDescent="0.25">
      <c r="A906" s="3">
        <f>SUM(DATE(2024,5,10),TIME(18,0,0))</f>
        <v>45422.75</v>
      </c>
      <c r="B906">
        <v>30.4</v>
      </c>
      <c r="C906">
        <v>5675</v>
      </c>
      <c r="D906" s="4">
        <v>9.8064516129032242</v>
      </c>
    </row>
    <row r="907" spans="1:4" x14ac:dyDescent="0.25">
      <c r="A907" s="3">
        <f>SUM(DATE(2024,5,10),TIME(19,0,0))</f>
        <v>45422.791666666664</v>
      </c>
      <c r="B907">
        <v>30.55</v>
      </c>
      <c r="C907">
        <v>3525</v>
      </c>
      <c r="D907" s="4">
        <v>9.8548387096774199</v>
      </c>
    </row>
    <row r="908" spans="1:4" x14ac:dyDescent="0.25">
      <c r="A908" s="3">
        <f>SUM(DATE(2024,5,10),TIME(20,0,0))</f>
        <v>45422.833333333336</v>
      </c>
      <c r="B908">
        <v>30.545000000000002</v>
      </c>
      <c r="C908">
        <v>3080</v>
      </c>
      <c r="D908" s="4">
        <v>9.8532258064516132</v>
      </c>
    </row>
    <row r="909" spans="1:4" x14ac:dyDescent="0.25">
      <c r="A909" s="3">
        <f>SUM(DATE(2024,5,10),TIME(21,0,0))</f>
        <v>45422.875</v>
      </c>
      <c r="B909">
        <v>30.38</v>
      </c>
      <c r="C909">
        <v>4135</v>
      </c>
      <c r="D909" s="4">
        <v>9.7999999999999989</v>
      </c>
    </row>
    <row r="910" spans="1:4" x14ac:dyDescent="0.25">
      <c r="A910" s="3">
        <f>SUM(DATE(2024,5,10),TIME(22,0,0))</f>
        <v>45422.916666666664</v>
      </c>
      <c r="B910">
        <v>29.945</v>
      </c>
      <c r="C910">
        <v>9475</v>
      </c>
      <c r="D910" s="4">
        <v>9.6596774193548391</v>
      </c>
    </row>
    <row r="911" spans="1:4" x14ac:dyDescent="0.25">
      <c r="A911" s="3">
        <f>SUM(DATE(2024,5,10),TIME(23,0,0))</f>
        <v>45422.958333333336</v>
      </c>
      <c r="B911">
        <v>29.87</v>
      </c>
      <c r="C911">
        <v>14370</v>
      </c>
      <c r="D911" s="4">
        <v>9.6354838709677413</v>
      </c>
    </row>
    <row r="912" spans="1:4" x14ac:dyDescent="0.25">
      <c r="A912" s="3">
        <f>SUM(DATE(2024,5,13),TIME(14,0,0))</f>
        <v>45425.583333333336</v>
      </c>
      <c r="B912">
        <v>29.545000000000002</v>
      </c>
      <c r="C912">
        <v>3760</v>
      </c>
      <c r="D912" s="4">
        <v>9.5306451612903231</v>
      </c>
    </row>
    <row r="913" spans="1:4" x14ac:dyDescent="0.25">
      <c r="A913" s="3">
        <f>SUM(DATE(2024,5,13),TIME(15,0,0))</f>
        <v>45425.625</v>
      </c>
      <c r="B913">
        <v>29.62</v>
      </c>
      <c r="C913">
        <v>5270</v>
      </c>
      <c r="D913" s="4">
        <v>9.5548387096774192</v>
      </c>
    </row>
    <row r="914" spans="1:4" x14ac:dyDescent="0.25">
      <c r="A914" s="3">
        <f>SUM(DATE(2024,5,13),TIME(16,0,0))</f>
        <v>45425.666666666664</v>
      </c>
      <c r="B914">
        <v>29.645</v>
      </c>
      <c r="C914">
        <v>6920</v>
      </c>
      <c r="D914" s="4">
        <v>9.5629032258064512</v>
      </c>
    </row>
    <row r="915" spans="1:4" x14ac:dyDescent="0.25">
      <c r="A915" s="3">
        <f>SUM(DATE(2024,5,13),TIME(17,0,0))</f>
        <v>45425.708333333336</v>
      </c>
      <c r="B915">
        <v>29.6</v>
      </c>
      <c r="C915">
        <v>3500</v>
      </c>
      <c r="D915" s="4">
        <v>9.5483870967741939</v>
      </c>
    </row>
    <row r="916" spans="1:4" x14ac:dyDescent="0.25">
      <c r="A916" s="3">
        <f>SUM(DATE(2024,5,13),TIME(18,0,0))</f>
        <v>45425.75</v>
      </c>
      <c r="B916">
        <v>29.91</v>
      </c>
      <c r="C916">
        <v>3065</v>
      </c>
      <c r="D916" s="4">
        <v>9.6483870967741936</v>
      </c>
    </row>
    <row r="917" spans="1:4" x14ac:dyDescent="0.25">
      <c r="A917" s="3">
        <f>SUM(DATE(2024,5,13),TIME(19,0,0))</f>
        <v>45425.791666666664</v>
      </c>
      <c r="B917">
        <v>29.67</v>
      </c>
      <c r="C917">
        <v>2490</v>
      </c>
      <c r="D917" s="4">
        <v>9.5709677419354833</v>
      </c>
    </row>
    <row r="918" spans="1:4" x14ac:dyDescent="0.25">
      <c r="A918" s="3">
        <f>SUM(DATE(2024,5,13),TIME(20,0,0))</f>
        <v>45425.833333333336</v>
      </c>
      <c r="B918">
        <v>29.545000000000002</v>
      </c>
      <c r="C918">
        <v>4330</v>
      </c>
      <c r="D918" s="4">
        <v>9.5306451612903231</v>
      </c>
    </row>
    <row r="919" spans="1:4" x14ac:dyDescent="0.25">
      <c r="A919" s="3">
        <f>SUM(DATE(2024,5,13),TIME(21,0,0))</f>
        <v>45425.875</v>
      </c>
      <c r="B919">
        <v>29.195</v>
      </c>
      <c r="C919">
        <v>6200</v>
      </c>
      <c r="D919" s="4">
        <v>9.4177419354838712</v>
      </c>
    </row>
    <row r="920" spans="1:4" x14ac:dyDescent="0.25">
      <c r="A920" s="3">
        <f>SUM(DATE(2024,5,13),TIME(22,0,0))</f>
        <v>45425.916666666664</v>
      </c>
      <c r="B920">
        <v>29.52</v>
      </c>
      <c r="C920">
        <v>7045</v>
      </c>
      <c r="D920" s="4">
        <v>9.5225806451612893</v>
      </c>
    </row>
    <row r="921" spans="1:4" x14ac:dyDescent="0.25">
      <c r="A921" s="3">
        <f>SUM(DATE(2024,5,13),TIME(23,0,0))</f>
        <v>45425.958333333336</v>
      </c>
      <c r="B921">
        <v>29.704999999999998</v>
      </c>
      <c r="C921">
        <v>9180</v>
      </c>
      <c r="D921" s="4">
        <v>9.5822580645161288</v>
      </c>
    </row>
    <row r="922" spans="1:4" x14ac:dyDescent="0.25">
      <c r="A922" s="3">
        <f>SUM(DATE(2024,5,14),TIME(14,0,0))</f>
        <v>45426.583333333336</v>
      </c>
      <c r="B922">
        <v>29.684999999999999</v>
      </c>
      <c r="C922">
        <v>2560</v>
      </c>
      <c r="D922" s="4">
        <v>9.5758064516129018</v>
      </c>
    </row>
    <row r="923" spans="1:4" x14ac:dyDescent="0.25">
      <c r="A923" s="3">
        <f>SUM(DATE(2024,5,14),TIME(15,0,0))</f>
        <v>45426.625</v>
      </c>
      <c r="B923">
        <v>29.545000000000002</v>
      </c>
      <c r="C923">
        <v>4350</v>
      </c>
      <c r="D923" s="4">
        <v>9.5306451612903231</v>
      </c>
    </row>
    <row r="924" spans="1:4" x14ac:dyDescent="0.25">
      <c r="A924" s="3">
        <f>SUM(DATE(2024,5,14),TIME(16,0,0))</f>
        <v>45426.666666666664</v>
      </c>
      <c r="B924">
        <v>29.53</v>
      </c>
      <c r="C924">
        <v>5560</v>
      </c>
      <c r="D924" s="4">
        <v>9.5258064516129028</v>
      </c>
    </row>
    <row r="925" spans="1:4" x14ac:dyDescent="0.25">
      <c r="A925" s="3">
        <f>SUM(DATE(2024,5,14),TIME(17,0,0))</f>
        <v>45426.708333333336</v>
      </c>
      <c r="B925">
        <v>29.975000000000001</v>
      </c>
      <c r="C925">
        <v>8955</v>
      </c>
      <c r="D925" s="4">
        <v>9.6693548387096779</v>
      </c>
    </row>
    <row r="926" spans="1:4" x14ac:dyDescent="0.25">
      <c r="A926" s="3">
        <f>SUM(DATE(2024,5,14),TIME(18,0,0))</f>
        <v>45426.75</v>
      </c>
      <c r="B926">
        <v>29.844999999999999</v>
      </c>
      <c r="C926">
        <v>4860</v>
      </c>
      <c r="D926" s="4">
        <v>9.6274193548387093</v>
      </c>
    </row>
    <row r="927" spans="1:4" x14ac:dyDescent="0.25">
      <c r="A927" s="3">
        <f>SUM(DATE(2024,5,14),TIME(19,0,0))</f>
        <v>45426.791666666664</v>
      </c>
      <c r="B927">
        <v>30.07</v>
      </c>
      <c r="C927">
        <v>3710</v>
      </c>
      <c r="D927" s="4">
        <v>9.6999999999999993</v>
      </c>
    </row>
    <row r="928" spans="1:4" x14ac:dyDescent="0.25">
      <c r="A928" s="3">
        <f>SUM(DATE(2024,5,14),TIME(20,0,0))</f>
        <v>45426.833333333336</v>
      </c>
      <c r="B928">
        <v>29.85</v>
      </c>
      <c r="C928">
        <v>4600</v>
      </c>
      <c r="D928" s="4">
        <v>9.629032258064516</v>
      </c>
    </row>
    <row r="929" spans="1:4" x14ac:dyDescent="0.25">
      <c r="A929" s="3">
        <f>SUM(DATE(2024,5,14),TIME(21,0,0))</f>
        <v>45426.875</v>
      </c>
      <c r="B929">
        <v>30.184999999999999</v>
      </c>
      <c r="C929">
        <v>5400</v>
      </c>
      <c r="D929" s="4">
        <v>9.7370967741935477</v>
      </c>
    </row>
    <row r="930" spans="1:4" x14ac:dyDescent="0.25">
      <c r="A930" s="3">
        <f>SUM(DATE(2024,5,14),TIME(22,0,0))</f>
        <v>45426.916666666664</v>
      </c>
      <c r="B930">
        <v>29.79</v>
      </c>
      <c r="C930">
        <v>7250</v>
      </c>
      <c r="D930" s="4">
        <v>9.6096774193548384</v>
      </c>
    </row>
    <row r="931" spans="1:4" x14ac:dyDescent="0.25">
      <c r="A931" s="3">
        <f>SUM(DATE(2024,5,14),TIME(23,0,0))</f>
        <v>45426.958333333336</v>
      </c>
      <c r="B931">
        <v>29.65</v>
      </c>
      <c r="C931">
        <v>9660</v>
      </c>
      <c r="D931" s="4">
        <v>9.564516129032258</v>
      </c>
    </row>
    <row r="932" spans="1:4" x14ac:dyDescent="0.25">
      <c r="A932" s="3">
        <f>SUM(DATE(2024,5,15),TIME(14,0,0))</f>
        <v>45427.583333333336</v>
      </c>
      <c r="B932">
        <v>29.85</v>
      </c>
      <c r="C932">
        <v>2885</v>
      </c>
      <c r="D932" s="4">
        <v>9.629032258064516</v>
      </c>
    </row>
    <row r="933" spans="1:4" x14ac:dyDescent="0.25">
      <c r="A933" s="3">
        <f>SUM(DATE(2024,5,15),TIME(15,0,0))</f>
        <v>45427.625</v>
      </c>
      <c r="B933">
        <v>30.4</v>
      </c>
      <c r="C933">
        <v>6830</v>
      </c>
      <c r="D933" s="4">
        <v>9.8064516129032242</v>
      </c>
    </row>
    <row r="934" spans="1:4" x14ac:dyDescent="0.25">
      <c r="A934" s="3">
        <f>SUM(DATE(2024,5,15),TIME(16,0,0))</f>
        <v>45427.666666666664</v>
      </c>
      <c r="B934">
        <v>30.295000000000002</v>
      </c>
      <c r="C934">
        <v>10475</v>
      </c>
      <c r="D934" s="4">
        <v>9.7725806451612911</v>
      </c>
    </row>
    <row r="935" spans="1:4" x14ac:dyDescent="0.25">
      <c r="A935" s="3">
        <f>SUM(DATE(2024,5,15),TIME(17,0,0))</f>
        <v>45427.708333333336</v>
      </c>
      <c r="B935">
        <v>30.234999999999999</v>
      </c>
      <c r="C935">
        <v>4450</v>
      </c>
      <c r="D935" s="4">
        <v>9.7532258064516117</v>
      </c>
    </row>
    <row r="936" spans="1:4" x14ac:dyDescent="0.25">
      <c r="A936" s="3">
        <f>SUM(DATE(2024,5,15),TIME(18,0,0))</f>
        <v>45427.75</v>
      </c>
      <c r="B936">
        <v>30.035</v>
      </c>
      <c r="C936">
        <v>4920</v>
      </c>
      <c r="D936" s="4">
        <v>9.6887096774193537</v>
      </c>
    </row>
    <row r="937" spans="1:4" x14ac:dyDescent="0.25">
      <c r="A937" s="3">
        <f>SUM(DATE(2024,5,15),TIME(19,0,0))</f>
        <v>45427.791666666664</v>
      </c>
      <c r="B937">
        <v>30.055</v>
      </c>
      <c r="C937">
        <v>3640</v>
      </c>
      <c r="D937" s="4">
        <v>9.6951612903225808</v>
      </c>
    </row>
    <row r="938" spans="1:4" x14ac:dyDescent="0.25">
      <c r="A938" s="3">
        <f>SUM(DATE(2024,5,15),TIME(20,0,0))</f>
        <v>45427.833333333336</v>
      </c>
      <c r="B938">
        <v>29.85</v>
      </c>
      <c r="C938">
        <v>4030</v>
      </c>
      <c r="D938" s="4">
        <v>9.629032258064516</v>
      </c>
    </row>
    <row r="939" spans="1:4" x14ac:dyDescent="0.25">
      <c r="A939" s="3">
        <f>SUM(DATE(2024,5,15),TIME(21,0,0))</f>
        <v>45427.875</v>
      </c>
      <c r="B939">
        <v>29.8</v>
      </c>
      <c r="C939">
        <v>5655</v>
      </c>
      <c r="D939" s="4">
        <v>9.612903225806452</v>
      </c>
    </row>
    <row r="940" spans="1:4" x14ac:dyDescent="0.25">
      <c r="A940" s="3">
        <f>SUM(DATE(2024,5,15),TIME(22,0,0))</f>
        <v>45427.916666666664</v>
      </c>
      <c r="B940">
        <v>29.745000000000001</v>
      </c>
      <c r="C940">
        <v>5575</v>
      </c>
      <c r="D940" s="4">
        <v>9.5951612903225811</v>
      </c>
    </row>
    <row r="941" spans="1:4" x14ac:dyDescent="0.25">
      <c r="A941" s="3">
        <f>SUM(DATE(2024,5,15),TIME(23,0,0))</f>
        <v>45427.958333333336</v>
      </c>
      <c r="B941">
        <v>29.475000000000001</v>
      </c>
      <c r="C941">
        <v>10130</v>
      </c>
      <c r="D941" s="4">
        <v>9.508064516129032</v>
      </c>
    </row>
    <row r="942" spans="1:4" x14ac:dyDescent="0.25">
      <c r="A942" s="3">
        <f>SUM(DATE(2024,5,16),TIME(14,0,0))</f>
        <v>45428.583333333336</v>
      </c>
      <c r="B942">
        <v>29.61</v>
      </c>
      <c r="C942">
        <v>2945</v>
      </c>
      <c r="D942" s="4">
        <v>9.5516129032258057</v>
      </c>
    </row>
    <row r="943" spans="1:4" x14ac:dyDescent="0.25">
      <c r="A943" s="3">
        <f>SUM(DATE(2024,5,16),TIME(15,0,0))</f>
        <v>45428.625</v>
      </c>
      <c r="B943">
        <v>29.87</v>
      </c>
      <c r="C943">
        <v>3780</v>
      </c>
      <c r="D943" s="4">
        <v>9.6354838709677413</v>
      </c>
    </row>
    <row r="944" spans="1:4" x14ac:dyDescent="0.25">
      <c r="A944" s="3">
        <f>SUM(DATE(2024,5,16),TIME(16,0,0))</f>
        <v>45428.666666666664</v>
      </c>
      <c r="B944">
        <v>30.14</v>
      </c>
      <c r="C944">
        <v>8670</v>
      </c>
      <c r="D944" s="4">
        <v>9.7225806451612904</v>
      </c>
    </row>
    <row r="945" spans="1:4" x14ac:dyDescent="0.25">
      <c r="A945" s="3">
        <f>SUM(DATE(2024,5,16),TIME(17,0,0))</f>
        <v>45428.708333333336</v>
      </c>
      <c r="B945">
        <v>30.27</v>
      </c>
      <c r="C945">
        <v>5360</v>
      </c>
      <c r="D945" s="4">
        <v>9.7645161290322573</v>
      </c>
    </row>
    <row r="946" spans="1:4" x14ac:dyDescent="0.25">
      <c r="A946" s="3">
        <f>SUM(DATE(2024,5,16),TIME(18,0,0))</f>
        <v>45428.75</v>
      </c>
      <c r="B946">
        <v>30.265000000000001</v>
      </c>
      <c r="C946">
        <v>4015</v>
      </c>
      <c r="D946" s="4">
        <v>9.7629032258064523</v>
      </c>
    </row>
    <row r="947" spans="1:4" x14ac:dyDescent="0.25">
      <c r="A947" s="3">
        <f>SUM(DATE(2024,5,16),TIME(19,0,0))</f>
        <v>45428.791666666664</v>
      </c>
      <c r="B947">
        <v>30.274999999999999</v>
      </c>
      <c r="C947">
        <v>3670</v>
      </c>
      <c r="D947" s="4">
        <v>9.7661290322580641</v>
      </c>
    </row>
    <row r="948" spans="1:4" x14ac:dyDescent="0.25">
      <c r="A948" s="3">
        <f>SUM(DATE(2024,5,16),TIME(20,0,0))</f>
        <v>45428.833333333336</v>
      </c>
      <c r="B948">
        <v>30.15</v>
      </c>
      <c r="C948">
        <v>4325</v>
      </c>
      <c r="D948" s="4">
        <v>9.7258064516129021</v>
      </c>
    </row>
    <row r="949" spans="1:4" x14ac:dyDescent="0.25">
      <c r="A949" s="3">
        <f>SUM(DATE(2024,5,16),TIME(21,0,0))</f>
        <v>45428.875</v>
      </c>
      <c r="B949">
        <v>30.355</v>
      </c>
      <c r="C949">
        <v>7770</v>
      </c>
      <c r="D949" s="4">
        <v>9.7919354838709669</v>
      </c>
    </row>
    <row r="950" spans="1:4" x14ac:dyDescent="0.25">
      <c r="A950" s="3">
        <f>SUM(DATE(2024,5,16),TIME(22,0,0))</f>
        <v>45428.916666666664</v>
      </c>
      <c r="B950">
        <v>30.07</v>
      </c>
      <c r="C950">
        <v>7825</v>
      </c>
      <c r="D950" s="4">
        <v>9.6999999999999993</v>
      </c>
    </row>
    <row r="951" spans="1:4" x14ac:dyDescent="0.25">
      <c r="A951" s="3">
        <f>SUM(DATE(2024,5,16),TIME(23,0,0))</f>
        <v>45428.958333333336</v>
      </c>
      <c r="B951">
        <v>30.574999999999999</v>
      </c>
      <c r="C951">
        <v>15350</v>
      </c>
      <c r="D951" s="4">
        <v>9.862903225806452</v>
      </c>
    </row>
    <row r="952" spans="1:4" x14ac:dyDescent="0.25">
      <c r="A952" s="3">
        <f>SUM(DATE(2024,5,17),TIME(14,0,0))</f>
        <v>45429.583333333336</v>
      </c>
      <c r="B952">
        <v>30.65</v>
      </c>
      <c r="C952">
        <v>3285</v>
      </c>
      <c r="D952" s="4">
        <v>9.887096774193548</v>
      </c>
    </row>
    <row r="953" spans="1:4" x14ac:dyDescent="0.25">
      <c r="A953" s="3">
        <f>SUM(DATE(2024,5,17),TIME(15,0,0))</f>
        <v>45429.625</v>
      </c>
      <c r="B953">
        <v>30.6</v>
      </c>
      <c r="C953">
        <v>4425</v>
      </c>
      <c r="D953" s="4">
        <v>9.870967741935484</v>
      </c>
    </row>
    <row r="954" spans="1:4" x14ac:dyDescent="0.25">
      <c r="A954" s="3">
        <f>SUM(DATE(2024,5,17),TIME(16,0,0))</f>
        <v>45429.666666666664</v>
      </c>
      <c r="B954">
        <v>30.9</v>
      </c>
      <c r="C954">
        <v>6185</v>
      </c>
      <c r="D954" s="4">
        <v>9.9677419354838701</v>
      </c>
    </row>
    <row r="955" spans="1:4" x14ac:dyDescent="0.25">
      <c r="A955" s="3">
        <f>SUM(DATE(2024,5,17),TIME(17,0,0))</f>
        <v>45429.708333333336</v>
      </c>
      <c r="B955">
        <v>30.92</v>
      </c>
      <c r="C955">
        <v>3720</v>
      </c>
      <c r="D955" s="4">
        <v>9.9741935483870972</v>
      </c>
    </row>
    <row r="956" spans="1:4" x14ac:dyDescent="0.25">
      <c r="A956" s="3">
        <f>SUM(DATE(2024,5,17),TIME(18,0,0))</f>
        <v>45429.75</v>
      </c>
      <c r="B956">
        <v>30.5</v>
      </c>
      <c r="C956">
        <v>4810</v>
      </c>
      <c r="D956" s="4">
        <v>9.8387096774193541</v>
      </c>
    </row>
    <row r="957" spans="1:4" x14ac:dyDescent="0.25">
      <c r="A957" s="3">
        <f>SUM(DATE(2024,5,17),TIME(19,0,0))</f>
        <v>45429.791666666664</v>
      </c>
      <c r="B957">
        <v>30.5</v>
      </c>
      <c r="C957">
        <v>3310</v>
      </c>
      <c r="D957" s="4">
        <v>9.8387096774193541</v>
      </c>
    </row>
    <row r="958" spans="1:4" x14ac:dyDescent="0.25">
      <c r="A958" s="3">
        <f>SUM(DATE(2024,5,17),TIME(20,0,0))</f>
        <v>45429.833333333336</v>
      </c>
      <c r="B958">
        <v>30.35</v>
      </c>
      <c r="C958">
        <v>3835</v>
      </c>
      <c r="D958" s="4">
        <v>9.7903225806451619</v>
      </c>
    </row>
    <row r="959" spans="1:4" x14ac:dyDescent="0.25">
      <c r="A959" s="3">
        <f>SUM(DATE(2024,5,17),TIME(21,0,0))</f>
        <v>45429.875</v>
      </c>
      <c r="B959">
        <v>30.4</v>
      </c>
      <c r="C959">
        <v>4340</v>
      </c>
      <c r="D959" s="4">
        <v>9.8064516129032242</v>
      </c>
    </row>
    <row r="960" spans="1:4" x14ac:dyDescent="0.25">
      <c r="A960" s="3">
        <f>SUM(DATE(2024,5,17),TIME(22,0,0))</f>
        <v>45429.916666666664</v>
      </c>
      <c r="B960">
        <v>30.785</v>
      </c>
      <c r="C960">
        <v>6300</v>
      </c>
      <c r="D960" s="4">
        <v>9.9306451612903217</v>
      </c>
    </row>
    <row r="961" spans="1:4" x14ac:dyDescent="0.25">
      <c r="A961" s="3">
        <f>SUM(DATE(2024,5,17),TIME(23,0,0))</f>
        <v>45429.958333333336</v>
      </c>
      <c r="B961">
        <v>30.8</v>
      </c>
      <c r="C961">
        <v>10525</v>
      </c>
      <c r="D961" s="4">
        <v>9.935483870967742</v>
      </c>
    </row>
    <row r="962" spans="1:4" x14ac:dyDescent="0.25">
      <c r="A962" s="3">
        <f>SUM(DATE(2024,5,20),TIME(14,0,0))</f>
        <v>45432.583333333336</v>
      </c>
      <c r="B962">
        <v>31.25</v>
      </c>
      <c r="C962">
        <v>2495</v>
      </c>
      <c r="D962" s="4">
        <v>10.080645161290322</v>
      </c>
    </row>
    <row r="963" spans="1:4" x14ac:dyDescent="0.25">
      <c r="A963" s="3">
        <f>SUM(DATE(2024,5,20),TIME(15,0,0))</f>
        <v>45432.625</v>
      </c>
      <c r="B963">
        <v>31.335000000000001</v>
      </c>
      <c r="C963">
        <v>4480</v>
      </c>
      <c r="D963" s="4">
        <v>10.108064516129032</v>
      </c>
    </row>
    <row r="964" spans="1:4" x14ac:dyDescent="0.25">
      <c r="A964" s="3">
        <f>SUM(DATE(2024,5,20),TIME(16,0,0))</f>
        <v>45432.666666666664</v>
      </c>
      <c r="B964">
        <v>31.65</v>
      </c>
      <c r="C964">
        <v>7090</v>
      </c>
      <c r="D964" s="4">
        <v>10.209677419354838</v>
      </c>
    </row>
    <row r="965" spans="1:4" x14ac:dyDescent="0.25">
      <c r="A965" s="3">
        <f>SUM(DATE(2024,5,20),TIME(17,0,0))</f>
        <v>45432.708333333336</v>
      </c>
      <c r="B965">
        <v>31.85</v>
      </c>
      <c r="C965">
        <v>4810</v>
      </c>
      <c r="D965" s="4">
        <v>10.274193548387096</v>
      </c>
    </row>
    <row r="966" spans="1:4" x14ac:dyDescent="0.25">
      <c r="A966" s="3">
        <f>SUM(DATE(2024,5,20),TIME(18,0,0))</f>
        <v>45432.75</v>
      </c>
      <c r="B966">
        <v>31.975000000000001</v>
      </c>
      <c r="C966">
        <v>5065</v>
      </c>
      <c r="D966" s="4">
        <v>10.314516129032258</v>
      </c>
    </row>
    <row r="967" spans="1:4" x14ac:dyDescent="0.25">
      <c r="A967" s="3">
        <f>SUM(DATE(2024,5,20),TIME(19,0,0))</f>
        <v>45432.791666666664</v>
      </c>
      <c r="B967">
        <v>31.81</v>
      </c>
      <c r="C967">
        <v>2315</v>
      </c>
      <c r="D967" s="4">
        <v>10.261290322580644</v>
      </c>
    </row>
    <row r="968" spans="1:4" x14ac:dyDescent="0.25">
      <c r="A968" s="3">
        <f>SUM(DATE(2024,5,20),TIME(20,0,0))</f>
        <v>45432.833333333336</v>
      </c>
      <c r="B968">
        <v>31.934999999999999</v>
      </c>
      <c r="C968">
        <v>6795</v>
      </c>
      <c r="D968" s="4">
        <v>10.301612903225806</v>
      </c>
    </row>
    <row r="969" spans="1:4" x14ac:dyDescent="0.25">
      <c r="A969" s="3">
        <f>SUM(DATE(2024,5,20),TIME(21,0,0))</f>
        <v>45432.875</v>
      </c>
      <c r="B969">
        <v>32.130000000000003</v>
      </c>
      <c r="C969">
        <v>5860</v>
      </c>
      <c r="D969" s="4">
        <v>10.364516129032259</v>
      </c>
    </row>
    <row r="970" spans="1:4" x14ac:dyDescent="0.25">
      <c r="A970" s="3">
        <f>SUM(DATE(2024,5,20),TIME(22,0,0))</f>
        <v>45432.916666666664</v>
      </c>
      <c r="B970">
        <v>31.85</v>
      </c>
      <c r="C970">
        <v>7875</v>
      </c>
      <c r="D970" s="4">
        <v>10.274193548387096</v>
      </c>
    </row>
    <row r="971" spans="1:4" x14ac:dyDescent="0.25">
      <c r="A971" s="3">
        <f>SUM(DATE(2024,5,20),TIME(23,0,0))</f>
        <v>45432.958333333336</v>
      </c>
      <c r="B971">
        <v>31.71</v>
      </c>
      <c r="C971">
        <v>11135</v>
      </c>
      <c r="D971" s="4">
        <v>10.229032258064516</v>
      </c>
    </row>
    <row r="972" spans="1:4" x14ac:dyDescent="0.25">
      <c r="A972" s="3">
        <f>SUM(DATE(2024,5,21),TIME(14,0,0))</f>
        <v>45433.583333333336</v>
      </c>
      <c r="B972">
        <v>31.65</v>
      </c>
      <c r="C972">
        <v>2645</v>
      </c>
      <c r="D972" s="4">
        <v>10.209677419354838</v>
      </c>
    </row>
    <row r="973" spans="1:4" x14ac:dyDescent="0.25">
      <c r="A973" s="3">
        <f>SUM(DATE(2024,5,21),TIME(15,0,0))</f>
        <v>45433.625</v>
      </c>
      <c r="B973">
        <v>31.925000000000001</v>
      </c>
      <c r="C973">
        <v>5415</v>
      </c>
      <c r="D973" s="4">
        <v>10.298387096774194</v>
      </c>
    </row>
    <row r="974" spans="1:4" x14ac:dyDescent="0.25">
      <c r="A974" s="3">
        <f>SUM(DATE(2024,5,21),TIME(16,0,0))</f>
        <v>45433.666666666664</v>
      </c>
      <c r="B974">
        <v>31.73</v>
      </c>
      <c r="C974">
        <v>5125</v>
      </c>
      <c r="D974" s="4">
        <v>10.235483870967741</v>
      </c>
    </row>
    <row r="975" spans="1:4" x14ac:dyDescent="0.25">
      <c r="A975" s="3">
        <f>SUM(DATE(2024,5,21),TIME(17,0,0))</f>
        <v>45433.708333333336</v>
      </c>
      <c r="B975">
        <v>31.53</v>
      </c>
      <c r="C975">
        <v>5250</v>
      </c>
      <c r="D975" s="4">
        <v>10.170967741935485</v>
      </c>
    </row>
    <row r="976" spans="1:4" x14ac:dyDescent="0.25">
      <c r="A976" s="3">
        <f>SUM(DATE(2024,5,21),TIME(18,0,0))</f>
        <v>45433.75</v>
      </c>
      <c r="B976">
        <v>31.56</v>
      </c>
      <c r="C976">
        <v>4465</v>
      </c>
      <c r="D976" s="4">
        <v>10.180645161290322</v>
      </c>
    </row>
    <row r="977" spans="1:4" x14ac:dyDescent="0.25">
      <c r="A977" s="3">
        <f>SUM(DATE(2024,5,21),TIME(19,0,0))</f>
        <v>45433.791666666664</v>
      </c>
      <c r="B977">
        <v>32.15</v>
      </c>
      <c r="C977">
        <v>6250</v>
      </c>
      <c r="D977" s="4">
        <v>10.370967741935484</v>
      </c>
    </row>
    <row r="978" spans="1:4" x14ac:dyDescent="0.25">
      <c r="A978" s="3">
        <f>SUM(DATE(2024,5,21),TIME(20,0,0))</f>
        <v>45433.833333333336</v>
      </c>
      <c r="B978">
        <v>32.534999999999997</v>
      </c>
      <c r="C978">
        <v>6250</v>
      </c>
      <c r="D978" s="4">
        <v>10.49516129032258</v>
      </c>
    </row>
    <row r="979" spans="1:4" x14ac:dyDescent="0.25">
      <c r="A979" s="3">
        <f>SUM(DATE(2024,5,21),TIME(21,0,0))</f>
        <v>45433.875</v>
      </c>
      <c r="B979">
        <v>32.784999999999997</v>
      </c>
      <c r="C979">
        <v>8445</v>
      </c>
      <c r="D979" s="4">
        <v>10.575806451612902</v>
      </c>
    </row>
    <row r="980" spans="1:4" x14ac:dyDescent="0.25">
      <c r="A980" s="3">
        <f>SUM(DATE(2024,5,21),TIME(22,0,0))</f>
        <v>45433.916666666664</v>
      </c>
      <c r="B980">
        <v>33.115000000000002</v>
      </c>
      <c r="C980">
        <v>10330</v>
      </c>
      <c r="D980" s="4">
        <v>10.68225806451613</v>
      </c>
    </row>
    <row r="981" spans="1:4" x14ac:dyDescent="0.25">
      <c r="A981" s="3">
        <f>SUM(DATE(2024,5,21),TIME(23,0,0))</f>
        <v>45433.958333333336</v>
      </c>
      <c r="B981">
        <v>32.9</v>
      </c>
      <c r="C981">
        <v>11485</v>
      </c>
      <c r="D981" s="4">
        <v>10.61290322580645</v>
      </c>
    </row>
    <row r="982" spans="1:4" x14ac:dyDescent="0.25">
      <c r="A982" s="3">
        <f>SUM(DATE(2024,5,22),TIME(14,0,0))</f>
        <v>45434.583333333336</v>
      </c>
      <c r="B982">
        <v>33.5</v>
      </c>
      <c r="C982">
        <v>4550</v>
      </c>
      <c r="D982" s="4">
        <v>10.806451612903226</v>
      </c>
    </row>
    <row r="983" spans="1:4" x14ac:dyDescent="0.25">
      <c r="A983" s="3">
        <f>SUM(DATE(2024,5,22),TIME(15,0,0))</f>
        <v>45434.625</v>
      </c>
      <c r="B983">
        <v>33.484999999999999</v>
      </c>
      <c r="C983">
        <v>8640</v>
      </c>
      <c r="D983" s="4">
        <v>10.801612903225806</v>
      </c>
    </row>
    <row r="984" spans="1:4" x14ac:dyDescent="0.25">
      <c r="A984" s="3">
        <f>SUM(DATE(2024,5,22),TIME(16,0,0))</f>
        <v>45434.666666666664</v>
      </c>
      <c r="B984">
        <v>33.234999999999999</v>
      </c>
      <c r="C984">
        <v>9715</v>
      </c>
      <c r="D984" s="4">
        <v>10.720967741935484</v>
      </c>
    </row>
    <row r="985" spans="1:4" x14ac:dyDescent="0.25">
      <c r="A985" s="3">
        <f>SUM(DATE(2024,5,22),TIME(17,0,0))</f>
        <v>45434.708333333336</v>
      </c>
      <c r="B985">
        <v>33.725000000000001</v>
      </c>
      <c r="C985">
        <v>5215</v>
      </c>
      <c r="D985" s="4">
        <v>10.879032258064516</v>
      </c>
    </row>
    <row r="986" spans="1:4" x14ac:dyDescent="0.25">
      <c r="A986" s="3">
        <f>SUM(DATE(2024,5,22),TIME(18,0,0))</f>
        <v>45434.75</v>
      </c>
      <c r="B986">
        <v>34</v>
      </c>
      <c r="C986">
        <v>5805</v>
      </c>
      <c r="D986" s="4">
        <v>10.96774193548387</v>
      </c>
    </row>
    <row r="987" spans="1:4" x14ac:dyDescent="0.25">
      <c r="A987" s="3">
        <f>SUM(DATE(2024,5,22),TIME(19,0,0))</f>
        <v>45434.791666666664</v>
      </c>
      <c r="B987">
        <v>34.25</v>
      </c>
      <c r="C987">
        <v>7205</v>
      </c>
      <c r="D987" s="4">
        <v>11.048387096774194</v>
      </c>
    </row>
    <row r="988" spans="1:4" x14ac:dyDescent="0.25">
      <c r="A988" s="3">
        <f>SUM(DATE(2024,5,22),TIME(20,0,0))</f>
        <v>45434.833333333336</v>
      </c>
      <c r="B988">
        <v>33.78</v>
      </c>
      <c r="C988">
        <v>5755</v>
      </c>
      <c r="D988" s="4">
        <v>10.896774193548387</v>
      </c>
    </row>
    <row r="989" spans="1:4" x14ac:dyDescent="0.25">
      <c r="A989" s="3">
        <f>SUM(DATE(2024,5,22),TIME(21,0,0))</f>
        <v>45434.875</v>
      </c>
      <c r="B989">
        <v>34.225000000000001</v>
      </c>
      <c r="C989">
        <v>7150</v>
      </c>
      <c r="D989" s="4">
        <v>11.040322580645162</v>
      </c>
    </row>
    <row r="990" spans="1:4" x14ac:dyDescent="0.25">
      <c r="A990" s="3">
        <f>SUM(DATE(2024,5,22),TIME(22,0,0))</f>
        <v>45434.916666666664</v>
      </c>
      <c r="B990">
        <v>34.22</v>
      </c>
      <c r="C990">
        <v>9280</v>
      </c>
      <c r="D990" s="4">
        <v>11.038709677419353</v>
      </c>
    </row>
    <row r="991" spans="1:4" x14ac:dyDescent="0.25">
      <c r="A991" s="3">
        <f>SUM(DATE(2024,5,22),TIME(23,0,0))</f>
        <v>45434.958333333336</v>
      </c>
      <c r="B991">
        <v>34.765000000000001</v>
      </c>
      <c r="C991">
        <v>13445</v>
      </c>
      <c r="D991" s="4">
        <v>11.214516129032258</v>
      </c>
    </row>
    <row r="992" spans="1:4" x14ac:dyDescent="0.25">
      <c r="A992" s="3">
        <f>SUM(DATE(2024,5,23),TIME(14,0,0))</f>
        <v>45435.583333333336</v>
      </c>
      <c r="B992">
        <v>34.204999999999998</v>
      </c>
      <c r="C992">
        <v>5000</v>
      </c>
      <c r="D992" s="4">
        <v>11.033870967741935</v>
      </c>
    </row>
    <row r="993" spans="1:4" x14ac:dyDescent="0.25">
      <c r="A993" s="3">
        <f>SUM(DATE(2024,5,23),TIME(15,0,0))</f>
        <v>45435.625</v>
      </c>
      <c r="B993">
        <v>34.9</v>
      </c>
      <c r="C993">
        <v>4645</v>
      </c>
      <c r="D993" s="4">
        <v>11.258064516129032</v>
      </c>
    </row>
    <row r="994" spans="1:4" x14ac:dyDescent="0.25">
      <c r="A994" s="3">
        <f>SUM(DATE(2024,5,23),TIME(16,0,0))</f>
        <v>45435.666666666664</v>
      </c>
      <c r="B994">
        <v>35.15</v>
      </c>
      <c r="C994">
        <v>8170</v>
      </c>
      <c r="D994" s="4">
        <v>11.338709677419354</v>
      </c>
    </row>
    <row r="995" spans="1:4" x14ac:dyDescent="0.25">
      <c r="A995" s="3">
        <f>SUM(DATE(2024,5,23),TIME(17,0,0))</f>
        <v>45435.708333333336</v>
      </c>
      <c r="B995">
        <v>36.11</v>
      </c>
      <c r="C995">
        <v>14500</v>
      </c>
      <c r="D995" s="4">
        <v>11.648387096774194</v>
      </c>
    </row>
    <row r="996" spans="1:4" x14ac:dyDescent="0.25">
      <c r="A996" s="3">
        <f>SUM(DATE(2024,5,23),TIME(18,0,0))</f>
        <v>45435.75</v>
      </c>
      <c r="B996">
        <v>35.75</v>
      </c>
      <c r="C996">
        <v>10075</v>
      </c>
      <c r="D996" s="4">
        <v>11.532258064516128</v>
      </c>
    </row>
    <row r="997" spans="1:4" x14ac:dyDescent="0.25">
      <c r="A997" s="3">
        <f>SUM(DATE(2024,5,23),TIME(19,0,0))</f>
        <v>45435.791666666664</v>
      </c>
      <c r="B997">
        <v>35.865000000000002</v>
      </c>
      <c r="C997">
        <v>3700</v>
      </c>
      <c r="D997" s="4">
        <v>11.569354838709678</v>
      </c>
    </row>
    <row r="998" spans="1:4" x14ac:dyDescent="0.25">
      <c r="A998" s="3">
        <f>SUM(DATE(2024,5,23),TIME(20,0,0))</f>
        <v>45435.833333333336</v>
      </c>
      <c r="B998">
        <v>35.32</v>
      </c>
      <c r="C998">
        <v>7865</v>
      </c>
      <c r="D998" s="4">
        <v>11.393548387096773</v>
      </c>
    </row>
    <row r="999" spans="1:4" x14ac:dyDescent="0.25">
      <c r="A999" s="3">
        <f>SUM(DATE(2024,5,23),TIME(21,0,0))</f>
        <v>45435.875</v>
      </c>
      <c r="B999">
        <v>34.549999999999997</v>
      </c>
      <c r="C999">
        <v>9400</v>
      </c>
      <c r="D999" s="4">
        <v>11.14516129032258</v>
      </c>
    </row>
    <row r="1000" spans="1:4" x14ac:dyDescent="0.25">
      <c r="A1000" s="3">
        <f>SUM(DATE(2024,5,23),TIME(22,0,0))</f>
        <v>45435.916666666664</v>
      </c>
      <c r="B1000">
        <v>35.53</v>
      </c>
      <c r="C1000">
        <v>9185</v>
      </c>
      <c r="D1000" s="4">
        <v>11.461290322580645</v>
      </c>
    </row>
    <row r="1001" spans="1:4" x14ac:dyDescent="0.25">
      <c r="A1001" s="3">
        <f>SUM(DATE(2024,5,23),TIME(23,0,0))</f>
        <v>45435.958333333336</v>
      </c>
      <c r="B1001">
        <v>35.369999999999997</v>
      </c>
      <c r="C1001">
        <v>11910</v>
      </c>
      <c r="D1001" s="4">
        <v>11.409677419354837</v>
      </c>
    </row>
    <row r="1002" spans="1:4" x14ac:dyDescent="0.25">
      <c r="A1002" s="3">
        <f>SUM(DATE(2024,5,24),TIME(14,0,0))</f>
        <v>45436.583333333336</v>
      </c>
      <c r="B1002">
        <v>35.03</v>
      </c>
      <c r="C1002">
        <v>3305</v>
      </c>
      <c r="D1002" s="4">
        <v>11.3</v>
      </c>
    </row>
    <row r="1003" spans="1:4" x14ac:dyDescent="0.25">
      <c r="A1003" s="3">
        <f>SUM(DATE(2024,5,24),TIME(15,0,0))</f>
        <v>45436.625</v>
      </c>
      <c r="B1003">
        <v>34.93</v>
      </c>
      <c r="C1003">
        <v>4790</v>
      </c>
      <c r="D1003" s="4">
        <v>11.267741935483871</v>
      </c>
    </row>
    <row r="1004" spans="1:4" x14ac:dyDescent="0.25">
      <c r="A1004" s="3">
        <f>SUM(DATE(2024,5,24),TIME(16,0,0))</f>
        <v>45436.666666666664</v>
      </c>
      <c r="B1004">
        <v>34.244999999999997</v>
      </c>
      <c r="C1004">
        <v>7480</v>
      </c>
      <c r="D1004" s="4">
        <v>11.046774193548385</v>
      </c>
    </row>
    <row r="1005" spans="1:4" x14ac:dyDescent="0.25">
      <c r="A1005" s="3">
        <f>SUM(DATE(2024,5,24),TIME(17,0,0))</f>
        <v>45436.708333333336</v>
      </c>
      <c r="B1005">
        <v>34.44</v>
      </c>
      <c r="C1005">
        <v>6015</v>
      </c>
      <c r="D1005" s="4">
        <v>11.109677419354838</v>
      </c>
    </row>
    <row r="1006" spans="1:4" x14ac:dyDescent="0.25">
      <c r="A1006" s="3">
        <f>SUM(DATE(2024,5,24),TIME(18,0,0))</f>
        <v>45436.75</v>
      </c>
      <c r="B1006">
        <v>34.28</v>
      </c>
      <c r="C1006">
        <v>3825</v>
      </c>
      <c r="D1006" s="4">
        <v>11.058064516129033</v>
      </c>
    </row>
    <row r="1007" spans="1:4" x14ac:dyDescent="0.25">
      <c r="A1007" s="3">
        <f>SUM(DATE(2024,5,24),TIME(19,0,0))</f>
        <v>45436.791666666664</v>
      </c>
      <c r="B1007">
        <v>34.305</v>
      </c>
      <c r="C1007">
        <v>4450</v>
      </c>
      <c r="D1007" s="4">
        <v>11.066129032258065</v>
      </c>
    </row>
    <row r="1008" spans="1:4" x14ac:dyDescent="0.25">
      <c r="A1008" s="3">
        <f>SUM(DATE(2024,5,24),TIME(20,0,0))</f>
        <v>45436.833333333336</v>
      </c>
      <c r="B1008">
        <v>33.805</v>
      </c>
      <c r="C1008">
        <v>11830</v>
      </c>
      <c r="D1008" s="4">
        <v>10.904838709677419</v>
      </c>
    </row>
    <row r="1009" spans="1:4" x14ac:dyDescent="0.25">
      <c r="A1009" s="3">
        <f>SUM(DATE(2024,5,24),TIME(21,0,0))</f>
        <v>45436.875</v>
      </c>
      <c r="B1009">
        <v>33.93</v>
      </c>
      <c r="C1009">
        <v>6060</v>
      </c>
      <c r="D1009" s="4">
        <v>10.945161290322581</v>
      </c>
    </row>
    <row r="1010" spans="1:4" x14ac:dyDescent="0.25">
      <c r="A1010" s="3">
        <f>SUM(DATE(2024,5,24),TIME(22,0,0))</f>
        <v>45436.916666666664</v>
      </c>
      <c r="B1010">
        <v>33.9</v>
      </c>
      <c r="C1010">
        <v>4405</v>
      </c>
      <c r="D1010" s="4">
        <v>10.935483870967742</v>
      </c>
    </row>
    <row r="1011" spans="1:4" x14ac:dyDescent="0.25">
      <c r="A1011" s="3">
        <f>SUM(DATE(2024,5,24),TIME(23,0,0))</f>
        <v>45436.958333333336</v>
      </c>
      <c r="B1011">
        <v>33.97</v>
      </c>
      <c r="C1011">
        <v>14205</v>
      </c>
      <c r="D1011" s="4">
        <v>10.958064516129031</v>
      </c>
    </row>
    <row r="1012" spans="1:4" x14ac:dyDescent="0.25">
      <c r="A1012" s="3">
        <f>SUM(DATE(2024,5,27),TIME(14,0,0))</f>
        <v>45439.583333333336</v>
      </c>
      <c r="B1012">
        <v>34.700000000000003</v>
      </c>
      <c r="C1012">
        <v>1620</v>
      </c>
      <c r="D1012" s="4">
        <v>11.193548387096774</v>
      </c>
    </row>
    <row r="1013" spans="1:4" x14ac:dyDescent="0.25">
      <c r="A1013" s="3">
        <f>SUM(DATE(2024,5,27),TIME(15,0,0))</f>
        <v>45439.625</v>
      </c>
      <c r="B1013">
        <v>34.4</v>
      </c>
      <c r="C1013">
        <v>2620</v>
      </c>
      <c r="D1013" s="4">
        <v>11.096774193548386</v>
      </c>
    </row>
    <row r="1014" spans="1:4" x14ac:dyDescent="0.25">
      <c r="A1014" s="3">
        <f>SUM(DATE(2024,5,27),TIME(16,0,0))</f>
        <v>45439.666666666664</v>
      </c>
      <c r="B1014">
        <v>34.414999999999999</v>
      </c>
      <c r="C1014">
        <v>1625</v>
      </c>
      <c r="D1014" s="4">
        <v>11.101612903225806</v>
      </c>
    </row>
    <row r="1015" spans="1:4" x14ac:dyDescent="0.25">
      <c r="A1015" s="3">
        <f>SUM(DATE(2024,5,27),TIME(17,0,0))</f>
        <v>45439.708333333336</v>
      </c>
      <c r="B1015">
        <v>34.905000000000001</v>
      </c>
      <c r="C1015">
        <v>2330</v>
      </c>
      <c r="D1015" s="4">
        <v>11.259677419354839</v>
      </c>
    </row>
    <row r="1016" spans="1:4" x14ac:dyDescent="0.25">
      <c r="A1016" s="3">
        <f>SUM(DATE(2024,5,27),TIME(18,0,0))</f>
        <v>45439.75</v>
      </c>
      <c r="B1016">
        <v>34.64</v>
      </c>
      <c r="C1016">
        <v>1100</v>
      </c>
      <c r="D1016" s="4">
        <v>11.174193548387096</v>
      </c>
    </row>
    <row r="1017" spans="1:4" x14ac:dyDescent="0.25">
      <c r="A1017" s="3">
        <f>SUM(DATE(2024,5,27),TIME(19,0,0))</f>
        <v>45439.791666666664</v>
      </c>
      <c r="B1017">
        <v>34.520000000000003</v>
      </c>
      <c r="C1017">
        <v>1160</v>
      </c>
      <c r="D1017" s="4">
        <v>11.135483870967743</v>
      </c>
    </row>
    <row r="1018" spans="1:4" x14ac:dyDescent="0.25">
      <c r="A1018" s="3">
        <f>SUM(DATE(2024,5,27),TIME(20,0,0))</f>
        <v>45439.833333333336</v>
      </c>
      <c r="B1018">
        <v>34.549999999999997</v>
      </c>
      <c r="C1018">
        <v>1760</v>
      </c>
      <c r="D1018" s="4">
        <v>11.14516129032258</v>
      </c>
    </row>
    <row r="1019" spans="1:4" x14ac:dyDescent="0.25">
      <c r="A1019" s="3">
        <f>SUM(DATE(2024,5,27),TIME(21,0,0))</f>
        <v>45439.875</v>
      </c>
      <c r="B1019">
        <v>34.99</v>
      </c>
      <c r="C1019">
        <v>2795</v>
      </c>
      <c r="D1019" s="4">
        <v>11.287096774193548</v>
      </c>
    </row>
    <row r="1020" spans="1:4" x14ac:dyDescent="0.25">
      <c r="A1020" s="3">
        <f>SUM(DATE(2024,5,27),TIME(22,0,0))</f>
        <v>45439.916666666664</v>
      </c>
      <c r="B1020">
        <v>34.924999999999997</v>
      </c>
      <c r="C1020">
        <v>2705</v>
      </c>
      <c r="D1020" s="4">
        <v>11.266129032258064</v>
      </c>
    </row>
    <row r="1021" spans="1:4" x14ac:dyDescent="0.25">
      <c r="A1021" s="3">
        <f>SUM(DATE(2024,5,27),TIME(23,0,0))</f>
        <v>45439.958333333336</v>
      </c>
      <c r="B1021">
        <v>35</v>
      </c>
      <c r="C1021">
        <v>4505</v>
      </c>
      <c r="D1021" s="4">
        <v>11.29032258064516</v>
      </c>
    </row>
    <row r="1022" spans="1:4" x14ac:dyDescent="0.25">
      <c r="A1022" s="3">
        <f>SUM(DATE(2024,5,28),TIME(14,0,0))</f>
        <v>45440.583333333336</v>
      </c>
      <c r="B1022">
        <v>34.424999999999997</v>
      </c>
      <c r="C1022">
        <v>2585</v>
      </c>
      <c r="D1022" s="4">
        <v>11.104838709677418</v>
      </c>
    </row>
    <row r="1023" spans="1:4" x14ac:dyDescent="0.25">
      <c r="A1023" s="3">
        <f>SUM(DATE(2024,5,28),TIME(15,0,0))</f>
        <v>45440.625</v>
      </c>
      <c r="B1023">
        <v>34</v>
      </c>
      <c r="C1023">
        <v>4660</v>
      </c>
      <c r="D1023" s="4">
        <v>10.96774193548387</v>
      </c>
    </row>
    <row r="1024" spans="1:4" x14ac:dyDescent="0.25">
      <c r="A1024" s="3">
        <f>SUM(DATE(2024,5,28),TIME(16,0,0))</f>
        <v>45440.666666666664</v>
      </c>
      <c r="B1024">
        <v>34.14</v>
      </c>
      <c r="C1024">
        <v>4705</v>
      </c>
      <c r="D1024" s="4">
        <v>11.012903225806452</v>
      </c>
    </row>
    <row r="1025" spans="1:4" x14ac:dyDescent="0.25">
      <c r="A1025" s="3">
        <f>SUM(DATE(2024,5,28),TIME(17,0,0))</f>
        <v>45440.708333333336</v>
      </c>
      <c r="B1025">
        <v>34.5</v>
      </c>
      <c r="C1025">
        <v>4495</v>
      </c>
      <c r="D1025" s="4">
        <v>11.129032258064516</v>
      </c>
    </row>
    <row r="1026" spans="1:4" x14ac:dyDescent="0.25">
      <c r="A1026" s="3">
        <f>SUM(DATE(2024,5,28),TIME(18,0,0))</f>
        <v>45440.75</v>
      </c>
      <c r="B1026">
        <v>33.854999999999997</v>
      </c>
      <c r="C1026">
        <v>4815</v>
      </c>
      <c r="D1026" s="4">
        <v>10.920967741935483</v>
      </c>
    </row>
    <row r="1027" spans="1:4" x14ac:dyDescent="0.25">
      <c r="A1027" s="3">
        <f>SUM(DATE(2024,5,28),TIME(19,0,0))</f>
        <v>45440.791666666664</v>
      </c>
      <c r="B1027">
        <v>33.76</v>
      </c>
      <c r="C1027">
        <v>4145</v>
      </c>
      <c r="D1027" s="4">
        <v>10.89032258064516</v>
      </c>
    </row>
    <row r="1028" spans="1:4" x14ac:dyDescent="0.25">
      <c r="A1028" s="3">
        <f>SUM(DATE(2024,5,28),TIME(20,0,0))</f>
        <v>45440.833333333336</v>
      </c>
      <c r="B1028">
        <v>33.575000000000003</v>
      </c>
      <c r="C1028">
        <v>5115</v>
      </c>
      <c r="D1028" s="4">
        <v>10.830645161290324</v>
      </c>
    </row>
    <row r="1029" spans="1:4" x14ac:dyDescent="0.25">
      <c r="A1029" s="3">
        <f>SUM(DATE(2024,5,28),TIME(21,0,0))</f>
        <v>45440.875</v>
      </c>
      <c r="B1029">
        <v>33.67</v>
      </c>
      <c r="C1029">
        <v>4840</v>
      </c>
      <c r="D1029" s="4">
        <v>10.861290322580645</v>
      </c>
    </row>
    <row r="1030" spans="1:4" x14ac:dyDescent="0.25">
      <c r="A1030" s="3">
        <f>SUM(DATE(2024,5,28),TIME(22,0,0))</f>
        <v>45440.916666666664</v>
      </c>
      <c r="B1030">
        <v>33.555</v>
      </c>
      <c r="C1030">
        <v>5335</v>
      </c>
      <c r="D1030" s="4">
        <v>10.824193548387097</v>
      </c>
    </row>
    <row r="1031" spans="1:4" x14ac:dyDescent="0.25">
      <c r="A1031" s="3">
        <f>SUM(DATE(2024,5,28),TIME(23,0,0))</f>
        <v>45440.958333333336</v>
      </c>
      <c r="B1031">
        <v>33.545000000000002</v>
      </c>
      <c r="C1031">
        <v>7885</v>
      </c>
      <c r="D1031" s="4">
        <v>10.820967741935483</v>
      </c>
    </row>
    <row r="1032" spans="1:4" x14ac:dyDescent="0.25">
      <c r="A1032" s="3">
        <f>SUM(DATE(2024,5,29),TIME(14,0,0))</f>
        <v>45441.583333333336</v>
      </c>
      <c r="B1032">
        <v>33.82</v>
      </c>
      <c r="C1032">
        <v>2605</v>
      </c>
      <c r="D1032" s="4">
        <v>10.909677419354839</v>
      </c>
    </row>
    <row r="1033" spans="1:4" x14ac:dyDescent="0.25">
      <c r="A1033" s="3">
        <f>SUM(DATE(2024,5,29),TIME(15,0,0))</f>
        <v>45441.625</v>
      </c>
      <c r="B1033">
        <v>34.15</v>
      </c>
      <c r="C1033">
        <v>5350</v>
      </c>
      <c r="D1033" s="4">
        <v>11.016129032258064</v>
      </c>
    </row>
    <row r="1034" spans="1:4" x14ac:dyDescent="0.25">
      <c r="A1034" s="3">
        <f>SUM(DATE(2024,5,29),TIME(16,0,0))</f>
        <v>45441.666666666664</v>
      </c>
      <c r="B1034">
        <v>33.520000000000003</v>
      </c>
      <c r="C1034">
        <v>4280</v>
      </c>
      <c r="D1034" s="4">
        <v>10.812903225806453</v>
      </c>
    </row>
    <row r="1035" spans="1:4" x14ac:dyDescent="0.25">
      <c r="A1035" s="3">
        <f>SUM(DATE(2024,5,29),TIME(17,0,0))</f>
        <v>45441.708333333336</v>
      </c>
      <c r="B1035">
        <v>33.524999999999999</v>
      </c>
      <c r="C1035">
        <v>2665</v>
      </c>
      <c r="D1035" s="4">
        <v>10.814516129032258</v>
      </c>
    </row>
    <row r="1036" spans="1:4" x14ac:dyDescent="0.25">
      <c r="A1036" s="3">
        <f>SUM(DATE(2024,5,29),TIME(18,0,0))</f>
        <v>45441.75</v>
      </c>
      <c r="B1036">
        <v>33.340000000000003</v>
      </c>
      <c r="C1036">
        <v>4550</v>
      </c>
      <c r="D1036" s="4">
        <v>10.75483870967742</v>
      </c>
    </row>
    <row r="1037" spans="1:4" x14ac:dyDescent="0.25">
      <c r="A1037" s="3">
        <f>SUM(DATE(2024,5,29),TIME(19,0,0))</f>
        <v>45441.791666666664</v>
      </c>
      <c r="B1037">
        <v>33.564999999999998</v>
      </c>
      <c r="C1037">
        <v>1980</v>
      </c>
      <c r="D1037" s="4">
        <v>10.827419354838709</v>
      </c>
    </row>
    <row r="1038" spans="1:4" x14ac:dyDescent="0.25">
      <c r="A1038" s="3">
        <f>SUM(DATE(2024,5,29),TIME(20,0,0))</f>
        <v>45441.833333333336</v>
      </c>
      <c r="B1038">
        <v>33.53</v>
      </c>
      <c r="C1038">
        <v>2365</v>
      </c>
      <c r="D1038" s="4">
        <v>10.816129032258065</v>
      </c>
    </row>
    <row r="1039" spans="1:4" x14ac:dyDescent="0.25">
      <c r="A1039" s="3">
        <f>SUM(DATE(2024,5,29),TIME(21,0,0))</f>
        <v>45441.875</v>
      </c>
      <c r="B1039">
        <v>33.4</v>
      </c>
      <c r="C1039">
        <v>1770</v>
      </c>
      <c r="D1039" s="4">
        <v>10.774193548387096</v>
      </c>
    </row>
    <row r="1040" spans="1:4" x14ac:dyDescent="0.25">
      <c r="A1040" s="3">
        <f>SUM(DATE(2024,5,29),TIME(22,0,0))</f>
        <v>45441.916666666664</v>
      </c>
      <c r="B1040">
        <v>33.67</v>
      </c>
      <c r="C1040">
        <v>3150</v>
      </c>
      <c r="D1040" s="4">
        <v>10.861290322580645</v>
      </c>
    </row>
    <row r="1041" spans="1:4" x14ac:dyDescent="0.25">
      <c r="A1041" s="3">
        <f>SUM(DATE(2024,5,29),TIME(23,0,0))</f>
        <v>45441.958333333336</v>
      </c>
      <c r="B1041">
        <v>33.83</v>
      </c>
      <c r="C1041">
        <v>6315</v>
      </c>
      <c r="D1041" s="4">
        <v>10.912903225806451</v>
      </c>
    </row>
    <row r="1042" spans="1:4" x14ac:dyDescent="0.25">
      <c r="A1042" s="3">
        <f>SUM(DATE(2024,5,30),TIME(14,0,0))</f>
        <v>45442.583333333336</v>
      </c>
      <c r="B1042">
        <v>33.909999999999997</v>
      </c>
      <c r="C1042">
        <v>450</v>
      </c>
      <c r="D1042" s="4">
        <v>10.938709677419354</v>
      </c>
    </row>
    <row r="1043" spans="1:4" x14ac:dyDescent="0.25">
      <c r="A1043" s="3">
        <f>SUM(DATE(2024,5,30),TIME(15,0,0))</f>
        <v>45442.625</v>
      </c>
      <c r="B1043">
        <v>34.049999999999997</v>
      </c>
      <c r="C1043">
        <v>1320</v>
      </c>
      <c r="D1043" s="4">
        <v>10.983870967741934</v>
      </c>
    </row>
    <row r="1044" spans="1:4" x14ac:dyDescent="0.25">
      <c r="A1044" s="3">
        <f>SUM(DATE(2024,5,30),TIME(16,0,0))</f>
        <v>45442.666666666664</v>
      </c>
      <c r="B1044">
        <v>33.97</v>
      </c>
      <c r="C1044">
        <v>1820</v>
      </c>
      <c r="D1044" s="4">
        <v>10.958064516129031</v>
      </c>
    </row>
    <row r="1045" spans="1:4" x14ac:dyDescent="0.25">
      <c r="A1045" s="3">
        <f>SUM(DATE(2024,5,30),TIME(17,0,0))</f>
        <v>45442.708333333336</v>
      </c>
      <c r="B1045">
        <v>34.35</v>
      </c>
      <c r="C1045">
        <v>1450</v>
      </c>
      <c r="D1045" s="4">
        <v>11.080645161290322</v>
      </c>
    </row>
    <row r="1046" spans="1:4" x14ac:dyDescent="0.25">
      <c r="A1046" s="3">
        <f>SUM(DATE(2024,5,30),TIME(18,0,0))</f>
        <v>45442.75</v>
      </c>
      <c r="B1046">
        <v>34.25</v>
      </c>
      <c r="C1046">
        <v>1455</v>
      </c>
      <c r="D1046" s="4">
        <v>11.048387096774194</v>
      </c>
    </row>
    <row r="1047" spans="1:4" x14ac:dyDescent="0.25">
      <c r="A1047" s="3">
        <f>SUM(DATE(2024,5,30),TIME(19,0,0))</f>
        <v>45442.791666666664</v>
      </c>
      <c r="B1047">
        <v>34.424999999999997</v>
      </c>
      <c r="C1047">
        <v>1025</v>
      </c>
      <c r="D1047" s="4">
        <v>11.104838709677418</v>
      </c>
    </row>
    <row r="1048" spans="1:4" x14ac:dyDescent="0.25">
      <c r="A1048" s="3">
        <f>SUM(DATE(2024,5,30),TIME(20,0,0))</f>
        <v>45442.833333333336</v>
      </c>
      <c r="B1048">
        <v>34.43</v>
      </c>
      <c r="C1048">
        <v>945</v>
      </c>
      <c r="D1048" s="4">
        <v>11.106451612903225</v>
      </c>
    </row>
    <row r="1049" spans="1:4" x14ac:dyDescent="0.25">
      <c r="A1049" s="3">
        <f>SUM(DATE(2024,5,30),TIME(21,0,0))</f>
        <v>45442.875</v>
      </c>
      <c r="B1049">
        <v>34.299999999999997</v>
      </c>
      <c r="C1049">
        <v>1070</v>
      </c>
      <c r="D1049" s="4">
        <v>11.064516129032256</v>
      </c>
    </row>
    <row r="1050" spans="1:4" x14ac:dyDescent="0.25">
      <c r="A1050" s="3">
        <f>SUM(DATE(2024,5,30),TIME(22,0,0))</f>
        <v>45442.916666666664</v>
      </c>
      <c r="B1050">
        <v>34.9</v>
      </c>
      <c r="C1050">
        <v>1755</v>
      </c>
      <c r="D1050" s="4">
        <v>11.258064516129032</v>
      </c>
    </row>
    <row r="1051" spans="1:4" x14ac:dyDescent="0.25">
      <c r="A1051" s="3">
        <f>SUM(DATE(2024,5,30),TIME(23,0,0))</f>
        <v>45442.958333333336</v>
      </c>
      <c r="B1051">
        <v>34.85</v>
      </c>
      <c r="C1051">
        <v>5970</v>
      </c>
      <c r="D1051" s="4">
        <v>11.241935483870968</v>
      </c>
    </row>
    <row r="1052" spans="1:4" x14ac:dyDescent="0.25">
      <c r="A1052" s="3">
        <f>SUM(DATE(2024,5,31),TIME(14,0,0))</f>
        <v>45443.583333333336</v>
      </c>
      <c r="B1052">
        <v>34.865000000000002</v>
      </c>
      <c r="C1052">
        <v>2855</v>
      </c>
      <c r="D1052" s="4">
        <v>11.246774193548388</v>
      </c>
    </row>
    <row r="1053" spans="1:4" x14ac:dyDescent="0.25">
      <c r="A1053" s="3">
        <f>SUM(DATE(2024,5,31),TIME(15,0,0))</f>
        <v>45443.625</v>
      </c>
      <c r="B1053">
        <v>35.200000000000003</v>
      </c>
      <c r="C1053">
        <v>4945</v>
      </c>
      <c r="D1053" s="4">
        <v>11.35483870967742</v>
      </c>
    </row>
    <row r="1054" spans="1:4" x14ac:dyDescent="0.25">
      <c r="A1054" s="3">
        <f>SUM(DATE(2024,5,31),TIME(16,0,0))</f>
        <v>45443.666666666664</v>
      </c>
      <c r="B1054">
        <v>35.11</v>
      </c>
      <c r="C1054">
        <v>5695</v>
      </c>
      <c r="D1054" s="4">
        <v>11.325806451612904</v>
      </c>
    </row>
    <row r="1055" spans="1:4" x14ac:dyDescent="0.25">
      <c r="A1055" s="3">
        <f>SUM(DATE(2024,5,31),TIME(17,0,0))</f>
        <v>45443.708333333336</v>
      </c>
      <c r="B1055">
        <v>35.479999999999997</v>
      </c>
      <c r="C1055">
        <v>5915</v>
      </c>
      <c r="D1055" s="4">
        <v>11.445161290322579</v>
      </c>
    </row>
    <row r="1056" spans="1:4" x14ac:dyDescent="0.25">
      <c r="A1056" s="3">
        <f>SUM(DATE(2024,5,31),TIME(18,0,0))</f>
        <v>45443.75</v>
      </c>
      <c r="B1056">
        <v>35.465000000000003</v>
      </c>
      <c r="C1056">
        <v>2925</v>
      </c>
      <c r="D1056" s="4">
        <v>11.440322580645162</v>
      </c>
    </row>
    <row r="1057" spans="1:4" x14ac:dyDescent="0.25">
      <c r="A1057" s="3">
        <f>SUM(DATE(2024,5,31),TIME(19,0,0))</f>
        <v>45443.791666666664</v>
      </c>
      <c r="B1057">
        <v>35.335000000000001</v>
      </c>
      <c r="C1057">
        <v>3100</v>
      </c>
      <c r="D1057" s="4">
        <v>11.398387096774194</v>
      </c>
    </row>
    <row r="1058" spans="1:4" x14ac:dyDescent="0.25">
      <c r="A1058" s="3">
        <f>SUM(DATE(2024,5,31),TIME(20,0,0))</f>
        <v>45443.833333333336</v>
      </c>
      <c r="B1058">
        <v>35.200000000000003</v>
      </c>
      <c r="C1058">
        <v>3705</v>
      </c>
      <c r="D1058" s="4">
        <v>11.35483870967742</v>
      </c>
    </row>
    <row r="1059" spans="1:4" x14ac:dyDescent="0.25">
      <c r="A1059" s="3">
        <f>SUM(DATE(2024,5,31),TIME(21,0,0))</f>
        <v>45443.875</v>
      </c>
      <c r="B1059">
        <v>34.549999999999997</v>
      </c>
      <c r="C1059">
        <v>7690</v>
      </c>
      <c r="D1059" s="4">
        <v>11.14516129032258</v>
      </c>
    </row>
    <row r="1060" spans="1:4" x14ac:dyDescent="0.25">
      <c r="A1060" s="3">
        <f>SUM(DATE(2024,5,31),TIME(22,0,0))</f>
        <v>45443.916666666664</v>
      </c>
      <c r="B1060">
        <v>34.61</v>
      </c>
      <c r="C1060">
        <v>7860</v>
      </c>
      <c r="D1060" s="4">
        <v>11.164516129032258</v>
      </c>
    </row>
    <row r="1061" spans="1:4" x14ac:dyDescent="0.25">
      <c r="A1061" s="3">
        <f>SUM(DATE(2024,5,31),TIME(23,0,0))</f>
        <v>45443.958333333336</v>
      </c>
      <c r="B1061">
        <v>34.69</v>
      </c>
      <c r="C1061">
        <v>14065</v>
      </c>
      <c r="D1061" s="4">
        <v>11.19032258064516</v>
      </c>
    </row>
    <row r="1062" spans="1:4" x14ac:dyDescent="0.25">
      <c r="A1062" s="3">
        <f>SUM(DATE(2024,6,3),TIME(14,0,0))</f>
        <v>45446.583333333336</v>
      </c>
      <c r="B1062">
        <v>36.119999999999997</v>
      </c>
      <c r="C1062">
        <v>7460</v>
      </c>
      <c r="D1062" s="4">
        <v>11.651612903225805</v>
      </c>
    </row>
    <row r="1063" spans="1:4" x14ac:dyDescent="0.25">
      <c r="A1063" s="3">
        <f>SUM(DATE(2024,6,3),TIME(15,0,0))</f>
        <v>45446.625</v>
      </c>
      <c r="B1063">
        <v>35.799999999999997</v>
      </c>
      <c r="C1063">
        <v>4440</v>
      </c>
      <c r="D1063" s="4">
        <v>11.548387096774192</v>
      </c>
    </row>
    <row r="1064" spans="1:4" x14ac:dyDescent="0.25">
      <c r="A1064" s="3">
        <f>SUM(DATE(2024,6,3),TIME(16,0,0))</f>
        <v>45446.666666666664</v>
      </c>
      <c r="B1064">
        <v>36.92</v>
      </c>
      <c r="C1064">
        <v>17845</v>
      </c>
      <c r="D1064" s="4">
        <v>11.909677419354839</v>
      </c>
    </row>
    <row r="1065" spans="1:4" x14ac:dyDescent="0.25">
      <c r="A1065" s="3">
        <f>SUM(DATE(2024,6,3),TIME(17,0,0))</f>
        <v>45446.708333333336</v>
      </c>
      <c r="B1065">
        <v>38.6</v>
      </c>
      <c r="C1065">
        <v>16875</v>
      </c>
      <c r="D1065" s="4">
        <v>12.451612903225806</v>
      </c>
    </row>
    <row r="1066" spans="1:4" x14ac:dyDescent="0.25">
      <c r="A1066" s="3">
        <f>SUM(DATE(2024,6,3),TIME(18,0,0))</f>
        <v>45446.75</v>
      </c>
      <c r="B1066">
        <v>37.935000000000002</v>
      </c>
      <c r="C1066">
        <v>9570</v>
      </c>
      <c r="D1066" s="4">
        <v>12.237096774193549</v>
      </c>
    </row>
    <row r="1067" spans="1:4" x14ac:dyDescent="0.25">
      <c r="A1067" s="3">
        <f>SUM(DATE(2024,6,3),TIME(19,0,0))</f>
        <v>45446.791666666664</v>
      </c>
      <c r="B1067">
        <v>37.075000000000003</v>
      </c>
      <c r="C1067">
        <v>11775</v>
      </c>
      <c r="D1067" s="4">
        <v>11.95967741935484</v>
      </c>
    </row>
    <row r="1068" spans="1:4" x14ac:dyDescent="0.25">
      <c r="A1068" s="3">
        <f>SUM(DATE(2024,6,3),TIME(20,0,0))</f>
        <v>45446.833333333336</v>
      </c>
      <c r="B1068">
        <v>37.090000000000003</v>
      </c>
      <c r="C1068">
        <v>11530</v>
      </c>
      <c r="D1068" s="4">
        <v>11.964516129032258</v>
      </c>
    </row>
    <row r="1069" spans="1:4" x14ac:dyDescent="0.25">
      <c r="A1069" s="3">
        <f>SUM(DATE(2024,6,3),TIME(21,0,0))</f>
        <v>45446.875</v>
      </c>
      <c r="B1069">
        <v>36.965000000000003</v>
      </c>
      <c r="C1069">
        <v>6400</v>
      </c>
      <c r="D1069" s="4">
        <v>11.924193548387098</v>
      </c>
    </row>
    <row r="1070" spans="1:4" x14ac:dyDescent="0.25">
      <c r="A1070" s="3">
        <f>SUM(DATE(2024,6,3),TIME(22,0,0))</f>
        <v>45446.916666666664</v>
      </c>
      <c r="B1070">
        <v>35.85</v>
      </c>
      <c r="C1070">
        <v>10160</v>
      </c>
      <c r="D1070" s="4">
        <v>11.564516129032258</v>
      </c>
    </row>
    <row r="1071" spans="1:4" x14ac:dyDescent="0.25">
      <c r="A1071" s="3">
        <f>SUM(DATE(2024,6,3),TIME(23,0,0))</f>
        <v>45446.958333333336</v>
      </c>
      <c r="B1071">
        <v>36.155000000000001</v>
      </c>
      <c r="C1071">
        <v>13265</v>
      </c>
      <c r="D1071" s="4">
        <v>11.662903225806451</v>
      </c>
    </row>
    <row r="1072" spans="1:4" x14ac:dyDescent="0.25">
      <c r="A1072" s="3">
        <f>SUM(DATE(2024,6,4),TIME(14,0,0))</f>
        <v>45447.583333333336</v>
      </c>
      <c r="B1072">
        <v>36.094999999999999</v>
      </c>
      <c r="C1072">
        <v>4025</v>
      </c>
      <c r="D1072" s="4">
        <v>11.643548387096773</v>
      </c>
    </row>
    <row r="1073" spans="1:4" x14ac:dyDescent="0.25">
      <c r="A1073" s="3">
        <f>SUM(DATE(2024,6,4),TIME(15,0,0))</f>
        <v>45447.625</v>
      </c>
      <c r="B1073">
        <v>35.765000000000001</v>
      </c>
      <c r="C1073">
        <v>8040</v>
      </c>
      <c r="D1073" s="4">
        <v>11.537096774193548</v>
      </c>
    </row>
    <row r="1074" spans="1:4" x14ac:dyDescent="0.25">
      <c r="A1074" s="3">
        <f>SUM(DATE(2024,6,4),TIME(16,0,0))</f>
        <v>45447.666666666664</v>
      </c>
      <c r="B1074">
        <v>34.484999999999999</v>
      </c>
      <c r="C1074">
        <v>25255</v>
      </c>
      <c r="D1074" s="4">
        <v>11.124193548387096</v>
      </c>
    </row>
    <row r="1075" spans="1:4" x14ac:dyDescent="0.25">
      <c r="A1075" s="3">
        <f>SUM(DATE(2024,6,4),TIME(17,0,0))</f>
        <v>45447.708333333336</v>
      </c>
      <c r="B1075">
        <v>35.134999999999998</v>
      </c>
      <c r="C1075">
        <v>8610</v>
      </c>
      <c r="D1075" s="4">
        <v>11.333870967741934</v>
      </c>
    </row>
    <row r="1076" spans="1:4" x14ac:dyDescent="0.25">
      <c r="A1076" s="3">
        <f>SUM(DATE(2024,6,4),TIME(18,0,0))</f>
        <v>45447.75</v>
      </c>
      <c r="B1076">
        <v>35.07</v>
      </c>
      <c r="C1076">
        <v>3130</v>
      </c>
      <c r="D1076" s="4">
        <v>11.312903225806451</v>
      </c>
    </row>
    <row r="1077" spans="1:4" x14ac:dyDescent="0.25">
      <c r="A1077" s="3">
        <f>SUM(DATE(2024,6,4),TIME(19,0,0))</f>
        <v>45447.791666666664</v>
      </c>
      <c r="B1077">
        <v>34.975000000000001</v>
      </c>
      <c r="C1077">
        <v>3350</v>
      </c>
      <c r="D1077" s="4">
        <v>11.28225806451613</v>
      </c>
    </row>
    <row r="1078" spans="1:4" x14ac:dyDescent="0.25">
      <c r="A1078" s="3">
        <f>SUM(DATE(2024,6,4),TIME(20,0,0))</f>
        <v>45447.833333333336</v>
      </c>
      <c r="B1078">
        <v>34.86</v>
      </c>
      <c r="C1078">
        <v>5815</v>
      </c>
      <c r="D1078" s="4">
        <v>11.24516129032258</v>
      </c>
    </row>
    <row r="1079" spans="1:4" x14ac:dyDescent="0.25">
      <c r="A1079" s="3">
        <f>SUM(DATE(2024,6,4),TIME(21,0,0))</f>
        <v>45447.875</v>
      </c>
      <c r="B1079">
        <v>34.450000000000003</v>
      </c>
      <c r="C1079">
        <v>6560</v>
      </c>
      <c r="D1079" s="4">
        <v>11.112903225806452</v>
      </c>
    </row>
    <row r="1080" spans="1:4" x14ac:dyDescent="0.25">
      <c r="A1080" s="3">
        <f>SUM(DATE(2024,6,4),TIME(22,0,0))</f>
        <v>45447.916666666664</v>
      </c>
      <c r="B1080">
        <v>34</v>
      </c>
      <c r="C1080">
        <v>11280</v>
      </c>
      <c r="D1080" s="4">
        <v>10.96774193548387</v>
      </c>
    </row>
    <row r="1081" spans="1:4" x14ac:dyDescent="0.25">
      <c r="A1081" s="3">
        <f>SUM(DATE(2024,6,4),TIME(23,0,0))</f>
        <v>45447.958333333336</v>
      </c>
      <c r="B1081">
        <v>34.094999999999999</v>
      </c>
      <c r="C1081">
        <v>16715</v>
      </c>
      <c r="D1081" s="4">
        <v>10.998387096774193</v>
      </c>
    </row>
    <row r="1082" spans="1:4" x14ac:dyDescent="0.25">
      <c r="A1082" s="3">
        <f>SUM(DATE(2024,6,5),TIME(14,0,0))</f>
        <v>45448.583333333336</v>
      </c>
      <c r="B1082">
        <v>34.299999999999997</v>
      </c>
      <c r="C1082">
        <v>3640</v>
      </c>
      <c r="D1082" s="4">
        <v>11.064516129032256</v>
      </c>
    </row>
    <row r="1083" spans="1:4" x14ac:dyDescent="0.25">
      <c r="A1083" s="3">
        <f>SUM(DATE(2024,6,5),TIME(15,0,0))</f>
        <v>45448.625</v>
      </c>
      <c r="B1083">
        <v>34.11</v>
      </c>
      <c r="C1083">
        <v>5995</v>
      </c>
      <c r="D1083" s="4">
        <v>11.003225806451612</v>
      </c>
    </row>
    <row r="1084" spans="1:4" x14ac:dyDescent="0.25">
      <c r="A1084" s="3">
        <f>SUM(DATE(2024,6,5),TIME(16,0,0))</f>
        <v>45448.666666666664</v>
      </c>
      <c r="B1084">
        <v>34.1</v>
      </c>
      <c r="C1084">
        <v>5260</v>
      </c>
      <c r="D1084" s="4">
        <v>11</v>
      </c>
    </row>
    <row r="1085" spans="1:4" x14ac:dyDescent="0.25">
      <c r="A1085" s="3">
        <f>SUM(DATE(2024,6,5),TIME(17,0,0))</f>
        <v>45448.708333333336</v>
      </c>
      <c r="B1085">
        <v>34.314999999999998</v>
      </c>
      <c r="C1085">
        <v>3625</v>
      </c>
      <c r="D1085" s="4">
        <v>11.069354838709677</v>
      </c>
    </row>
    <row r="1086" spans="1:4" x14ac:dyDescent="0.25">
      <c r="A1086" s="3">
        <f>SUM(DATE(2024,6,5),TIME(18,0,0))</f>
        <v>45448.75</v>
      </c>
      <c r="B1086">
        <v>33.97</v>
      </c>
      <c r="C1086">
        <v>3375</v>
      </c>
      <c r="D1086" s="4">
        <v>10.958064516129031</v>
      </c>
    </row>
    <row r="1087" spans="1:4" x14ac:dyDescent="0.25">
      <c r="A1087" s="3">
        <f>SUM(DATE(2024,6,5),TIME(19,0,0))</f>
        <v>45448.791666666664</v>
      </c>
      <c r="B1087">
        <v>33.6</v>
      </c>
      <c r="C1087">
        <v>9685</v>
      </c>
      <c r="D1087" s="4">
        <v>10.838709677419356</v>
      </c>
    </row>
    <row r="1088" spans="1:4" x14ac:dyDescent="0.25">
      <c r="A1088" s="3">
        <f>SUM(DATE(2024,6,5),TIME(20,0,0))</f>
        <v>45448.833333333336</v>
      </c>
      <c r="B1088">
        <v>33.674999999999997</v>
      </c>
      <c r="C1088">
        <v>4610</v>
      </c>
      <c r="D1088" s="4">
        <v>10.86290322580645</v>
      </c>
    </row>
    <row r="1089" spans="1:4" x14ac:dyDescent="0.25">
      <c r="A1089" s="3">
        <f>SUM(DATE(2024,6,5),TIME(21,0,0))</f>
        <v>45448.875</v>
      </c>
      <c r="B1089">
        <v>33.844999999999999</v>
      </c>
      <c r="C1089">
        <v>4705</v>
      </c>
      <c r="D1089" s="4">
        <v>10.917741935483871</v>
      </c>
    </row>
    <row r="1090" spans="1:4" x14ac:dyDescent="0.25">
      <c r="A1090" s="3">
        <f>SUM(DATE(2024,6,5),TIME(22,0,0))</f>
        <v>45448.916666666664</v>
      </c>
      <c r="B1090">
        <v>33.384999999999998</v>
      </c>
      <c r="C1090">
        <v>7330</v>
      </c>
      <c r="D1090" s="4">
        <v>10.769354838709676</v>
      </c>
    </row>
    <row r="1091" spans="1:4" x14ac:dyDescent="0.25">
      <c r="A1091" s="3">
        <f>SUM(DATE(2024,6,5),TIME(23,0,0))</f>
        <v>45448.958333333336</v>
      </c>
      <c r="B1091">
        <v>33.395000000000003</v>
      </c>
      <c r="C1091">
        <v>11395</v>
      </c>
      <c r="D1091" s="4">
        <v>10.772580645161291</v>
      </c>
    </row>
    <row r="1092" spans="1:4" x14ac:dyDescent="0.25">
      <c r="A1092" s="3">
        <f>SUM(DATE(2024,6,6),TIME(14,0,0))</f>
        <v>45449.583333333336</v>
      </c>
      <c r="B1092">
        <v>33.145000000000003</v>
      </c>
      <c r="C1092">
        <v>2340</v>
      </c>
      <c r="D1092" s="4">
        <v>10.691935483870969</v>
      </c>
    </row>
    <row r="1093" spans="1:4" x14ac:dyDescent="0.25">
      <c r="A1093" s="3">
        <f>SUM(DATE(2024,6,6),TIME(15,0,0))</f>
        <v>45449.625</v>
      </c>
      <c r="B1093">
        <v>33.615000000000002</v>
      </c>
      <c r="C1093">
        <v>6885</v>
      </c>
      <c r="D1093" s="4">
        <v>10.843548387096774</v>
      </c>
    </row>
    <row r="1094" spans="1:4" x14ac:dyDescent="0.25">
      <c r="A1094" s="3">
        <f>SUM(DATE(2024,6,6),TIME(16,0,0))</f>
        <v>45449.666666666664</v>
      </c>
      <c r="B1094">
        <v>34.18</v>
      </c>
      <c r="C1094">
        <v>8340</v>
      </c>
      <c r="D1094" s="4">
        <v>11.025806451612903</v>
      </c>
    </row>
    <row r="1095" spans="1:4" x14ac:dyDescent="0.25">
      <c r="A1095" s="3">
        <f>SUM(DATE(2024,6,6),TIME(17,0,0))</f>
        <v>45449.708333333336</v>
      </c>
      <c r="B1095">
        <v>33.734999999999999</v>
      </c>
      <c r="C1095">
        <v>4455</v>
      </c>
      <c r="D1095" s="4">
        <v>10.882258064516128</v>
      </c>
    </row>
    <row r="1096" spans="1:4" x14ac:dyDescent="0.25">
      <c r="A1096" s="3">
        <f>SUM(DATE(2024,6,6),TIME(18,0,0))</f>
        <v>45449.75</v>
      </c>
      <c r="B1096">
        <v>33.664999999999999</v>
      </c>
      <c r="C1096">
        <v>2655</v>
      </c>
      <c r="D1096" s="4">
        <v>10.859677419354838</v>
      </c>
    </row>
    <row r="1097" spans="1:4" x14ac:dyDescent="0.25">
      <c r="A1097" s="3">
        <f>SUM(DATE(2024,6,6),TIME(19,0,0))</f>
        <v>45449.791666666664</v>
      </c>
      <c r="B1097">
        <v>33.494999999999997</v>
      </c>
      <c r="C1097">
        <v>3315</v>
      </c>
      <c r="D1097" s="4">
        <v>10.804838709677417</v>
      </c>
    </row>
    <row r="1098" spans="1:4" x14ac:dyDescent="0.25">
      <c r="A1098" s="3">
        <f>SUM(DATE(2024,6,6),TIME(20,0,0))</f>
        <v>45449.833333333336</v>
      </c>
      <c r="B1098">
        <v>33.445</v>
      </c>
      <c r="C1098">
        <v>3800</v>
      </c>
      <c r="D1098" s="4">
        <v>10.788709677419355</v>
      </c>
    </row>
    <row r="1099" spans="1:4" x14ac:dyDescent="0.25">
      <c r="A1099" s="3">
        <f>SUM(DATE(2024,6,6),TIME(21,0,0))</f>
        <v>45449.875</v>
      </c>
      <c r="B1099">
        <v>33.76</v>
      </c>
      <c r="C1099">
        <v>4695</v>
      </c>
      <c r="D1099" s="4">
        <v>10.89032258064516</v>
      </c>
    </row>
    <row r="1100" spans="1:4" x14ac:dyDescent="0.25">
      <c r="A1100" s="3">
        <f>SUM(DATE(2024,6,6),TIME(22,0,0))</f>
        <v>45449.916666666664</v>
      </c>
      <c r="B1100">
        <v>33.704999999999998</v>
      </c>
      <c r="C1100">
        <v>4540</v>
      </c>
      <c r="D1100" s="4">
        <v>10.872580645161289</v>
      </c>
    </row>
    <row r="1101" spans="1:4" x14ac:dyDescent="0.25">
      <c r="A1101" s="3">
        <f>SUM(DATE(2024,6,6),TIME(23,0,0))</f>
        <v>45449.958333333336</v>
      </c>
      <c r="B1101">
        <v>33.104999999999997</v>
      </c>
      <c r="C1101">
        <v>15390</v>
      </c>
      <c r="D1101" s="4">
        <v>10.679032258064515</v>
      </c>
    </row>
    <row r="1102" spans="1:4" x14ac:dyDescent="0.25">
      <c r="A1102" s="3">
        <f>SUM(DATE(2024,6,7),TIME(14,0,0))</f>
        <v>45450.583333333336</v>
      </c>
      <c r="B1102">
        <v>33.145000000000003</v>
      </c>
      <c r="C1102">
        <v>3445</v>
      </c>
      <c r="D1102" s="4">
        <v>10.691935483870969</v>
      </c>
    </row>
    <row r="1103" spans="1:4" x14ac:dyDescent="0.25">
      <c r="A1103" s="3">
        <f>SUM(DATE(2024,6,7),TIME(15,0,0))</f>
        <v>45450.625</v>
      </c>
      <c r="B1103">
        <v>33.049999999999997</v>
      </c>
      <c r="C1103">
        <v>3260</v>
      </c>
      <c r="D1103" s="4">
        <v>10.661290322580644</v>
      </c>
    </row>
    <row r="1104" spans="1:4" x14ac:dyDescent="0.25">
      <c r="A1104" s="3">
        <f>SUM(DATE(2024,6,7),TIME(16,0,0))</f>
        <v>45450.666666666664</v>
      </c>
      <c r="B1104">
        <v>33.414999999999999</v>
      </c>
      <c r="C1104">
        <v>6435</v>
      </c>
      <c r="D1104" s="4">
        <v>10.779032258064516</v>
      </c>
    </row>
    <row r="1105" spans="1:4" x14ac:dyDescent="0.25">
      <c r="A1105" s="3">
        <f>SUM(DATE(2024,6,7),TIME(17,0,0))</f>
        <v>45450.708333333336</v>
      </c>
      <c r="B1105">
        <v>33.25</v>
      </c>
      <c r="C1105">
        <v>3700</v>
      </c>
      <c r="D1105" s="4">
        <v>10.725806451612902</v>
      </c>
    </row>
    <row r="1106" spans="1:4" x14ac:dyDescent="0.25">
      <c r="A1106" s="3">
        <f>SUM(DATE(2024,6,7),TIME(18,0,0))</f>
        <v>45450.75</v>
      </c>
      <c r="B1106">
        <v>32.909999999999997</v>
      </c>
      <c r="C1106">
        <v>4190</v>
      </c>
      <c r="D1106" s="4">
        <v>10.616129032258064</v>
      </c>
    </row>
    <row r="1107" spans="1:4" x14ac:dyDescent="0.25">
      <c r="A1107" s="3">
        <f>SUM(DATE(2024,6,7),TIME(19,0,0))</f>
        <v>45450.791666666664</v>
      </c>
      <c r="B1107">
        <v>33.024999999999999</v>
      </c>
      <c r="C1107">
        <v>3040</v>
      </c>
      <c r="D1107" s="4">
        <v>10.653225806451612</v>
      </c>
    </row>
    <row r="1108" spans="1:4" x14ac:dyDescent="0.25">
      <c r="A1108" s="3">
        <f>SUM(DATE(2024,6,7),TIME(20,0,0))</f>
        <v>45450.833333333336</v>
      </c>
      <c r="B1108">
        <v>32.975000000000001</v>
      </c>
      <c r="C1108">
        <v>3020</v>
      </c>
      <c r="D1108" s="4">
        <v>10.637096774193548</v>
      </c>
    </row>
    <row r="1109" spans="1:4" x14ac:dyDescent="0.25">
      <c r="A1109" s="3">
        <f>SUM(DATE(2024,6,7),TIME(21,0,0))</f>
        <v>45450.875</v>
      </c>
      <c r="B1109">
        <v>33.274999999999999</v>
      </c>
      <c r="C1109">
        <v>4810</v>
      </c>
      <c r="D1109" s="4">
        <v>10.733870967741934</v>
      </c>
    </row>
    <row r="1110" spans="1:4" x14ac:dyDescent="0.25">
      <c r="A1110" s="3">
        <f>SUM(DATE(2024,6,7),TIME(22,0,0))</f>
        <v>45450.916666666664</v>
      </c>
      <c r="B1110">
        <v>33.024999999999999</v>
      </c>
      <c r="C1110">
        <v>6370</v>
      </c>
      <c r="D1110" s="4">
        <v>10.653225806451612</v>
      </c>
    </row>
    <row r="1111" spans="1:4" x14ac:dyDescent="0.25">
      <c r="A1111" s="3">
        <f>SUM(DATE(2024,6,7),TIME(23,0,0))</f>
        <v>45450.958333333336</v>
      </c>
      <c r="B1111">
        <v>33.200000000000003</v>
      </c>
      <c r="C1111">
        <v>12395</v>
      </c>
      <c r="D1111" s="4">
        <v>10.70967741935484</v>
      </c>
    </row>
    <row r="1112" spans="1:4" x14ac:dyDescent="0.25">
      <c r="A1112" s="3">
        <f>SUM(DATE(2024,6,10),TIME(14,0,0))</f>
        <v>45453.583333333336</v>
      </c>
      <c r="B1112">
        <v>32.854999999999997</v>
      </c>
      <c r="C1112">
        <v>3225</v>
      </c>
      <c r="D1112" s="4">
        <v>10.598387096774193</v>
      </c>
    </row>
    <row r="1113" spans="1:4" x14ac:dyDescent="0.25">
      <c r="A1113" s="3">
        <f>SUM(DATE(2024,6,10),TIME(15,0,0))</f>
        <v>45453.625</v>
      </c>
      <c r="B1113">
        <v>32.82</v>
      </c>
      <c r="C1113">
        <v>5565</v>
      </c>
      <c r="D1113" s="4">
        <v>10.587096774193547</v>
      </c>
    </row>
    <row r="1114" spans="1:4" x14ac:dyDescent="0.25">
      <c r="A1114" s="3">
        <f>SUM(DATE(2024,6,10),TIME(16,0,0))</f>
        <v>45453.666666666664</v>
      </c>
      <c r="B1114">
        <v>32.590000000000003</v>
      </c>
      <c r="C1114">
        <v>7380</v>
      </c>
      <c r="D1114" s="4">
        <v>10.512903225806452</v>
      </c>
    </row>
    <row r="1115" spans="1:4" x14ac:dyDescent="0.25">
      <c r="A1115" s="3">
        <f>SUM(DATE(2024,6,10),TIME(17,0,0))</f>
        <v>45453.708333333336</v>
      </c>
      <c r="B1115">
        <v>32.53</v>
      </c>
      <c r="C1115">
        <v>5585</v>
      </c>
      <c r="D1115" s="4">
        <v>10.493548387096775</v>
      </c>
    </row>
    <row r="1116" spans="1:4" x14ac:dyDescent="0.25">
      <c r="A1116" s="3">
        <f>SUM(DATE(2024,6,10),TIME(18,0,0))</f>
        <v>45453.75</v>
      </c>
      <c r="B1116">
        <v>32.58</v>
      </c>
      <c r="C1116">
        <v>2915</v>
      </c>
      <c r="D1116" s="4">
        <v>10.509677419354837</v>
      </c>
    </row>
    <row r="1117" spans="1:4" x14ac:dyDescent="0.25">
      <c r="A1117" s="3">
        <f>SUM(DATE(2024,6,10),TIME(19,0,0))</f>
        <v>45453.791666666664</v>
      </c>
      <c r="B1117">
        <v>32.65</v>
      </c>
      <c r="C1117">
        <v>2040</v>
      </c>
      <c r="D1117" s="4">
        <v>10.532258064516128</v>
      </c>
    </row>
    <row r="1118" spans="1:4" x14ac:dyDescent="0.25">
      <c r="A1118" s="3">
        <f>SUM(DATE(2024,6,10),TIME(20,0,0))</f>
        <v>45453.833333333336</v>
      </c>
      <c r="B1118">
        <v>33.155000000000001</v>
      </c>
      <c r="C1118">
        <v>7350</v>
      </c>
      <c r="D1118" s="4">
        <v>10.695161290322581</v>
      </c>
    </row>
    <row r="1119" spans="1:4" x14ac:dyDescent="0.25">
      <c r="A1119" s="3">
        <f>SUM(DATE(2024,6,10),TIME(21,0,0))</f>
        <v>45453.875</v>
      </c>
      <c r="B1119">
        <v>34.119999999999997</v>
      </c>
      <c r="C1119">
        <v>11060</v>
      </c>
      <c r="D1119" s="4">
        <v>11.006451612903225</v>
      </c>
    </row>
    <row r="1120" spans="1:4" x14ac:dyDescent="0.25">
      <c r="A1120" s="3">
        <f>SUM(DATE(2024,6,10),TIME(22,0,0))</f>
        <v>45453.916666666664</v>
      </c>
      <c r="B1120">
        <v>34.1</v>
      </c>
      <c r="C1120">
        <v>7895</v>
      </c>
      <c r="D1120" s="4">
        <v>11</v>
      </c>
    </row>
    <row r="1121" spans="1:4" x14ac:dyDescent="0.25">
      <c r="A1121" s="3">
        <f>SUM(DATE(2024,6,10),TIME(23,0,0))</f>
        <v>45453.958333333336</v>
      </c>
      <c r="B1121">
        <v>34.44</v>
      </c>
      <c r="C1121">
        <v>13100</v>
      </c>
      <c r="D1121" s="4">
        <v>11.109677419354838</v>
      </c>
    </row>
    <row r="1122" spans="1:4" x14ac:dyDescent="0.25">
      <c r="A1122" s="3">
        <f>SUM(DATE(2024,6,11),TIME(14,0,0))</f>
        <v>45454.583333333336</v>
      </c>
      <c r="B1122">
        <v>34.145000000000003</v>
      </c>
      <c r="C1122">
        <v>5845</v>
      </c>
      <c r="D1122" s="4">
        <v>11.014516129032259</v>
      </c>
    </row>
    <row r="1123" spans="1:4" x14ac:dyDescent="0.25">
      <c r="A1123" s="3">
        <f>SUM(DATE(2024,6,11),TIME(15,0,0))</f>
        <v>45454.625</v>
      </c>
      <c r="B1123">
        <v>34.450000000000003</v>
      </c>
      <c r="C1123">
        <v>6825</v>
      </c>
      <c r="D1123" s="4">
        <v>11.112903225806452</v>
      </c>
    </row>
    <row r="1124" spans="1:4" x14ac:dyDescent="0.25">
      <c r="A1124" s="3">
        <f>SUM(DATE(2024,6,11),TIME(16,0,0))</f>
        <v>45454.666666666664</v>
      </c>
      <c r="B1124">
        <v>34.950000000000003</v>
      </c>
      <c r="C1124">
        <v>13140</v>
      </c>
      <c r="D1124" s="4">
        <v>11.274193548387098</v>
      </c>
    </row>
    <row r="1125" spans="1:4" x14ac:dyDescent="0.25">
      <c r="A1125" s="3">
        <f>SUM(DATE(2024,6,11),TIME(17,0,0))</f>
        <v>45454.708333333336</v>
      </c>
      <c r="B1125">
        <v>34.64</v>
      </c>
      <c r="C1125">
        <v>5785</v>
      </c>
      <c r="D1125" s="4">
        <v>11.174193548387096</v>
      </c>
    </row>
    <row r="1126" spans="1:4" x14ac:dyDescent="0.25">
      <c r="A1126" s="3">
        <f>SUM(DATE(2024,6,11),TIME(18,0,0))</f>
        <v>45454.75</v>
      </c>
      <c r="B1126">
        <v>35.255000000000003</v>
      </c>
      <c r="C1126">
        <v>6265</v>
      </c>
      <c r="D1126" s="4">
        <v>11.372580645161291</v>
      </c>
    </row>
    <row r="1127" spans="1:4" x14ac:dyDescent="0.25">
      <c r="A1127" s="3">
        <f>SUM(DATE(2024,6,11),TIME(19,0,0))</f>
        <v>45454.791666666664</v>
      </c>
      <c r="B1127">
        <v>34.5</v>
      </c>
      <c r="C1127">
        <v>6870</v>
      </c>
      <c r="D1127" s="4">
        <v>11.129032258064516</v>
      </c>
    </row>
    <row r="1128" spans="1:4" x14ac:dyDescent="0.25">
      <c r="A1128" s="3">
        <f>SUM(DATE(2024,6,11),TIME(20,0,0))</f>
        <v>45454.833333333336</v>
      </c>
      <c r="B1128">
        <v>34.494999999999997</v>
      </c>
      <c r="C1128">
        <v>5845</v>
      </c>
      <c r="D1128" s="4">
        <v>11.127419354838709</v>
      </c>
    </row>
    <row r="1129" spans="1:4" x14ac:dyDescent="0.25">
      <c r="A1129" s="3">
        <f>SUM(DATE(2024,6,11),TIME(21,0,0))</f>
        <v>45454.875</v>
      </c>
      <c r="B1129">
        <v>34.520000000000003</v>
      </c>
      <c r="C1129">
        <v>4235</v>
      </c>
      <c r="D1129" s="4">
        <v>11.135483870967743</v>
      </c>
    </row>
    <row r="1130" spans="1:4" x14ac:dyDescent="0.25">
      <c r="A1130" s="3">
        <f>SUM(DATE(2024,6,11),TIME(22,0,0))</f>
        <v>45454.916666666664</v>
      </c>
      <c r="B1130">
        <v>34.49</v>
      </c>
      <c r="C1130">
        <v>4980</v>
      </c>
      <c r="D1130" s="4">
        <v>11.125806451612904</v>
      </c>
    </row>
    <row r="1131" spans="1:4" x14ac:dyDescent="0.25">
      <c r="A1131" s="3">
        <f>SUM(DATE(2024,6,11),TIME(23,0,0))</f>
        <v>45454.958333333336</v>
      </c>
      <c r="B1131">
        <v>34.164999999999999</v>
      </c>
      <c r="C1131">
        <v>12230</v>
      </c>
      <c r="D1131" s="4">
        <v>11.020967741935483</v>
      </c>
    </row>
    <row r="1132" spans="1:4" x14ac:dyDescent="0.25">
      <c r="A1132" s="3">
        <f>SUM(DATE(2024,6,12),TIME(14,0,0))</f>
        <v>45455.583333333336</v>
      </c>
      <c r="B1132">
        <v>34.35</v>
      </c>
      <c r="C1132">
        <v>2985</v>
      </c>
      <c r="D1132" s="4">
        <v>11.080645161290322</v>
      </c>
    </row>
    <row r="1133" spans="1:4" x14ac:dyDescent="0.25">
      <c r="A1133" s="3">
        <f>SUM(DATE(2024,6,12),TIME(15,0,0))</f>
        <v>45455.625</v>
      </c>
      <c r="B1133">
        <v>34.65</v>
      </c>
      <c r="C1133">
        <v>5835</v>
      </c>
      <c r="D1133" s="4">
        <v>11.177419354838708</v>
      </c>
    </row>
    <row r="1134" spans="1:4" x14ac:dyDescent="0.25">
      <c r="A1134" s="3">
        <f>SUM(DATE(2024,6,12),TIME(16,0,0))</f>
        <v>45455.666666666664</v>
      </c>
      <c r="B1134">
        <v>35.215000000000003</v>
      </c>
      <c r="C1134">
        <v>8250</v>
      </c>
      <c r="D1134" s="4">
        <v>11.35967741935484</v>
      </c>
    </row>
    <row r="1135" spans="1:4" x14ac:dyDescent="0.25">
      <c r="A1135" s="3">
        <f>SUM(DATE(2024,6,12),TIME(17,0,0))</f>
        <v>45455.708333333336</v>
      </c>
      <c r="B1135">
        <v>35.31</v>
      </c>
      <c r="C1135">
        <v>5885</v>
      </c>
      <c r="D1135" s="4">
        <v>11.390322580645162</v>
      </c>
    </row>
    <row r="1136" spans="1:4" x14ac:dyDescent="0.25">
      <c r="A1136" s="3">
        <f>SUM(DATE(2024,6,12),TIME(18,0,0))</f>
        <v>45455.75</v>
      </c>
      <c r="B1136">
        <v>35</v>
      </c>
      <c r="C1136">
        <v>3355</v>
      </c>
      <c r="D1136" s="4">
        <v>11.29032258064516</v>
      </c>
    </row>
    <row r="1137" spans="1:4" x14ac:dyDescent="0.25">
      <c r="A1137" s="3">
        <f>SUM(DATE(2024,6,12),TIME(19,0,0))</f>
        <v>45455.791666666664</v>
      </c>
      <c r="B1137">
        <v>35.515000000000001</v>
      </c>
      <c r="C1137">
        <v>5385</v>
      </c>
      <c r="D1137" s="4">
        <v>11.456451612903226</v>
      </c>
    </row>
    <row r="1138" spans="1:4" x14ac:dyDescent="0.25">
      <c r="A1138" s="3">
        <f>SUM(DATE(2024,6,12),TIME(20,0,0))</f>
        <v>45455.833333333336</v>
      </c>
      <c r="B1138">
        <v>35.82</v>
      </c>
      <c r="C1138">
        <v>7910</v>
      </c>
      <c r="D1138" s="4">
        <v>11.554838709677419</v>
      </c>
    </row>
    <row r="1139" spans="1:4" x14ac:dyDescent="0.25">
      <c r="A1139" s="3">
        <f>SUM(DATE(2024,6,12),TIME(21,0,0))</f>
        <v>45455.875</v>
      </c>
      <c r="B1139">
        <v>35.244999999999997</v>
      </c>
      <c r="C1139">
        <v>7390</v>
      </c>
      <c r="D1139" s="4">
        <v>11.369354838709675</v>
      </c>
    </row>
    <row r="1140" spans="1:4" x14ac:dyDescent="0.25">
      <c r="A1140" s="3">
        <f>SUM(DATE(2024,6,12),TIME(22,0,0))</f>
        <v>45455.916666666664</v>
      </c>
      <c r="B1140">
        <v>35.185000000000002</v>
      </c>
      <c r="C1140">
        <v>7225</v>
      </c>
      <c r="D1140" s="4">
        <v>11.35</v>
      </c>
    </row>
    <row r="1141" spans="1:4" x14ac:dyDescent="0.25">
      <c r="A1141" s="3">
        <f>SUM(DATE(2024,6,12),TIME(23,0,0))</f>
        <v>45455.958333333336</v>
      </c>
      <c r="B1141">
        <v>35</v>
      </c>
      <c r="C1141">
        <v>10880</v>
      </c>
      <c r="D1141" s="4">
        <v>11.29032258064516</v>
      </c>
    </row>
    <row r="1142" spans="1:4" x14ac:dyDescent="0.25">
      <c r="A1142" s="3">
        <f>SUM(DATE(2024,6,13),TIME(14,0,0))</f>
        <v>45456.583333333336</v>
      </c>
      <c r="B1142">
        <v>35.954999999999998</v>
      </c>
      <c r="C1142">
        <v>5840</v>
      </c>
      <c r="D1142" s="4">
        <v>11.598387096774193</v>
      </c>
    </row>
    <row r="1143" spans="1:4" x14ac:dyDescent="0.25">
      <c r="A1143" s="3">
        <f>SUM(DATE(2024,6,13),TIME(15,0,0))</f>
        <v>45456.625</v>
      </c>
      <c r="B1143">
        <v>36.28</v>
      </c>
      <c r="C1143">
        <v>4170</v>
      </c>
      <c r="D1143" s="4">
        <v>11.703225806451613</v>
      </c>
    </row>
    <row r="1144" spans="1:4" x14ac:dyDescent="0.25">
      <c r="A1144" s="3">
        <f>SUM(DATE(2024,6,13),TIME(16,0,0))</f>
        <v>45456.666666666664</v>
      </c>
      <c r="B1144">
        <v>36.31</v>
      </c>
      <c r="C1144">
        <v>11135</v>
      </c>
      <c r="D1144" s="4">
        <v>11.712903225806452</v>
      </c>
    </row>
    <row r="1145" spans="1:4" x14ac:dyDescent="0.25">
      <c r="A1145" s="3">
        <f>SUM(DATE(2024,6,13),TIME(17,0,0))</f>
        <v>45456.708333333336</v>
      </c>
      <c r="B1145">
        <v>36.354999999999997</v>
      </c>
      <c r="C1145">
        <v>5185</v>
      </c>
      <c r="D1145" s="4">
        <v>11.727419354838709</v>
      </c>
    </row>
    <row r="1146" spans="1:4" x14ac:dyDescent="0.25">
      <c r="A1146" s="3">
        <f>SUM(DATE(2024,6,13),TIME(18,0,0))</f>
        <v>45456.75</v>
      </c>
      <c r="B1146">
        <v>36.454999999999998</v>
      </c>
      <c r="C1146">
        <v>1910</v>
      </c>
      <c r="D1146" s="4">
        <v>11.759677419354837</v>
      </c>
    </row>
    <row r="1147" spans="1:4" x14ac:dyDescent="0.25">
      <c r="A1147" s="3">
        <f>SUM(DATE(2024,6,13),TIME(19,0,0))</f>
        <v>45456.791666666664</v>
      </c>
      <c r="B1147">
        <v>36.72</v>
      </c>
      <c r="C1147">
        <v>5395</v>
      </c>
      <c r="D1147" s="4">
        <v>11.845161290322579</v>
      </c>
    </row>
    <row r="1148" spans="1:4" x14ac:dyDescent="0.25">
      <c r="A1148" s="3">
        <f>SUM(DATE(2024,6,13),TIME(20,0,0))</f>
        <v>45456.833333333336</v>
      </c>
      <c r="B1148">
        <v>36.255000000000003</v>
      </c>
      <c r="C1148">
        <v>5165</v>
      </c>
      <c r="D1148" s="4">
        <v>11.695161290322581</v>
      </c>
    </row>
    <row r="1149" spans="1:4" x14ac:dyDescent="0.25">
      <c r="A1149" s="3">
        <f>SUM(DATE(2024,6,13),TIME(21,0,0))</f>
        <v>45456.875</v>
      </c>
      <c r="B1149">
        <v>36.085000000000001</v>
      </c>
      <c r="C1149">
        <v>7395</v>
      </c>
      <c r="D1149" s="4">
        <v>11.640322580645162</v>
      </c>
    </row>
    <row r="1150" spans="1:4" x14ac:dyDescent="0.25">
      <c r="A1150" s="3">
        <f>SUM(DATE(2024,6,13),TIME(22,0,0))</f>
        <v>45456.916666666664</v>
      </c>
      <c r="B1150">
        <v>35.85</v>
      </c>
      <c r="C1150">
        <v>6630</v>
      </c>
      <c r="D1150" s="4">
        <v>11.564516129032258</v>
      </c>
    </row>
    <row r="1151" spans="1:4" x14ac:dyDescent="0.25">
      <c r="A1151" s="3">
        <f>SUM(DATE(2024,6,13),TIME(23,0,0))</f>
        <v>45456.958333333336</v>
      </c>
      <c r="B1151">
        <v>35.795000000000002</v>
      </c>
      <c r="C1151">
        <v>11880</v>
      </c>
      <c r="D1151" s="4">
        <v>11.546774193548387</v>
      </c>
    </row>
    <row r="1152" spans="1:4" x14ac:dyDescent="0.25">
      <c r="A1152" s="3">
        <f>SUM(DATE(2024,6,14),TIME(14,0,0))</f>
        <v>45457.583333333336</v>
      </c>
      <c r="B1152">
        <v>35.299999999999997</v>
      </c>
      <c r="C1152">
        <v>4010</v>
      </c>
      <c r="D1152" s="4">
        <v>11.387096774193546</v>
      </c>
    </row>
    <row r="1153" spans="1:4" x14ac:dyDescent="0.25">
      <c r="A1153" s="3">
        <f>SUM(DATE(2024,6,14),TIME(15,0,0))</f>
        <v>45457.625</v>
      </c>
      <c r="B1153">
        <v>35.6</v>
      </c>
      <c r="C1153">
        <v>3995</v>
      </c>
      <c r="D1153" s="4">
        <v>11.483870967741936</v>
      </c>
    </row>
    <row r="1154" spans="1:4" x14ac:dyDescent="0.25">
      <c r="A1154" s="3">
        <f>SUM(DATE(2024,6,14),TIME(16,0,0))</f>
        <v>45457.666666666664</v>
      </c>
      <c r="B1154">
        <v>35.305</v>
      </c>
      <c r="C1154">
        <v>3035</v>
      </c>
      <c r="D1154" s="4">
        <v>11.388709677419355</v>
      </c>
    </row>
    <row r="1155" spans="1:4" x14ac:dyDescent="0.25">
      <c r="A1155" s="3">
        <f>SUM(DATE(2024,6,14),TIME(17,0,0))</f>
        <v>45457.708333333336</v>
      </c>
      <c r="B1155">
        <v>35.79</v>
      </c>
      <c r="C1155">
        <v>4680</v>
      </c>
      <c r="D1155" s="4">
        <v>11.54516129032258</v>
      </c>
    </row>
    <row r="1156" spans="1:4" x14ac:dyDescent="0.25">
      <c r="A1156" s="3">
        <f>SUM(DATE(2024,6,14),TIME(18,0,0))</f>
        <v>45457.75</v>
      </c>
      <c r="B1156">
        <v>35.395000000000003</v>
      </c>
      <c r="C1156">
        <v>4635</v>
      </c>
      <c r="D1156" s="4">
        <v>11.417741935483871</v>
      </c>
    </row>
    <row r="1157" spans="1:4" x14ac:dyDescent="0.25">
      <c r="A1157" s="3">
        <f>SUM(DATE(2024,6,14),TIME(19,0,0))</f>
        <v>45457.791666666664</v>
      </c>
      <c r="B1157">
        <v>35.18</v>
      </c>
      <c r="C1157">
        <v>4675</v>
      </c>
      <c r="D1157" s="4">
        <v>11.348387096774193</v>
      </c>
    </row>
    <row r="1158" spans="1:4" x14ac:dyDescent="0.25">
      <c r="A1158" s="3">
        <f>SUM(DATE(2024,6,14),TIME(20,0,0))</f>
        <v>45457.833333333336</v>
      </c>
      <c r="B1158">
        <v>34.909999999999997</v>
      </c>
      <c r="C1158">
        <v>5530</v>
      </c>
      <c r="D1158" s="4">
        <v>11.261290322580644</v>
      </c>
    </row>
    <row r="1159" spans="1:4" x14ac:dyDescent="0.25">
      <c r="A1159" s="3">
        <f>SUM(DATE(2024,6,14),TIME(21,0,0))</f>
        <v>45457.875</v>
      </c>
      <c r="B1159">
        <v>34.950000000000003</v>
      </c>
      <c r="C1159">
        <v>4155</v>
      </c>
      <c r="D1159" s="4">
        <v>11.274193548387098</v>
      </c>
    </row>
    <row r="1160" spans="1:4" x14ac:dyDescent="0.25">
      <c r="A1160" s="3">
        <f>SUM(DATE(2024,6,14),TIME(22,0,0))</f>
        <v>45457.916666666664</v>
      </c>
      <c r="B1160">
        <v>35.56</v>
      </c>
      <c r="C1160">
        <v>22280</v>
      </c>
      <c r="D1160" s="4">
        <v>11.470967741935484</v>
      </c>
    </row>
    <row r="1161" spans="1:4" x14ac:dyDescent="0.25">
      <c r="A1161" s="3">
        <f>SUM(DATE(2024,6,14),TIME(23,0,0))</f>
        <v>45457.958333333336</v>
      </c>
      <c r="B1161">
        <v>35.5</v>
      </c>
      <c r="C1161">
        <v>12650</v>
      </c>
      <c r="D1161" s="4">
        <v>11.451612903225806</v>
      </c>
    </row>
    <row r="1162" spans="1:4" x14ac:dyDescent="0.25">
      <c r="A1162" s="3">
        <f>SUM(DATE(2024,6,17),TIME(14,0,0))</f>
        <v>45460.583333333336</v>
      </c>
      <c r="B1162">
        <v>35.67</v>
      </c>
      <c r="C1162">
        <v>3805</v>
      </c>
      <c r="D1162" s="4">
        <v>11.506451612903225</v>
      </c>
    </row>
    <row r="1163" spans="1:4" x14ac:dyDescent="0.25">
      <c r="A1163" s="3">
        <f>SUM(DATE(2024,6,17),TIME(15,0,0))</f>
        <v>45460.625</v>
      </c>
      <c r="B1163">
        <v>34.884999999999998</v>
      </c>
      <c r="C1163">
        <v>5560</v>
      </c>
      <c r="D1163" s="4">
        <v>11.253225806451612</v>
      </c>
    </row>
    <row r="1164" spans="1:4" x14ac:dyDescent="0.25">
      <c r="A1164" s="3">
        <f>SUM(DATE(2024,6,17),TIME(16,0,0))</f>
        <v>45460.666666666664</v>
      </c>
      <c r="B1164">
        <v>34.774999999999999</v>
      </c>
      <c r="C1164">
        <v>5590</v>
      </c>
      <c r="D1164" s="4">
        <v>11.21774193548387</v>
      </c>
    </row>
    <row r="1165" spans="1:4" x14ac:dyDescent="0.25">
      <c r="A1165" s="3">
        <f>SUM(DATE(2024,6,17),TIME(17,0,0))</f>
        <v>45460.708333333336</v>
      </c>
      <c r="B1165">
        <v>34.65</v>
      </c>
      <c r="C1165">
        <v>5695</v>
      </c>
      <c r="D1165" s="4">
        <v>11.177419354838708</v>
      </c>
    </row>
    <row r="1166" spans="1:4" x14ac:dyDescent="0.25">
      <c r="A1166" s="3">
        <f>SUM(DATE(2024,6,17),TIME(18,0,0))</f>
        <v>45460.75</v>
      </c>
      <c r="B1166">
        <v>34.67</v>
      </c>
      <c r="C1166">
        <v>3315</v>
      </c>
      <c r="D1166" s="4">
        <v>11.183870967741935</v>
      </c>
    </row>
    <row r="1167" spans="1:4" x14ac:dyDescent="0.25">
      <c r="A1167" s="3">
        <f>SUM(DATE(2024,6,17),TIME(19,0,0))</f>
        <v>45460.791666666664</v>
      </c>
      <c r="B1167">
        <v>34.619999999999997</v>
      </c>
      <c r="C1167">
        <v>3270</v>
      </c>
      <c r="D1167" s="4">
        <v>11.167741935483869</v>
      </c>
    </row>
    <row r="1168" spans="1:4" x14ac:dyDescent="0.25">
      <c r="A1168" s="3">
        <f>SUM(DATE(2024,6,17),TIME(20,0,0))</f>
        <v>45460.833333333336</v>
      </c>
      <c r="B1168">
        <v>34.844999999999999</v>
      </c>
      <c r="C1168">
        <v>4255</v>
      </c>
      <c r="D1168" s="4">
        <v>11.240322580645161</v>
      </c>
    </row>
    <row r="1169" spans="1:4" x14ac:dyDescent="0.25">
      <c r="A1169" s="3">
        <f>SUM(DATE(2024,6,17),TIME(21,0,0))</f>
        <v>45460.875</v>
      </c>
      <c r="B1169">
        <v>34.625</v>
      </c>
      <c r="C1169">
        <v>4030</v>
      </c>
      <c r="D1169" s="4">
        <v>11.169354838709678</v>
      </c>
    </row>
    <row r="1170" spans="1:4" x14ac:dyDescent="0.25">
      <c r="A1170" s="3">
        <f>SUM(DATE(2024,6,17),TIME(22,0,0))</f>
        <v>45460.916666666664</v>
      </c>
      <c r="B1170">
        <v>34.19</v>
      </c>
      <c r="C1170">
        <v>7905</v>
      </c>
      <c r="D1170" s="4">
        <v>11.029032258064515</v>
      </c>
    </row>
    <row r="1171" spans="1:4" x14ac:dyDescent="0.25">
      <c r="A1171" s="3">
        <f>SUM(DATE(2024,6,17),TIME(23,0,0))</f>
        <v>45460.958333333336</v>
      </c>
      <c r="B1171">
        <v>34.29</v>
      </c>
      <c r="C1171">
        <v>14700</v>
      </c>
      <c r="D1171" s="4">
        <v>11.061290322580644</v>
      </c>
    </row>
    <row r="1172" spans="1:4" x14ac:dyDescent="0.25">
      <c r="A1172" s="3">
        <f>SUM(DATE(2024,6,18),TIME(14,0,0))</f>
        <v>45461.583333333336</v>
      </c>
      <c r="B1172">
        <v>34.134999999999998</v>
      </c>
      <c r="C1172">
        <v>3105</v>
      </c>
      <c r="D1172" s="4">
        <v>11.011290322580644</v>
      </c>
    </row>
    <row r="1173" spans="1:4" x14ac:dyDescent="0.25">
      <c r="A1173" s="3">
        <f>SUM(DATE(2024,6,18),TIME(15,0,0))</f>
        <v>45461.625</v>
      </c>
      <c r="B1173">
        <v>34.54</v>
      </c>
      <c r="C1173">
        <v>4060</v>
      </c>
      <c r="D1173" s="4">
        <v>11.141935483870967</v>
      </c>
    </row>
    <row r="1174" spans="1:4" x14ac:dyDescent="0.25">
      <c r="A1174" s="3">
        <f>SUM(DATE(2024,6,18),TIME(16,0,0))</f>
        <v>45461.666666666664</v>
      </c>
      <c r="B1174">
        <v>34.755000000000003</v>
      </c>
      <c r="C1174">
        <v>6800</v>
      </c>
      <c r="D1174" s="4">
        <v>11.211290322580645</v>
      </c>
    </row>
    <row r="1175" spans="1:4" x14ac:dyDescent="0.25">
      <c r="A1175" s="3">
        <f>SUM(DATE(2024,6,18),TIME(17,0,0))</f>
        <v>45461.708333333336</v>
      </c>
      <c r="B1175">
        <v>34.53</v>
      </c>
      <c r="C1175">
        <v>3245</v>
      </c>
      <c r="D1175" s="4">
        <v>11.138709677419355</v>
      </c>
    </row>
    <row r="1176" spans="1:4" x14ac:dyDescent="0.25">
      <c r="A1176" s="3">
        <f>SUM(DATE(2024,6,18),TIME(18,0,0))</f>
        <v>45461.75</v>
      </c>
      <c r="B1176">
        <v>34.505000000000003</v>
      </c>
      <c r="C1176">
        <v>4010</v>
      </c>
      <c r="D1176" s="4">
        <v>11.130645161290323</v>
      </c>
    </row>
    <row r="1177" spans="1:4" x14ac:dyDescent="0.25">
      <c r="A1177" s="3">
        <f>SUM(DATE(2024,6,18),TIME(19,0,0))</f>
        <v>45461.791666666664</v>
      </c>
      <c r="B1177">
        <v>34.585000000000001</v>
      </c>
      <c r="C1177">
        <v>2080</v>
      </c>
      <c r="D1177" s="4">
        <v>11.156451612903226</v>
      </c>
    </row>
    <row r="1178" spans="1:4" x14ac:dyDescent="0.25">
      <c r="A1178" s="3">
        <f>SUM(DATE(2024,6,18),TIME(20,0,0))</f>
        <v>45461.833333333336</v>
      </c>
      <c r="B1178">
        <v>34.61</v>
      </c>
      <c r="C1178">
        <v>11745</v>
      </c>
      <c r="D1178" s="4">
        <v>11.164516129032258</v>
      </c>
    </row>
    <row r="1179" spans="1:4" x14ac:dyDescent="0.25">
      <c r="A1179" s="3">
        <f>SUM(DATE(2024,6,18),TIME(21,0,0))</f>
        <v>45461.875</v>
      </c>
      <c r="B1179">
        <v>34.755000000000003</v>
      </c>
      <c r="C1179">
        <v>3730</v>
      </c>
      <c r="D1179" s="4">
        <v>11.211290322580645</v>
      </c>
    </row>
    <row r="1180" spans="1:4" x14ac:dyDescent="0.25">
      <c r="A1180" s="3">
        <f>SUM(DATE(2024,6,18),TIME(22,0,0))</f>
        <v>45461.916666666664</v>
      </c>
      <c r="B1180">
        <v>34.704999999999998</v>
      </c>
      <c r="C1180">
        <v>8790</v>
      </c>
      <c r="D1180" s="4">
        <v>11.195161290322579</v>
      </c>
    </row>
    <row r="1181" spans="1:4" x14ac:dyDescent="0.25">
      <c r="A1181" s="3">
        <f>SUM(DATE(2024,6,18),TIME(23,0,0))</f>
        <v>45461.958333333336</v>
      </c>
      <c r="B1181">
        <v>34.67</v>
      </c>
      <c r="C1181">
        <v>10435</v>
      </c>
      <c r="D1181" s="4">
        <v>11.183870967741935</v>
      </c>
    </row>
    <row r="1182" spans="1:4" x14ac:dyDescent="0.25">
      <c r="A1182" s="3">
        <f>SUM(DATE(2024,6,19),TIME(14,0,0))</f>
        <v>45462.583333333336</v>
      </c>
      <c r="B1182">
        <v>34.704999999999998</v>
      </c>
      <c r="C1182">
        <v>2270</v>
      </c>
      <c r="D1182" s="4">
        <v>11.195161290322579</v>
      </c>
    </row>
    <row r="1183" spans="1:4" x14ac:dyDescent="0.25">
      <c r="A1183" s="3">
        <f>SUM(DATE(2024,6,19),TIME(15,0,0))</f>
        <v>45462.625</v>
      </c>
      <c r="B1183">
        <v>34.700000000000003</v>
      </c>
      <c r="C1183">
        <v>6240</v>
      </c>
      <c r="D1183" s="4">
        <v>11.193548387096774</v>
      </c>
    </row>
    <row r="1184" spans="1:4" x14ac:dyDescent="0.25">
      <c r="A1184" s="3">
        <f>SUM(DATE(2024,6,19),TIME(16,0,0))</f>
        <v>45462.666666666664</v>
      </c>
      <c r="B1184">
        <v>34.825000000000003</v>
      </c>
      <c r="C1184">
        <v>7230</v>
      </c>
      <c r="D1184" s="4">
        <v>11.233870967741936</v>
      </c>
    </row>
    <row r="1185" spans="1:4" x14ac:dyDescent="0.25">
      <c r="A1185" s="3">
        <f>SUM(DATE(2024,6,19),TIME(17,0,0))</f>
        <v>45462.708333333336</v>
      </c>
      <c r="B1185">
        <v>34.465000000000003</v>
      </c>
      <c r="C1185">
        <v>5105</v>
      </c>
      <c r="D1185" s="4">
        <v>11.117741935483872</v>
      </c>
    </row>
    <row r="1186" spans="1:4" x14ac:dyDescent="0.25">
      <c r="A1186" s="3">
        <f>SUM(DATE(2024,6,19),TIME(18,0,0))</f>
        <v>45462.75</v>
      </c>
      <c r="B1186">
        <v>34.58</v>
      </c>
      <c r="C1186">
        <v>4875</v>
      </c>
      <c r="D1186" s="4">
        <v>11.154838709677419</v>
      </c>
    </row>
    <row r="1187" spans="1:4" x14ac:dyDescent="0.25">
      <c r="A1187" s="3">
        <f>SUM(DATE(2024,6,19),TIME(19,0,0))</f>
        <v>45462.791666666664</v>
      </c>
      <c r="B1187">
        <v>34.884999999999998</v>
      </c>
      <c r="C1187">
        <v>3185</v>
      </c>
      <c r="D1187" s="4">
        <v>11.253225806451612</v>
      </c>
    </row>
    <row r="1188" spans="1:4" x14ac:dyDescent="0.25">
      <c r="A1188" s="3">
        <f>SUM(DATE(2024,6,19),TIME(20,0,0))</f>
        <v>45462.833333333336</v>
      </c>
      <c r="B1188">
        <v>35.094999999999999</v>
      </c>
      <c r="C1188">
        <v>5010</v>
      </c>
      <c r="D1188" s="4">
        <v>11.320967741935483</v>
      </c>
    </row>
    <row r="1189" spans="1:4" x14ac:dyDescent="0.25">
      <c r="A1189" s="3">
        <f>SUM(DATE(2024,6,19),TIME(21,0,0))</f>
        <v>45462.875</v>
      </c>
      <c r="B1189">
        <v>35.4</v>
      </c>
      <c r="C1189">
        <v>8710</v>
      </c>
      <c r="D1189" s="4">
        <v>11.419354838709676</v>
      </c>
    </row>
    <row r="1190" spans="1:4" x14ac:dyDescent="0.25">
      <c r="A1190" s="3">
        <f>SUM(DATE(2024,6,19),TIME(22,0,0))</f>
        <v>45462.916666666664</v>
      </c>
      <c r="B1190">
        <v>35.31</v>
      </c>
      <c r="C1190">
        <v>5275</v>
      </c>
      <c r="D1190" s="4">
        <v>11.390322580645162</v>
      </c>
    </row>
    <row r="1191" spans="1:4" x14ac:dyDescent="0.25">
      <c r="A1191" s="3">
        <f>SUM(DATE(2024,6,19),TIME(23,0,0))</f>
        <v>45462.958333333336</v>
      </c>
      <c r="B1191">
        <v>35.35</v>
      </c>
      <c r="C1191">
        <v>10525</v>
      </c>
      <c r="D1191" s="4">
        <v>11.403225806451614</v>
      </c>
    </row>
    <row r="1192" spans="1:4" x14ac:dyDescent="0.25">
      <c r="A1192" s="3">
        <f>SUM(DATE(2024,6,20),TIME(14,0,0))</f>
        <v>45463.583333333336</v>
      </c>
      <c r="B1192">
        <v>35.384999999999998</v>
      </c>
      <c r="C1192">
        <v>1655</v>
      </c>
      <c r="D1192" s="4">
        <v>11.414516129032258</v>
      </c>
    </row>
    <row r="1193" spans="1:4" x14ac:dyDescent="0.25">
      <c r="A1193" s="3">
        <f>SUM(DATE(2024,6,20),TIME(15,0,0))</f>
        <v>45463.625</v>
      </c>
      <c r="B1193">
        <v>35.53</v>
      </c>
      <c r="C1193">
        <v>2970</v>
      </c>
      <c r="D1193" s="4">
        <v>11.461290322580645</v>
      </c>
    </row>
    <row r="1194" spans="1:4" x14ac:dyDescent="0.25">
      <c r="A1194" s="3">
        <f>SUM(DATE(2024,6,20),TIME(16,0,0))</f>
        <v>45463.666666666664</v>
      </c>
      <c r="B1194">
        <v>35.395000000000003</v>
      </c>
      <c r="C1194">
        <v>8220</v>
      </c>
      <c r="D1194" s="4">
        <v>11.417741935483871</v>
      </c>
    </row>
    <row r="1195" spans="1:4" x14ac:dyDescent="0.25">
      <c r="A1195" s="3">
        <f>SUM(DATE(2024,6,20),TIME(17,0,0))</f>
        <v>45463.708333333336</v>
      </c>
      <c r="B1195">
        <v>35</v>
      </c>
      <c r="C1195">
        <v>7340</v>
      </c>
      <c r="D1195" s="4">
        <v>11.29032258064516</v>
      </c>
    </row>
    <row r="1196" spans="1:4" x14ac:dyDescent="0.25">
      <c r="A1196" s="3">
        <f>SUM(DATE(2024,6,20),TIME(18,0,0))</f>
        <v>45463.75</v>
      </c>
      <c r="B1196">
        <v>35.145000000000003</v>
      </c>
      <c r="C1196">
        <v>2950</v>
      </c>
      <c r="D1196" s="4">
        <v>11.337096774193549</v>
      </c>
    </row>
    <row r="1197" spans="1:4" x14ac:dyDescent="0.25">
      <c r="A1197" s="3">
        <f>SUM(DATE(2024,6,20),TIME(19,0,0))</f>
        <v>45463.791666666664</v>
      </c>
      <c r="B1197">
        <v>35.104999999999997</v>
      </c>
      <c r="C1197">
        <v>2275</v>
      </c>
      <c r="D1197" s="4">
        <v>11.324193548387095</v>
      </c>
    </row>
    <row r="1198" spans="1:4" x14ac:dyDescent="0.25">
      <c r="A1198" s="3">
        <f>SUM(DATE(2024,6,20),TIME(20,0,0))</f>
        <v>45463.833333333336</v>
      </c>
      <c r="B1198">
        <v>35.15</v>
      </c>
      <c r="C1198">
        <v>3010</v>
      </c>
      <c r="D1198" s="4">
        <v>11.338709677419354</v>
      </c>
    </row>
    <row r="1199" spans="1:4" x14ac:dyDescent="0.25">
      <c r="A1199" s="3">
        <f>SUM(DATE(2024,6,20),TIME(21,0,0))</f>
        <v>45463.875</v>
      </c>
      <c r="B1199">
        <v>34.674999999999997</v>
      </c>
      <c r="C1199">
        <v>8675</v>
      </c>
      <c r="D1199" s="4">
        <v>11.18548387096774</v>
      </c>
    </row>
    <row r="1200" spans="1:4" x14ac:dyDescent="0.25">
      <c r="A1200" s="3">
        <f>SUM(DATE(2024,6,20),TIME(22,0,0))</f>
        <v>45463.916666666664</v>
      </c>
      <c r="B1200">
        <v>34.54</v>
      </c>
      <c r="C1200">
        <v>6080</v>
      </c>
      <c r="D1200" s="4">
        <v>11.141935483870967</v>
      </c>
    </row>
    <row r="1201" spans="1:4" x14ac:dyDescent="0.25">
      <c r="A1201" s="3">
        <f>SUM(DATE(2024,6,20),TIME(23,0,0))</f>
        <v>45463.958333333336</v>
      </c>
      <c r="B1201">
        <v>34.445</v>
      </c>
      <c r="C1201">
        <v>11595</v>
      </c>
      <c r="D1201" s="4">
        <v>11.111290322580645</v>
      </c>
    </row>
    <row r="1202" spans="1:4" x14ac:dyDescent="0.25">
      <c r="A1202" s="3">
        <f>SUM(DATE(2024,6,21),TIME(14,0,0))</f>
        <v>45464.583333333336</v>
      </c>
      <c r="B1202">
        <v>34.58</v>
      </c>
      <c r="C1202">
        <v>1715</v>
      </c>
      <c r="D1202" s="4">
        <v>11.154838709677419</v>
      </c>
    </row>
    <row r="1203" spans="1:4" x14ac:dyDescent="0.25">
      <c r="A1203" s="3">
        <f>SUM(DATE(2024,6,21),TIME(15,0,0))</f>
        <v>45464.625</v>
      </c>
      <c r="B1203">
        <v>34.47</v>
      </c>
      <c r="C1203">
        <v>2345</v>
      </c>
      <c r="D1203" s="4">
        <v>11.119354838709677</v>
      </c>
    </row>
    <row r="1204" spans="1:4" x14ac:dyDescent="0.25">
      <c r="A1204" s="3">
        <f>SUM(DATE(2024,6,21),TIME(16,0,0))</f>
        <v>45464.666666666664</v>
      </c>
      <c r="B1204">
        <v>34.229999999999997</v>
      </c>
      <c r="C1204">
        <v>6325</v>
      </c>
      <c r="D1204" s="4">
        <v>11.041935483870967</v>
      </c>
    </row>
    <row r="1205" spans="1:4" x14ac:dyDescent="0.25">
      <c r="A1205" s="3">
        <f>SUM(DATE(2024,6,21),TIME(17,0,0))</f>
        <v>45464.708333333336</v>
      </c>
      <c r="B1205">
        <v>34.130000000000003</v>
      </c>
      <c r="C1205">
        <v>4140</v>
      </c>
      <c r="D1205" s="4">
        <v>11.009677419354839</v>
      </c>
    </row>
    <row r="1206" spans="1:4" x14ac:dyDescent="0.25">
      <c r="A1206" s="3">
        <f>SUM(DATE(2024,6,21),TIME(18,0,0))</f>
        <v>45464.75</v>
      </c>
      <c r="B1206">
        <v>34.130000000000003</v>
      </c>
      <c r="C1206">
        <v>3755</v>
      </c>
      <c r="D1206" s="4">
        <v>11.009677419354839</v>
      </c>
    </row>
    <row r="1207" spans="1:4" x14ac:dyDescent="0.25">
      <c r="A1207" s="3">
        <f>SUM(DATE(2024,6,21),TIME(19,0,0))</f>
        <v>45464.791666666664</v>
      </c>
      <c r="B1207">
        <v>34.15</v>
      </c>
      <c r="C1207">
        <v>1840</v>
      </c>
      <c r="D1207" s="4">
        <v>11.016129032258064</v>
      </c>
    </row>
    <row r="1208" spans="1:4" x14ac:dyDescent="0.25">
      <c r="A1208" s="3">
        <f>SUM(DATE(2024,6,21),TIME(20,0,0))</f>
        <v>45464.833333333336</v>
      </c>
      <c r="B1208">
        <v>34.15</v>
      </c>
      <c r="C1208">
        <v>2895</v>
      </c>
      <c r="D1208" s="4">
        <v>11.016129032258064</v>
      </c>
    </row>
    <row r="1209" spans="1:4" x14ac:dyDescent="0.25">
      <c r="A1209" s="3">
        <f>SUM(DATE(2024,6,21),TIME(21,0,0))</f>
        <v>45464.875</v>
      </c>
      <c r="B1209">
        <v>34.07</v>
      </c>
      <c r="C1209">
        <v>2860</v>
      </c>
      <c r="D1209" s="4">
        <v>10.990322580645161</v>
      </c>
    </row>
    <row r="1210" spans="1:4" x14ac:dyDescent="0.25">
      <c r="A1210" s="3">
        <f>SUM(DATE(2024,6,21),TIME(22,0,0))</f>
        <v>45464.916666666664</v>
      </c>
      <c r="B1210">
        <v>33.950000000000003</v>
      </c>
      <c r="C1210">
        <v>5910</v>
      </c>
      <c r="D1210" s="4">
        <v>10.951612903225808</v>
      </c>
    </row>
    <row r="1211" spans="1:4" x14ac:dyDescent="0.25">
      <c r="A1211" s="3">
        <f>SUM(DATE(2024,6,21),TIME(23,0,0))</f>
        <v>45464.958333333336</v>
      </c>
      <c r="B1211">
        <v>33.950000000000003</v>
      </c>
      <c r="C1211">
        <v>11090</v>
      </c>
      <c r="D1211" s="4">
        <v>10.951612903225808</v>
      </c>
    </row>
    <row r="1212" spans="1:4" x14ac:dyDescent="0.25">
      <c r="A1212" s="3">
        <f>SUM(DATE(2024,6,24),TIME(14,0,0))</f>
        <v>45467.583333333336</v>
      </c>
      <c r="B1212">
        <v>33.725000000000001</v>
      </c>
      <c r="C1212">
        <v>3095</v>
      </c>
      <c r="D1212" s="4">
        <v>10.879032258064516</v>
      </c>
    </row>
    <row r="1213" spans="1:4" x14ac:dyDescent="0.25">
      <c r="A1213" s="3">
        <f>SUM(DATE(2024,6,24),TIME(15,0,0))</f>
        <v>45467.625</v>
      </c>
      <c r="B1213">
        <v>33.979999999999997</v>
      </c>
      <c r="C1213">
        <v>3310</v>
      </c>
      <c r="D1213" s="4">
        <v>10.961290322580643</v>
      </c>
    </row>
    <row r="1214" spans="1:4" x14ac:dyDescent="0.25">
      <c r="A1214" s="3">
        <f>SUM(DATE(2024,6,24),TIME(16,0,0))</f>
        <v>45467.666666666664</v>
      </c>
      <c r="B1214">
        <v>34</v>
      </c>
      <c r="C1214">
        <v>3450</v>
      </c>
      <c r="D1214" s="4">
        <v>10.96774193548387</v>
      </c>
    </row>
    <row r="1215" spans="1:4" x14ac:dyDescent="0.25">
      <c r="A1215" s="3">
        <f>SUM(DATE(2024,6,24),TIME(17,0,0))</f>
        <v>45467.708333333336</v>
      </c>
      <c r="B1215">
        <v>33.765000000000001</v>
      </c>
      <c r="C1215">
        <v>3825</v>
      </c>
      <c r="D1215" s="4">
        <v>10.891935483870968</v>
      </c>
    </row>
    <row r="1216" spans="1:4" x14ac:dyDescent="0.25">
      <c r="A1216" s="3">
        <f>SUM(DATE(2024,6,24),TIME(18,0,0))</f>
        <v>45467.75</v>
      </c>
      <c r="B1216">
        <v>33.805</v>
      </c>
      <c r="C1216">
        <v>1895</v>
      </c>
      <c r="D1216" s="4">
        <v>10.904838709677419</v>
      </c>
    </row>
    <row r="1217" spans="1:4" x14ac:dyDescent="0.25">
      <c r="A1217" s="3">
        <f>SUM(DATE(2024,6,24),TIME(19,0,0))</f>
        <v>45467.791666666664</v>
      </c>
      <c r="B1217">
        <v>34.14</v>
      </c>
      <c r="C1217">
        <v>3555</v>
      </c>
      <c r="D1217" s="4">
        <v>11.012903225806452</v>
      </c>
    </row>
    <row r="1218" spans="1:4" x14ac:dyDescent="0.25">
      <c r="A1218" s="3">
        <f>SUM(DATE(2024,6,24),TIME(20,0,0))</f>
        <v>45467.833333333336</v>
      </c>
      <c r="B1218">
        <v>34.130000000000003</v>
      </c>
      <c r="C1218">
        <v>4265</v>
      </c>
      <c r="D1218" s="4">
        <v>11.009677419354839</v>
      </c>
    </row>
    <row r="1219" spans="1:4" x14ac:dyDescent="0.25">
      <c r="A1219" s="3">
        <f>SUM(DATE(2024,6,24),TIME(21,0,0))</f>
        <v>45467.875</v>
      </c>
      <c r="B1219">
        <v>34.049999999999997</v>
      </c>
      <c r="C1219">
        <v>5580</v>
      </c>
      <c r="D1219" s="4">
        <v>10.983870967741934</v>
      </c>
    </row>
    <row r="1220" spans="1:4" x14ac:dyDescent="0.25">
      <c r="A1220" s="3">
        <f>SUM(DATE(2024,6,24),TIME(22,0,0))</f>
        <v>45467.916666666664</v>
      </c>
      <c r="B1220">
        <v>34.020000000000003</v>
      </c>
      <c r="C1220">
        <v>5835</v>
      </c>
      <c r="D1220" s="4">
        <v>10.974193548387097</v>
      </c>
    </row>
    <row r="1221" spans="1:4" x14ac:dyDescent="0.25">
      <c r="A1221" s="3">
        <f>SUM(DATE(2024,6,24),TIME(23,0,0))</f>
        <v>45467.958333333336</v>
      </c>
      <c r="B1221">
        <v>34.6</v>
      </c>
      <c r="C1221">
        <v>11820</v>
      </c>
      <c r="D1221" s="4">
        <v>11.161290322580646</v>
      </c>
    </row>
    <row r="1222" spans="1:4" x14ac:dyDescent="0.25">
      <c r="A1222" s="3">
        <f>SUM(DATE(2024,6,25),TIME(14,0,0))</f>
        <v>45468.583333333336</v>
      </c>
      <c r="B1222">
        <v>34.49</v>
      </c>
      <c r="C1222">
        <v>1620</v>
      </c>
      <c r="D1222" s="4">
        <v>11.125806451612904</v>
      </c>
    </row>
    <row r="1223" spans="1:4" x14ac:dyDescent="0.25">
      <c r="A1223" s="3">
        <f>SUM(DATE(2024,6,25),TIME(15,0,0))</f>
        <v>45468.625</v>
      </c>
      <c r="B1223">
        <v>34.975000000000001</v>
      </c>
      <c r="C1223">
        <v>5700</v>
      </c>
      <c r="D1223" s="4">
        <v>11.28225806451613</v>
      </c>
    </row>
    <row r="1224" spans="1:4" x14ac:dyDescent="0.25">
      <c r="A1224" s="3">
        <f>SUM(DATE(2024,6,25),TIME(16,0,0))</f>
        <v>45468.666666666664</v>
      </c>
      <c r="B1224">
        <v>34.71</v>
      </c>
      <c r="C1224">
        <v>5440</v>
      </c>
      <c r="D1224" s="4">
        <v>11.196774193548388</v>
      </c>
    </row>
    <row r="1225" spans="1:4" x14ac:dyDescent="0.25">
      <c r="A1225" s="3">
        <f>SUM(DATE(2024,6,25),TIME(17,0,0))</f>
        <v>45468.708333333336</v>
      </c>
      <c r="B1225">
        <v>34.655000000000001</v>
      </c>
      <c r="C1225">
        <v>2735</v>
      </c>
      <c r="D1225" s="4">
        <v>11.179032258064517</v>
      </c>
    </row>
    <row r="1226" spans="1:4" x14ac:dyDescent="0.25">
      <c r="A1226" s="3">
        <f>SUM(DATE(2024,6,25),TIME(18,0,0))</f>
        <v>45468.75</v>
      </c>
      <c r="B1226">
        <v>34.545000000000002</v>
      </c>
      <c r="C1226">
        <v>3040</v>
      </c>
      <c r="D1226" s="4">
        <v>11.143548387096775</v>
      </c>
    </row>
    <row r="1227" spans="1:4" x14ac:dyDescent="0.25">
      <c r="A1227" s="3">
        <f>SUM(DATE(2024,6,25),TIME(19,0,0))</f>
        <v>45468.791666666664</v>
      </c>
      <c r="B1227">
        <v>34.49</v>
      </c>
      <c r="C1227">
        <v>2825</v>
      </c>
      <c r="D1227" s="4">
        <v>11.125806451612904</v>
      </c>
    </row>
    <row r="1228" spans="1:4" x14ac:dyDescent="0.25">
      <c r="A1228" s="3">
        <f>SUM(DATE(2024,6,25),TIME(20,0,0))</f>
        <v>45468.833333333336</v>
      </c>
      <c r="B1228">
        <v>34.564999999999998</v>
      </c>
      <c r="C1228">
        <v>2775</v>
      </c>
      <c r="D1228" s="4">
        <v>11.149999999999999</v>
      </c>
    </row>
    <row r="1229" spans="1:4" x14ac:dyDescent="0.25">
      <c r="A1229" s="3">
        <f>SUM(DATE(2024,6,25),TIME(21,0,0))</f>
        <v>45468.875</v>
      </c>
      <c r="B1229">
        <v>34.700000000000003</v>
      </c>
      <c r="C1229">
        <v>4065</v>
      </c>
      <c r="D1229" s="4">
        <v>11.193548387096774</v>
      </c>
    </row>
    <row r="1230" spans="1:4" x14ac:dyDescent="0.25">
      <c r="A1230" s="3">
        <f>SUM(DATE(2024,6,25),TIME(22,0,0))</f>
        <v>45468.916666666664</v>
      </c>
      <c r="B1230">
        <v>34.835000000000001</v>
      </c>
      <c r="C1230">
        <v>2905</v>
      </c>
      <c r="D1230" s="4">
        <v>11.237096774193548</v>
      </c>
    </row>
    <row r="1231" spans="1:4" x14ac:dyDescent="0.25">
      <c r="A1231" s="3">
        <f>SUM(DATE(2024,6,25),TIME(23,0,0))</f>
        <v>45468.958333333336</v>
      </c>
      <c r="B1231">
        <v>34.54</v>
      </c>
      <c r="C1231">
        <v>9365</v>
      </c>
      <c r="D1231" s="4">
        <v>11.141935483870967</v>
      </c>
    </row>
    <row r="1232" spans="1:4" x14ac:dyDescent="0.25">
      <c r="A1232" s="3">
        <f>SUM(DATE(2024,6,26),TIME(14,0,0))</f>
        <v>45469.583333333336</v>
      </c>
      <c r="B1232">
        <v>35.049999999999997</v>
      </c>
      <c r="C1232">
        <v>3130</v>
      </c>
      <c r="D1232" s="4">
        <v>11.306451612903224</v>
      </c>
    </row>
    <row r="1233" spans="1:4" x14ac:dyDescent="0.25">
      <c r="A1233" s="3">
        <f>SUM(DATE(2024,6,26),TIME(15,0,0))</f>
        <v>45469.625</v>
      </c>
      <c r="B1233">
        <v>35.145000000000003</v>
      </c>
      <c r="C1233">
        <v>2880</v>
      </c>
      <c r="D1233" s="4">
        <v>11.337096774193549</v>
      </c>
    </row>
    <row r="1234" spans="1:4" x14ac:dyDescent="0.25">
      <c r="A1234" s="3">
        <f>SUM(DATE(2024,6,26),TIME(16,0,0))</f>
        <v>45469.666666666664</v>
      </c>
      <c r="B1234">
        <v>35.1</v>
      </c>
      <c r="C1234">
        <v>6610</v>
      </c>
      <c r="D1234" s="4">
        <v>11.32258064516129</v>
      </c>
    </row>
    <row r="1235" spans="1:4" x14ac:dyDescent="0.25">
      <c r="A1235" s="3">
        <f>SUM(DATE(2024,6,26),TIME(17,0,0))</f>
        <v>45469.708333333336</v>
      </c>
      <c r="B1235">
        <v>35.034999999999997</v>
      </c>
      <c r="C1235">
        <v>4155</v>
      </c>
      <c r="D1235" s="4">
        <v>11.301612903225806</v>
      </c>
    </row>
    <row r="1236" spans="1:4" x14ac:dyDescent="0.25">
      <c r="A1236" s="3">
        <f>SUM(DATE(2024,6,26),TIME(18,0,0))</f>
        <v>45469.75</v>
      </c>
      <c r="B1236">
        <v>34.994999999999997</v>
      </c>
      <c r="C1236">
        <v>2830</v>
      </c>
      <c r="D1236" s="4">
        <v>11.288709677419353</v>
      </c>
    </row>
    <row r="1237" spans="1:4" x14ac:dyDescent="0.25">
      <c r="A1237" s="3">
        <f>SUM(DATE(2024,6,26),TIME(19,0,0))</f>
        <v>45469.791666666664</v>
      </c>
      <c r="B1237">
        <v>34.784999999999997</v>
      </c>
      <c r="C1237">
        <v>3490</v>
      </c>
      <c r="D1237" s="4">
        <v>11.220967741935482</v>
      </c>
    </row>
    <row r="1238" spans="1:4" x14ac:dyDescent="0.25">
      <c r="A1238" s="3">
        <f>SUM(DATE(2024,6,26),TIME(20,0,0))</f>
        <v>45469.833333333336</v>
      </c>
      <c r="B1238">
        <v>34.835000000000001</v>
      </c>
      <c r="C1238">
        <v>5225</v>
      </c>
      <c r="D1238" s="4">
        <v>11.237096774193548</v>
      </c>
    </row>
    <row r="1239" spans="1:4" x14ac:dyDescent="0.25">
      <c r="A1239" s="3">
        <f>SUM(DATE(2024,6,26),TIME(21,0,0))</f>
        <v>45469.875</v>
      </c>
      <c r="B1239">
        <v>34.78</v>
      </c>
      <c r="C1239">
        <v>4205</v>
      </c>
      <c r="D1239" s="4">
        <v>11.219354838709677</v>
      </c>
    </row>
    <row r="1240" spans="1:4" x14ac:dyDescent="0.25">
      <c r="A1240" s="3">
        <f>SUM(DATE(2024,6,26),TIME(22,0,0))</f>
        <v>45469.916666666664</v>
      </c>
      <c r="B1240">
        <v>33.975000000000001</v>
      </c>
      <c r="C1240">
        <v>12700</v>
      </c>
      <c r="D1240" s="4">
        <v>10.959677419354838</v>
      </c>
    </row>
    <row r="1241" spans="1:4" x14ac:dyDescent="0.25">
      <c r="A1241" s="3">
        <f>SUM(DATE(2024,6,26),TIME(23,0,0))</f>
        <v>45469.958333333336</v>
      </c>
      <c r="B1241">
        <v>34.055</v>
      </c>
      <c r="C1241">
        <v>10580</v>
      </c>
      <c r="D1241" s="4">
        <v>10.985483870967741</v>
      </c>
    </row>
    <row r="1242" spans="1:4" x14ac:dyDescent="0.25">
      <c r="A1242" s="3">
        <f>SUM(DATE(2024,6,27),TIME(14,0,0))</f>
        <v>45470.583333333336</v>
      </c>
      <c r="B1242">
        <v>34.085000000000001</v>
      </c>
      <c r="C1242">
        <v>955</v>
      </c>
      <c r="D1242" s="4">
        <v>10.995161290322581</v>
      </c>
    </row>
    <row r="1243" spans="1:4" x14ac:dyDescent="0.25">
      <c r="A1243" s="3">
        <f>SUM(DATE(2024,6,27),TIME(15,0,0))</f>
        <v>45470.625</v>
      </c>
      <c r="B1243">
        <v>34.4</v>
      </c>
      <c r="C1243">
        <v>2565</v>
      </c>
      <c r="D1243" s="4">
        <v>11.096774193548386</v>
      </c>
    </row>
    <row r="1244" spans="1:4" x14ac:dyDescent="0.25">
      <c r="A1244" s="3">
        <f>SUM(DATE(2024,6,27),TIME(16,0,0))</f>
        <v>45470.666666666664</v>
      </c>
      <c r="B1244">
        <v>34.57</v>
      </c>
      <c r="C1244">
        <v>4150</v>
      </c>
      <c r="D1244" s="4">
        <v>11.151612903225805</v>
      </c>
    </row>
    <row r="1245" spans="1:4" x14ac:dyDescent="0.25">
      <c r="A1245" s="3">
        <f>SUM(DATE(2024,6,27),TIME(17,0,0))</f>
        <v>45470.708333333336</v>
      </c>
      <c r="B1245">
        <v>34.47</v>
      </c>
      <c r="C1245">
        <v>2380</v>
      </c>
      <c r="D1245" s="4">
        <v>11.119354838709677</v>
      </c>
    </row>
    <row r="1246" spans="1:4" x14ac:dyDescent="0.25">
      <c r="A1246" s="3">
        <f>SUM(DATE(2024,6,27),TIME(18,0,0))</f>
        <v>45470.75</v>
      </c>
      <c r="B1246">
        <v>34.299999999999997</v>
      </c>
      <c r="C1246">
        <v>895</v>
      </c>
      <c r="D1246" s="4">
        <v>11.064516129032256</v>
      </c>
    </row>
    <row r="1247" spans="1:4" x14ac:dyDescent="0.25">
      <c r="A1247" s="3">
        <f>SUM(DATE(2024,6,27),TIME(19,0,0))</f>
        <v>45470.791666666664</v>
      </c>
      <c r="B1247">
        <v>34.225000000000001</v>
      </c>
      <c r="C1247">
        <v>1025</v>
      </c>
      <c r="D1247" s="4">
        <v>11.040322580645162</v>
      </c>
    </row>
    <row r="1248" spans="1:4" x14ac:dyDescent="0.25">
      <c r="A1248" s="3">
        <f>SUM(DATE(2024,6,27),TIME(20,0,0))</f>
        <v>45470.833333333336</v>
      </c>
      <c r="B1248">
        <v>34.340000000000003</v>
      </c>
      <c r="C1248">
        <v>1835</v>
      </c>
      <c r="D1248" s="4">
        <v>11.07741935483871</v>
      </c>
    </row>
    <row r="1249" spans="1:4" x14ac:dyDescent="0.25">
      <c r="A1249" s="3">
        <f>SUM(DATE(2024,6,27),TIME(21,0,0))</f>
        <v>45470.875</v>
      </c>
      <c r="B1249">
        <v>34.130000000000003</v>
      </c>
      <c r="C1249">
        <v>2225</v>
      </c>
      <c r="D1249" s="4">
        <v>11.009677419354839</v>
      </c>
    </row>
    <row r="1250" spans="1:4" x14ac:dyDescent="0.25">
      <c r="A1250" s="3">
        <f>SUM(DATE(2024,6,27),TIME(22,0,0))</f>
        <v>45470.916666666664</v>
      </c>
      <c r="B1250">
        <v>34.4</v>
      </c>
      <c r="C1250">
        <v>1650</v>
      </c>
      <c r="D1250" s="4">
        <v>11.096774193548386</v>
      </c>
    </row>
    <row r="1251" spans="1:4" x14ac:dyDescent="0.25">
      <c r="A1251" s="3">
        <f>SUM(DATE(2024,6,27),TIME(23,0,0))</f>
        <v>45470.958333333336</v>
      </c>
      <c r="B1251">
        <v>34.299999999999997</v>
      </c>
      <c r="C1251">
        <v>6995</v>
      </c>
      <c r="D1251" s="4">
        <v>11.064516129032256</v>
      </c>
    </row>
    <row r="1252" spans="1:4" x14ac:dyDescent="0.25">
      <c r="A1252" s="3">
        <f>SUM(DATE(2024,6,28),TIME(14,0,0))</f>
        <v>45471.583333333336</v>
      </c>
      <c r="B1252">
        <v>34.734999999999999</v>
      </c>
      <c r="C1252">
        <v>1210</v>
      </c>
      <c r="D1252" s="4">
        <v>11.20483870967742</v>
      </c>
    </row>
    <row r="1253" spans="1:4" x14ac:dyDescent="0.25">
      <c r="A1253" s="3">
        <f>SUM(DATE(2024,6,28),TIME(15,0,0))</f>
        <v>45471.625</v>
      </c>
      <c r="B1253">
        <v>34.335000000000001</v>
      </c>
      <c r="C1253">
        <v>4360</v>
      </c>
      <c r="D1253" s="4">
        <v>11.075806451612904</v>
      </c>
    </row>
    <row r="1254" spans="1:4" x14ac:dyDescent="0.25">
      <c r="A1254" s="3">
        <f>SUM(DATE(2024,6,28),TIME(16,0,0))</f>
        <v>45471.666666666664</v>
      </c>
      <c r="B1254">
        <v>34.32</v>
      </c>
      <c r="C1254">
        <v>5285</v>
      </c>
      <c r="D1254" s="4">
        <v>11.070967741935483</v>
      </c>
    </row>
    <row r="1255" spans="1:4" x14ac:dyDescent="0.25">
      <c r="A1255" s="3">
        <f>SUM(DATE(2024,6,28),TIME(17,0,0))</f>
        <v>45471.708333333336</v>
      </c>
      <c r="B1255">
        <v>34.06</v>
      </c>
      <c r="C1255">
        <v>7050</v>
      </c>
      <c r="D1255" s="4">
        <v>10.987096774193549</v>
      </c>
    </row>
    <row r="1256" spans="1:4" x14ac:dyDescent="0.25">
      <c r="A1256" s="3">
        <f>SUM(DATE(2024,6,28),TIME(18,0,0))</f>
        <v>45471.75</v>
      </c>
      <c r="B1256">
        <v>34.200000000000003</v>
      </c>
      <c r="C1256">
        <v>4035</v>
      </c>
      <c r="D1256" s="4">
        <v>11.03225806451613</v>
      </c>
    </row>
    <row r="1257" spans="1:4" x14ac:dyDescent="0.25">
      <c r="A1257" s="3">
        <f>SUM(DATE(2024,6,28),TIME(19,0,0))</f>
        <v>45471.791666666664</v>
      </c>
      <c r="B1257">
        <v>34.39</v>
      </c>
      <c r="C1257">
        <v>4870</v>
      </c>
      <c r="D1257" s="4">
        <v>11.093548387096774</v>
      </c>
    </row>
    <row r="1258" spans="1:4" x14ac:dyDescent="0.25">
      <c r="A1258" s="3">
        <f>SUM(DATE(2024,6,28),TIME(20,0,0))</f>
        <v>45471.833333333336</v>
      </c>
      <c r="B1258">
        <v>34.65</v>
      </c>
      <c r="C1258">
        <v>6235</v>
      </c>
      <c r="D1258" s="4">
        <v>11.177419354838708</v>
      </c>
    </row>
    <row r="1259" spans="1:4" x14ac:dyDescent="0.25">
      <c r="A1259" s="3">
        <f>SUM(DATE(2024,6,28),TIME(21,0,0))</f>
        <v>45471.875</v>
      </c>
      <c r="B1259">
        <v>34.369999999999997</v>
      </c>
      <c r="C1259">
        <v>5595</v>
      </c>
      <c r="D1259" s="4">
        <v>11.087096774193547</v>
      </c>
    </row>
    <row r="1260" spans="1:4" x14ac:dyDescent="0.25">
      <c r="A1260" s="3">
        <f>SUM(DATE(2024,6,28),TIME(22,0,0))</f>
        <v>45471.916666666664</v>
      </c>
      <c r="B1260">
        <v>34.424999999999997</v>
      </c>
      <c r="C1260">
        <v>5840</v>
      </c>
      <c r="D1260" s="4">
        <v>11.104838709677418</v>
      </c>
    </row>
    <row r="1261" spans="1:4" x14ac:dyDescent="0.25">
      <c r="A1261" s="3">
        <f>SUM(DATE(2024,6,28),TIME(23,0,0))</f>
        <v>45471.958333333336</v>
      </c>
      <c r="B1261">
        <v>34.505000000000003</v>
      </c>
      <c r="C1261">
        <v>11740</v>
      </c>
      <c r="D1261" s="4">
        <v>11.130645161290323</v>
      </c>
    </row>
    <row r="1262" spans="1:4" x14ac:dyDescent="0.25">
      <c r="A1262" s="3">
        <f>SUM(DATE(2024,6,25),TIME(16,0,0))</f>
        <v>45468.666666666664</v>
      </c>
      <c r="B1262">
        <v>34.71</v>
      </c>
      <c r="C1262">
        <v>5440</v>
      </c>
      <c r="D1262" s="4">
        <v>11.196774193548388</v>
      </c>
    </row>
    <row r="1263" spans="1:4" x14ac:dyDescent="0.25">
      <c r="A1263" s="3">
        <f>SUM(DATE(2024,6,25),TIME(17,0,0))</f>
        <v>45468.708333333336</v>
      </c>
      <c r="B1263">
        <v>34.655000000000001</v>
      </c>
      <c r="C1263">
        <v>2735</v>
      </c>
      <c r="D1263" s="4">
        <v>11.179032258064517</v>
      </c>
    </row>
    <row r="1264" spans="1:4" x14ac:dyDescent="0.25">
      <c r="A1264" s="3">
        <f>SUM(DATE(2024,6,25),TIME(18,0,0))</f>
        <v>45468.75</v>
      </c>
      <c r="B1264">
        <v>34.545000000000002</v>
      </c>
      <c r="C1264">
        <v>3040</v>
      </c>
      <c r="D1264" s="4">
        <v>11.143548387096775</v>
      </c>
    </row>
    <row r="1265" spans="1:4" x14ac:dyDescent="0.25">
      <c r="A1265" s="3">
        <f>SUM(DATE(2024,6,25),TIME(19,0,0))</f>
        <v>45468.791666666664</v>
      </c>
      <c r="B1265">
        <v>34.49</v>
      </c>
      <c r="C1265">
        <v>2825</v>
      </c>
      <c r="D1265" s="4">
        <v>11.125806451612904</v>
      </c>
    </row>
    <row r="1266" spans="1:4" x14ac:dyDescent="0.25">
      <c r="A1266" s="3">
        <f>SUM(DATE(2024,6,25),TIME(20,0,0))</f>
        <v>45468.833333333336</v>
      </c>
      <c r="B1266">
        <v>34.564999999999998</v>
      </c>
      <c r="C1266">
        <v>2775</v>
      </c>
      <c r="D1266" s="4">
        <v>11.149999999999999</v>
      </c>
    </row>
    <row r="1267" spans="1:4" x14ac:dyDescent="0.25">
      <c r="A1267" s="3">
        <f>SUM(DATE(2024,6,25),TIME(21,0,0))</f>
        <v>45468.875</v>
      </c>
      <c r="B1267">
        <v>34.700000000000003</v>
      </c>
      <c r="C1267">
        <v>4065</v>
      </c>
      <c r="D1267" s="4">
        <v>11.193548387096774</v>
      </c>
    </row>
    <row r="1268" spans="1:4" x14ac:dyDescent="0.25">
      <c r="A1268" s="3">
        <f>SUM(DATE(2024,6,25),TIME(22,0,0))</f>
        <v>45468.916666666664</v>
      </c>
      <c r="B1268">
        <v>34.835000000000001</v>
      </c>
      <c r="C1268">
        <v>2905</v>
      </c>
      <c r="D1268" s="4">
        <v>11.237096774193548</v>
      </c>
    </row>
    <row r="1269" spans="1:4" x14ac:dyDescent="0.25">
      <c r="A1269" s="3">
        <f>SUM(DATE(2024,6,25),TIME(23,0,0))</f>
        <v>45468.958333333336</v>
      </c>
      <c r="B1269">
        <v>34.54</v>
      </c>
      <c r="C1269">
        <v>9365</v>
      </c>
      <c r="D1269" s="4">
        <v>11.141935483870967</v>
      </c>
    </row>
    <row r="1270" spans="1:4" x14ac:dyDescent="0.25">
      <c r="A1270" s="3">
        <f>SUM(DATE(2024,6,26),TIME(14,0,0))</f>
        <v>45469.583333333336</v>
      </c>
      <c r="B1270">
        <v>35.049999999999997</v>
      </c>
      <c r="C1270">
        <v>3130</v>
      </c>
      <c r="D1270" s="4">
        <v>11.306451612903224</v>
      </c>
    </row>
    <row r="1271" spans="1:4" x14ac:dyDescent="0.25">
      <c r="A1271" s="3">
        <f>SUM(DATE(2024,6,26),TIME(15,0,0))</f>
        <v>45469.625</v>
      </c>
      <c r="B1271">
        <v>35.145000000000003</v>
      </c>
      <c r="C1271">
        <v>2880</v>
      </c>
      <c r="D1271" s="4">
        <v>11.337096774193549</v>
      </c>
    </row>
    <row r="1272" spans="1:4" x14ac:dyDescent="0.25">
      <c r="A1272" s="3">
        <f>SUM(DATE(2024,6,26),TIME(16,0,0))</f>
        <v>45469.666666666664</v>
      </c>
      <c r="B1272">
        <v>35.1</v>
      </c>
      <c r="C1272">
        <v>6610</v>
      </c>
      <c r="D1272" s="4">
        <v>11.32258064516129</v>
      </c>
    </row>
    <row r="1273" spans="1:4" x14ac:dyDescent="0.25">
      <c r="A1273" s="3">
        <f>SUM(DATE(2024,6,26),TIME(17,0,0))</f>
        <v>45469.708333333336</v>
      </c>
      <c r="B1273">
        <v>35.034999999999997</v>
      </c>
      <c r="C1273">
        <v>4155</v>
      </c>
      <c r="D1273" s="4">
        <v>11.301612903225806</v>
      </c>
    </row>
    <row r="1274" spans="1:4" x14ac:dyDescent="0.25">
      <c r="A1274" s="3">
        <f>SUM(DATE(2024,6,26),TIME(18,0,0))</f>
        <v>45469.75</v>
      </c>
      <c r="B1274">
        <v>34.994999999999997</v>
      </c>
      <c r="C1274">
        <v>2830</v>
      </c>
      <c r="D1274" s="4">
        <v>11.288709677419353</v>
      </c>
    </row>
    <row r="1275" spans="1:4" x14ac:dyDescent="0.25">
      <c r="A1275" s="3">
        <f>SUM(DATE(2024,6,26),TIME(19,0,0))</f>
        <v>45469.791666666664</v>
      </c>
      <c r="B1275">
        <v>34.784999999999997</v>
      </c>
      <c r="C1275">
        <v>3490</v>
      </c>
      <c r="D1275" s="4">
        <v>11.220967741935482</v>
      </c>
    </row>
    <row r="1276" spans="1:4" x14ac:dyDescent="0.25">
      <c r="A1276" s="3">
        <f>SUM(DATE(2024,6,26),TIME(20,0,0))</f>
        <v>45469.833333333336</v>
      </c>
      <c r="B1276">
        <v>34.835000000000001</v>
      </c>
      <c r="C1276">
        <v>5225</v>
      </c>
      <c r="D1276" s="4">
        <v>11.237096774193548</v>
      </c>
    </row>
    <row r="1277" spans="1:4" x14ac:dyDescent="0.25">
      <c r="A1277" s="3">
        <f>SUM(DATE(2024,6,26),TIME(21,0,0))</f>
        <v>45469.875</v>
      </c>
      <c r="B1277">
        <v>34.78</v>
      </c>
      <c r="C1277">
        <v>4205</v>
      </c>
      <c r="D1277" s="4">
        <v>11.219354838709677</v>
      </c>
    </row>
    <row r="1278" spans="1:4" x14ac:dyDescent="0.25">
      <c r="A1278" s="3">
        <f>SUM(DATE(2024,6,26),TIME(22,0,0))</f>
        <v>45469.916666666664</v>
      </c>
      <c r="B1278">
        <v>33.975000000000001</v>
      </c>
      <c r="C1278">
        <v>12700</v>
      </c>
      <c r="D1278" s="4">
        <v>10.959677419354838</v>
      </c>
    </row>
    <row r="1279" spans="1:4" x14ac:dyDescent="0.25">
      <c r="A1279" s="3">
        <f>SUM(DATE(2024,6,26),TIME(23,0,0))</f>
        <v>45469.958333333336</v>
      </c>
      <c r="B1279">
        <v>34.055</v>
      </c>
      <c r="C1279">
        <v>10580</v>
      </c>
      <c r="D1279" s="4">
        <v>10.985483870967741</v>
      </c>
    </row>
    <row r="1280" spans="1:4" x14ac:dyDescent="0.25">
      <c r="A1280" s="3">
        <f>SUM(DATE(2024,6,27),TIME(14,0,0))</f>
        <v>45470.583333333336</v>
      </c>
      <c r="B1280">
        <v>34.085000000000001</v>
      </c>
      <c r="C1280">
        <v>955</v>
      </c>
      <c r="D1280" s="4">
        <v>10.995161290322581</v>
      </c>
    </row>
    <row r="1281" spans="1:4" x14ac:dyDescent="0.25">
      <c r="A1281" s="3">
        <f>SUM(DATE(2024,6,27),TIME(15,0,0))</f>
        <v>45470.625</v>
      </c>
      <c r="B1281">
        <v>34.4</v>
      </c>
      <c r="C1281">
        <v>2565</v>
      </c>
      <c r="D1281" s="4">
        <v>11.096774193548386</v>
      </c>
    </row>
    <row r="1282" spans="1:4" x14ac:dyDescent="0.25">
      <c r="A1282" s="3">
        <f>SUM(DATE(2024,6,27),TIME(16,0,0))</f>
        <v>45470.666666666664</v>
      </c>
      <c r="B1282">
        <v>34.57</v>
      </c>
      <c r="C1282">
        <v>4150</v>
      </c>
      <c r="D1282" s="4">
        <v>11.151612903225805</v>
      </c>
    </row>
    <row r="1283" spans="1:4" x14ac:dyDescent="0.25">
      <c r="A1283" s="3">
        <f>SUM(DATE(2024,6,27),TIME(17,0,0))</f>
        <v>45470.708333333336</v>
      </c>
      <c r="B1283">
        <v>34.47</v>
      </c>
      <c r="C1283">
        <v>2380</v>
      </c>
      <c r="D1283" s="4">
        <v>11.119354838709677</v>
      </c>
    </row>
    <row r="1284" spans="1:4" x14ac:dyDescent="0.25">
      <c r="A1284" s="3">
        <f>SUM(DATE(2024,6,27),TIME(18,0,0))</f>
        <v>45470.75</v>
      </c>
      <c r="B1284">
        <v>34.299999999999997</v>
      </c>
      <c r="C1284">
        <v>895</v>
      </c>
      <c r="D1284" s="4">
        <v>11.064516129032256</v>
      </c>
    </row>
    <row r="1285" spans="1:4" x14ac:dyDescent="0.25">
      <c r="A1285" s="3">
        <f>SUM(DATE(2024,6,27),TIME(19,0,0))</f>
        <v>45470.791666666664</v>
      </c>
      <c r="B1285">
        <v>34.225000000000001</v>
      </c>
      <c r="C1285">
        <v>1025</v>
      </c>
      <c r="D1285" s="4">
        <v>11.040322580645162</v>
      </c>
    </row>
    <row r="1286" spans="1:4" x14ac:dyDescent="0.25">
      <c r="A1286" s="3">
        <f>SUM(DATE(2024,6,27),TIME(20,0,0))</f>
        <v>45470.833333333336</v>
      </c>
      <c r="B1286">
        <v>34.340000000000003</v>
      </c>
      <c r="C1286">
        <v>1835</v>
      </c>
      <c r="D1286" s="4">
        <v>11.07741935483871</v>
      </c>
    </row>
    <row r="1287" spans="1:4" x14ac:dyDescent="0.25">
      <c r="A1287" s="3">
        <f>SUM(DATE(2024,6,27),TIME(21,0,0))</f>
        <v>45470.875</v>
      </c>
      <c r="B1287">
        <v>34.130000000000003</v>
      </c>
      <c r="C1287">
        <v>2225</v>
      </c>
      <c r="D1287" s="4">
        <v>11.009677419354839</v>
      </c>
    </row>
    <row r="1288" spans="1:4" x14ac:dyDescent="0.25">
      <c r="A1288" s="3">
        <f>SUM(DATE(2024,6,27),TIME(22,0,0))</f>
        <v>45470.916666666664</v>
      </c>
      <c r="B1288">
        <v>34.4</v>
      </c>
      <c r="C1288">
        <v>1650</v>
      </c>
      <c r="D1288" s="4">
        <v>11.096774193548386</v>
      </c>
    </row>
    <row r="1289" spans="1:4" x14ac:dyDescent="0.25">
      <c r="A1289" s="3">
        <f>SUM(DATE(2024,6,27),TIME(23,0,0))</f>
        <v>45470.958333333336</v>
      </c>
      <c r="B1289">
        <v>34.299999999999997</v>
      </c>
      <c r="C1289">
        <v>6995</v>
      </c>
      <c r="D1289" s="4">
        <v>11.064516129032256</v>
      </c>
    </row>
    <row r="1290" spans="1:4" x14ac:dyDescent="0.25">
      <c r="A1290" s="3">
        <f>SUM(DATE(2024,6,28),TIME(14,0,0))</f>
        <v>45471.583333333336</v>
      </c>
      <c r="B1290">
        <v>34.734999999999999</v>
      </c>
      <c r="C1290">
        <v>1210</v>
      </c>
      <c r="D1290" s="4">
        <v>11.20483870967742</v>
      </c>
    </row>
    <row r="1291" spans="1:4" x14ac:dyDescent="0.25">
      <c r="A1291" s="3">
        <f>SUM(DATE(2024,6,28),TIME(15,0,0))</f>
        <v>45471.625</v>
      </c>
      <c r="B1291">
        <v>34.335000000000001</v>
      </c>
      <c r="C1291">
        <v>4360</v>
      </c>
      <c r="D1291" s="4">
        <v>11.075806451612904</v>
      </c>
    </row>
    <row r="1292" spans="1:4" x14ac:dyDescent="0.25">
      <c r="A1292" s="3">
        <f>SUM(DATE(2024,6,28),TIME(16,0,0))</f>
        <v>45471.666666666664</v>
      </c>
      <c r="B1292">
        <v>34.32</v>
      </c>
      <c r="C1292">
        <v>5285</v>
      </c>
      <c r="D1292" s="4">
        <v>11.070967741935483</v>
      </c>
    </row>
    <row r="1293" spans="1:4" x14ac:dyDescent="0.25">
      <c r="A1293" s="3">
        <f>SUM(DATE(2024,6,28),TIME(17,0,0))</f>
        <v>45471.708333333336</v>
      </c>
      <c r="B1293">
        <v>34.06</v>
      </c>
      <c r="C1293">
        <v>7050</v>
      </c>
      <c r="D1293" s="4">
        <v>10.987096774193549</v>
      </c>
    </row>
    <row r="1294" spans="1:4" x14ac:dyDescent="0.25">
      <c r="A1294" s="3">
        <f>SUM(DATE(2024,6,28),TIME(18,0,0))</f>
        <v>45471.75</v>
      </c>
      <c r="B1294">
        <v>34.200000000000003</v>
      </c>
      <c r="C1294">
        <v>4035</v>
      </c>
      <c r="D1294" s="4">
        <v>11.03225806451613</v>
      </c>
    </row>
    <row r="1295" spans="1:4" x14ac:dyDescent="0.25">
      <c r="A1295" s="3">
        <f>SUM(DATE(2024,6,28),TIME(19,0,0))</f>
        <v>45471.791666666664</v>
      </c>
      <c r="B1295">
        <v>34.39</v>
      </c>
      <c r="C1295">
        <v>4870</v>
      </c>
      <c r="D1295" s="4">
        <v>11.093548387096774</v>
      </c>
    </row>
    <row r="1296" spans="1:4" x14ac:dyDescent="0.25">
      <c r="A1296" s="3">
        <f>SUM(DATE(2024,6,28),TIME(20,0,0))</f>
        <v>45471.833333333336</v>
      </c>
      <c r="B1296">
        <v>34.65</v>
      </c>
      <c r="C1296">
        <v>6235</v>
      </c>
      <c r="D1296" s="4">
        <v>11.177419354838708</v>
      </c>
    </row>
    <row r="1297" spans="1:4" x14ac:dyDescent="0.25">
      <c r="A1297" s="3">
        <f>SUM(DATE(2024,6,28),TIME(21,0,0))</f>
        <v>45471.875</v>
      </c>
      <c r="B1297">
        <v>34.369999999999997</v>
      </c>
      <c r="C1297">
        <v>5595</v>
      </c>
      <c r="D1297" s="4">
        <v>11.087096774193547</v>
      </c>
    </row>
    <row r="1298" spans="1:4" x14ac:dyDescent="0.25">
      <c r="A1298" s="3">
        <f>SUM(DATE(2024,6,28),TIME(22,0,0))</f>
        <v>45471.916666666664</v>
      </c>
      <c r="B1298">
        <v>34.424999999999997</v>
      </c>
      <c r="C1298">
        <v>5840</v>
      </c>
      <c r="D1298" s="4">
        <v>11.104838709677418</v>
      </c>
    </row>
    <row r="1299" spans="1:4" x14ac:dyDescent="0.25">
      <c r="A1299" s="3">
        <f>SUM(DATE(2024,6,28),TIME(23,0,0))</f>
        <v>45471.958333333336</v>
      </c>
      <c r="B1299">
        <v>34.505000000000003</v>
      </c>
      <c r="C1299">
        <v>11740</v>
      </c>
      <c r="D1299" s="4">
        <v>11.130645161290323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C06F-6D86-48BC-83AA-5F2A1C63C256}">
  <dimension ref="A1:B124"/>
  <sheetViews>
    <sheetView topLeftCell="A100" workbookViewId="0">
      <selection activeCell="I8" sqref="I8"/>
    </sheetView>
  </sheetViews>
  <sheetFormatPr defaultRowHeight="15" x14ac:dyDescent="0.25"/>
  <cols>
    <col min="1" max="1" width="9.42578125" style="2" bestFit="1" customWidth="1"/>
  </cols>
  <sheetData>
    <row r="1" spans="1:2" x14ac:dyDescent="0.25">
      <c r="A1" s="2" t="s">
        <v>3</v>
      </c>
      <c r="B1" t="s">
        <v>4</v>
      </c>
    </row>
    <row r="2" spans="1:2" x14ac:dyDescent="0.25">
      <c r="A2" s="2">
        <v>45293</v>
      </c>
      <c r="B2">
        <v>11.079000000000001</v>
      </c>
    </row>
    <row r="3" spans="1:2" x14ac:dyDescent="0.25">
      <c r="A3" s="2">
        <v>45294</v>
      </c>
      <c r="B3">
        <v>10.711</v>
      </c>
    </row>
    <row r="4" spans="1:2" x14ac:dyDescent="0.25">
      <c r="A4" s="2">
        <v>45295</v>
      </c>
      <c r="B4">
        <v>11.204000000000001</v>
      </c>
    </row>
    <row r="5" spans="1:2" x14ac:dyDescent="0.25">
      <c r="A5" s="2">
        <v>45296</v>
      </c>
      <c r="B5">
        <v>11.048</v>
      </c>
    </row>
    <row r="6" spans="1:2" x14ac:dyDescent="0.25">
      <c r="A6" s="2">
        <v>45299</v>
      </c>
      <c r="B6">
        <v>10.749000000000001</v>
      </c>
    </row>
    <row r="7" spans="1:2" x14ac:dyDescent="0.25">
      <c r="A7" s="2">
        <v>45300</v>
      </c>
      <c r="B7">
        <v>9.8089999999999993</v>
      </c>
    </row>
    <row r="8" spans="1:2" x14ac:dyDescent="0.25">
      <c r="A8" s="2">
        <v>45301</v>
      </c>
      <c r="B8">
        <v>10.137</v>
      </c>
    </row>
    <row r="9" spans="1:2" x14ac:dyDescent="0.25">
      <c r="A9" s="2">
        <v>45302</v>
      </c>
      <c r="B9">
        <v>10.132999999999999</v>
      </c>
    </row>
    <row r="10" spans="1:2" x14ac:dyDescent="0.25">
      <c r="A10" s="2">
        <v>45303</v>
      </c>
      <c r="B10">
        <v>10.318</v>
      </c>
    </row>
    <row r="11" spans="1:2" x14ac:dyDescent="0.25">
      <c r="A11" s="2">
        <v>45306</v>
      </c>
      <c r="B11">
        <v>10.348000000000001</v>
      </c>
    </row>
    <row r="12" spans="1:2" x14ac:dyDescent="0.25">
      <c r="A12" s="2">
        <v>45307</v>
      </c>
      <c r="B12">
        <v>9.8040000000000003</v>
      </c>
    </row>
    <row r="13" spans="1:2" x14ac:dyDescent="0.25">
      <c r="A13" s="2">
        <v>45308</v>
      </c>
      <c r="B13">
        <v>9.7070000000000007</v>
      </c>
    </row>
    <row r="14" spans="1:2" x14ac:dyDescent="0.25">
      <c r="A14" s="2">
        <v>45309</v>
      </c>
      <c r="B14">
        <v>9.4329999999999998</v>
      </c>
    </row>
    <row r="15" spans="1:2" x14ac:dyDescent="0.25">
      <c r="A15" s="2">
        <v>45310</v>
      </c>
      <c r="B15">
        <v>9.5489999999999995</v>
      </c>
    </row>
    <row r="16" spans="1:2" x14ac:dyDescent="0.25">
      <c r="A16" s="2">
        <v>45313</v>
      </c>
      <c r="B16">
        <v>9.2059999999999995</v>
      </c>
    </row>
    <row r="17" spans="1:2" x14ac:dyDescent="0.25">
      <c r="A17" s="2">
        <v>45314</v>
      </c>
      <c r="B17">
        <v>9.2680000000000007</v>
      </c>
    </row>
    <row r="18" spans="1:2" x14ac:dyDescent="0.25">
      <c r="A18" s="2">
        <v>45315</v>
      </c>
      <c r="B18">
        <v>9.298</v>
      </c>
    </row>
    <row r="19" spans="1:2" x14ac:dyDescent="0.25">
      <c r="A19" s="2">
        <v>45316</v>
      </c>
      <c r="B19">
        <v>9.5440000000000005</v>
      </c>
    </row>
    <row r="20" spans="1:2" x14ac:dyDescent="0.25">
      <c r="A20" s="2">
        <v>45317</v>
      </c>
      <c r="B20">
        <v>8.9090000000000007</v>
      </c>
    </row>
    <row r="21" spans="1:2" x14ac:dyDescent="0.25">
      <c r="A21" s="2">
        <v>45320</v>
      </c>
      <c r="B21">
        <v>9.3490000000000002</v>
      </c>
    </row>
    <row r="22" spans="1:2" x14ac:dyDescent="0.25">
      <c r="A22" s="2">
        <v>45321</v>
      </c>
      <c r="B22">
        <v>9.1560000000000006</v>
      </c>
    </row>
    <row r="23" spans="1:2" x14ac:dyDescent="0.25">
      <c r="A23" s="2">
        <v>45322</v>
      </c>
      <c r="B23">
        <v>9.86</v>
      </c>
    </row>
    <row r="24" spans="1:2" x14ac:dyDescent="0.25">
      <c r="A24" s="2">
        <v>45323</v>
      </c>
      <c r="B24">
        <v>9.7159999999999993</v>
      </c>
    </row>
    <row r="25" spans="1:2" x14ac:dyDescent="0.25">
      <c r="A25" s="2">
        <v>45324</v>
      </c>
      <c r="B25">
        <v>9.5239999999999991</v>
      </c>
    </row>
    <row r="26" spans="1:2" x14ac:dyDescent="0.25">
      <c r="A26" s="2">
        <v>45327</v>
      </c>
      <c r="B26">
        <v>9.5719999999999992</v>
      </c>
    </row>
    <row r="27" spans="1:2" x14ac:dyDescent="0.25">
      <c r="A27" s="2">
        <v>45328</v>
      </c>
      <c r="B27">
        <v>9.4589999999999996</v>
      </c>
    </row>
    <row r="28" spans="1:2" x14ac:dyDescent="0.25">
      <c r="A28" s="2">
        <v>45329</v>
      </c>
      <c r="B28">
        <v>9.3559999999999999</v>
      </c>
    </row>
    <row r="29" spans="1:2" x14ac:dyDescent="0.25">
      <c r="A29" s="2">
        <v>45330</v>
      </c>
      <c r="B29">
        <v>9.4580000000000002</v>
      </c>
    </row>
    <row r="30" spans="1:2" x14ac:dyDescent="0.25">
      <c r="A30" s="2">
        <v>45331</v>
      </c>
      <c r="B30">
        <v>9.1630000000000003</v>
      </c>
    </row>
    <row r="31" spans="1:2" x14ac:dyDescent="0.25">
      <c r="A31" s="2">
        <v>45335</v>
      </c>
      <c r="B31">
        <v>8.8629999999999995</v>
      </c>
    </row>
    <row r="32" spans="1:2" x14ac:dyDescent="0.25">
      <c r="A32" s="2">
        <v>45336</v>
      </c>
      <c r="B32">
        <v>8.5129999999999999</v>
      </c>
    </row>
    <row r="33" spans="1:2" x14ac:dyDescent="0.25">
      <c r="A33" s="2">
        <v>45337</v>
      </c>
      <c r="B33">
        <v>8.9250000000000007</v>
      </c>
    </row>
    <row r="34" spans="1:2" x14ac:dyDescent="0.25">
      <c r="A34" s="2">
        <v>45338</v>
      </c>
      <c r="B34">
        <v>8.6980000000000004</v>
      </c>
    </row>
    <row r="35" spans="1:2" x14ac:dyDescent="0.25">
      <c r="A35" s="2">
        <v>45341</v>
      </c>
      <c r="B35">
        <v>8.4979999999999993</v>
      </c>
    </row>
    <row r="36" spans="1:2" x14ac:dyDescent="0.25">
      <c r="A36" s="2">
        <v>45342</v>
      </c>
      <c r="B36">
        <v>8.2910000000000004</v>
      </c>
    </row>
    <row r="37" spans="1:2" x14ac:dyDescent="0.25">
      <c r="A37" s="2">
        <v>45343</v>
      </c>
      <c r="B37">
        <v>8.2799999999999994</v>
      </c>
    </row>
    <row r="38" spans="1:2" x14ac:dyDescent="0.25">
      <c r="A38" s="2">
        <v>45344</v>
      </c>
      <c r="B38">
        <v>8.23</v>
      </c>
    </row>
    <row r="39" spans="1:2" x14ac:dyDescent="0.25">
      <c r="A39" s="2">
        <v>45345</v>
      </c>
      <c r="B39">
        <v>7.9829999999999997</v>
      </c>
    </row>
    <row r="40" spans="1:2" x14ac:dyDescent="0.25">
      <c r="A40" s="2">
        <v>45348</v>
      </c>
      <c r="B40">
        <v>7.9809999999999999</v>
      </c>
    </row>
    <row r="41" spans="1:2" x14ac:dyDescent="0.25">
      <c r="A41" s="2">
        <v>45349</v>
      </c>
      <c r="B41">
        <v>8.1440000000000001</v>
      </c>
    </row>
    <row r="42" spans="1:2" x14ac:dyDescent="0.25">
      <c r="A42" s="2">
        <v>45350</v>
      </c>
      <c r="B42">
        <v>8.2590000000000003</v>
      </c>
    </row>
    <row r="43" spans="1:2" x14ac:dyDescent="0.25">
      <c r="A43" s="2">
        <v>45351</v>
      </c>
      <c r="B43">
        <v>8.218</v>
      </c>
    </row>
    <row r="44" spans="1:2" x14ac:dyDescent="0.25">
      <c r="A44" s="2">
        <v>45352</v>
      </c>
      <c r="B44">
        <v>8.327</v>
      </c>
    </row>
    <row r="45" spans="1:2" x14ac:dyDescent="0.25">
      <c r="A45" s="2">
        <v>45355</v>
      </c>
      <c r="B45">
        <v>8.2759999999999998</v>
      </c>
    </row>
    <row r="46" spans="1:2" x14ac:dyDescent="0.25">
      <c r="A46" s="2">
        <v>45356</v>
      </c>
      <c r="B46">
        <v>8.9629999999999992</v>
      </c>
    </row>
    <row r="47" spans="1:2" x14ac:dyDescent="0.25">
      <c r="A47" s="2">
        <v>45357</v>
      </c>
      <c r="B47">
        <v>8.9819999999999993</v>
      </c>
    </row>
    <row r="48" spans="1:2" x14ac:dyDescent="0.25">
      <c r="A48" s="2">
        <v>45358</v>
      </c>
      <c r="B48">
        <v>8.6530000000000005</v>
      </c>
    </row>
    <row r="49" spans="1:2" x14ac:dyDescent="0.25">
      <c r="A49" s="2">
        <v>45359</v>
      </c>
      <c r="B49">
        <v>9.1579999999999995</v>
      </c>
    </row>
    <row r="50" spans="1:2" x14ac:dyDescent="0.25">
      <c r="A50" s="2">
        <v>45362</v>
      </c>
      <c r="B50">
        <v>8.8019999999999996</v>
      </c>
    </row>
    <row r="51" spans="1:2" x14ac:dyDescent="0.25">
      <c r="A51" s="2">
        <v>45363</v>
      </c>
      <c r="B51">
        <v>8.5530000000000008</v>
      </c>
    </row>
    <row r="52" spans="1:2" x14ac:dyDescent="0.25">
      <c r="A52" s="2">
        <v>45364</v>
      </c>
      <c r="B52">
        <v>8.7140000000000004</v>
      </c>
    </row>
    <row r="53" spans="1:2" x14ac:dyDescent="0.25">
      <c r="A53" s="2">
        <v>45365</v>
      </c>
      <c r="B53">
        <v>8.7919999999999998</v>
      </c>
    </row>
    <row r="54" spans="1:2" x14ac:dyDescent="0.25">
      <c r="A54" s="2">
        <v>45366</v>
      </c>
      <c r="B54">
        <v>9.1419999999999995</v>
      </c>
    </row>
    <row r="55" spans="1:2" x14ac:dyDescent="0.25">
      <c r="A55" s="2">
        <v>45369</v>
      </c>
      <c r="B55">
        <v>9.9450000000000003</v>
      </c>
    </row>
    <row r="56" spans="1:2" x14ac:dyDescent="0.25">
      <c r="A56" s="2">
        <v>45370</v>
      </c>
      <c r="B56">
        <v>9.9809999999999999</v>
      </c>
    </row>
    <row r="57" spans="1:2" x14ac:dyDescent="0.25">
      <c r="A57" s="2">
        <v>45371</v>
      </c>
      <c r="B57">
        <v>9.6120000000000001</v>
      </c>
    </row>
    <row r="58" spans="1:2" x14ac:dyDescent="0.25">
      <c r="A58" s="2">
        <v>45372</v>
      </c>
      <c r="B58">
        <v>9.4359999999999999</v>
      </c>
    </row>
    <row r="59" spans="1:2" x14ac:dyDescent="0.25">
      <c r="A59" s="2">
        <v>45373</v>
      </c>
      <c r="B59">
        <v>9.18</v>
      </c>
    </row>
    <row r="60" spans="1:2" x14ac:dyDescent="0.25">
      <c r="A60" s="2">
        <v>45376</v>
      </c>
      <c r="B60">
        <v>9.8309999999999995</v>
      </c>
    </row>
    <row r="61" spans="1:2" x14ac:dyDescent="0.25">
      <c r="A61" s="2">
        <v>45377</v>
      </c>
      <c r="B61">
        <v>9.6679999999999993</v>
      </c>
    </row>
    <row r="62" spans="1:2" x14ac:dyDescent="0.25">
      <c r="A62" s="2">
        <v>45378</v>
      </c>
      <c r="B62">
        <v>9.5229999999999997</v>
      </c>
    </row>
    <row r="63" spans="1:2" x14ac:dyDescent="0.25">
      <c r="A63" s="2">
        <v>45379</v>
      </c>
      <c r="B63">
        <v>9.5090000000000003</v>
      </c>
    </row>
    <row r="64" spans="1:2" x14ac:dyDescent="0.25">
      <c r="A64" s="2">
        <v>45383</v>
      </c>
      <c r="B64">
        <v>9.4939999999999998</v>
      </c>
    </row>
    <row r="65" spans="1:2" x14ac:dyDescent="0.25">
      <c r="A65" s="2">
        <v>45384</v>
      </c>
      <c r="B65">
        <v>9.3829999999999991</v>
      </c>
    </row>
    <row r="66" spans="1:2" x14ac:dyDescent="0.25">
      <c r="A66" s="2">
        <v>45385</v>
      </c>
      <c r="B66">
        <v>9.3650000000000002</v>
      </c>
    </row>
    <row r="67" spans="1:2" x14ac:dyDescent="0.25">
      <c r="A67" s="2">
        <v>45386</v>
      </c>
      <c r="B67">
        <v>9.4459999999999997</v>
      </c>
    </row>
    <row r="68" spans="1:2" x14ac:dyDescent="0.25">
      <c r="A68" s="2">
        <v>45387</v>
      </c>
      <c r="B68">
        <v>9.4589999999999996</v>
      </c>
    </row>
    <row r="69" spans="1:2" x14ac:dyDescent="0.25">
      <c r="A69" s="2">
        <v>45390</v>
      </c>
      <c r="B69">
        <v>9.5820000000000007</v>
      </c>
    </row>
    <row r="70" spans="1:2" x14ac:dyDescent="0.25">
      <c r="A70" s="2">
        <v>45391</v>
      </c>
      <c r="B70">
        <v>9.8260000000000005</v>
      </c>
    </row>
    <row r="71" spans="1:2" x14ac:dyDescent="0.25">
      <c r="A71" s="2">
        <v>45393</v>
      </c>
      <c r="B71">
        <v>10.081</v>
      </c>
    </row>
    <row r="72" spans="1:2" x14ac:dyDescent="0.25">
      <c r="A72" s="2">
        <v>45394</v>
      </c>
      <c r="B72">
        <v>10.317</v>
      </c>
    </row>
    <row r="73" spans="1:2" x14ac:dyDescent="0.25">
      <c r="A73" s="2">
        <v>45397</v>
      </c>
      <c r="B73">
        <v>10.407</v>
      </c>
    </row>
    <row r="74" spans="1:2" x14ac:dyDescent="0.25">
      <c r="A74" s="2">
        <v>45398</v>
      </c>
      <c r="B74">
        <v>11.159000000000001</v>
      </c>
    </row>
    <row r="75" spans="1:2" x14ac:dyDescent="0.25">
      <c r="A75" s="2">
        <v>45399</v>
      </c>
      <c r="B75">
        <v>10.914</v>
      </c>
    </row>
    <row r="76" spans="1:2" x14ac:dyDescent="0.25">
      <c r="A76" s="2">
        <v>45400</v>
      </c>
      <c r="B76">
        <v>10.404</v>
      </c>
    </row>
    <row r="77" spans="1:2" x14ac:dyDescent="0.25">
      <c r="A77" s="2">
        <v>45401</v>
      </c>
      <c r="B77">
        <v>10.691000000000001</v>
      </c>
    </row>
    <row r="78" spans="1:2" x14ac:dyDescent="0.25">
      <c r="A78" s="2">
        <v>45404</v>
      </c>
      <c r="B78">
        <v>10.332000000000001</v>
      </c>
    </row>
    <row r="79" spans="1:2" x14ac:dyDescent="0.25">
      <c r="A79" s="2">
        <v>45405</v>
      </c>
      <c r="B79">
        <v>10.285</v>
      </c>
    </row>
    <row r="80" spans="1:2" x14ac:dyDescent="0.25">
      <c r="A80" s="2">
        <v>45406</v>
      </c>
      <c r="B80">
        <v>10.16</v>
      </c>
    </row>
    <row r="81" spans="1:2" x14ac:dyDescent="0.25">
      <c r="A81" s="2">
        <v>45407</v>
      </c>
      <c r="B81">
        <v>10.097</v>
      </c>
    </row>
    <row r="82" spans="1:2" x14ac:dyDescent="0.25">
      <c r="A82" s="2">
        <v>45408</v>
      </c>
      <c r="B82">
        <v>10.153</v>
      </c>
    </row>
    <row r="83" spans="1:2" x14ac:dyDescent="0.25">
      <c r="A83" s="2">
        <v>45411</v>
      </c>
      <c r="B83">
        <v>9.9710000000000001</v>
      </c>
    </row>
    <row r="84" spans="1:2" x14ac:dyDescent="0.25">
      <c r="A84" s="2">
        <v>45412</v>
      </c>
      <c r="B84">
        <v>9.9920000000000009</v>
      </c>
    </row>
    <row r="85" spans="1:2" x14ac:dyDescent="0.25">
      <c r="A85" s="2">
        <v>45414</v>
      </c>
      <c r="B85">
        <v>10.484999999999999</v>
      </c>
    </row>
    <row r="86" spans="1:2" x14ac:dyDescent="0.25">
      <c r="A86" s="2">
        <v>45415</v>
      </c>
      <c r="B86">
        <v>10.426</v>
      </c>
    </row>
    <row r="87" spans="1:2" x14ac:dyDescent="0.25">
      <c r="A87" s="2">
        <v>45418</v>
      </c>
      <c r="B87">
        <v>10.811999999999999</v>
      </c>
    </row>
    <row r="88" spans="1:2" x14ac:dyDescent="0.25">
      <c r="A88" s="2">
        <v>45419</v>
      </c>
      <c r="B88">
        <v>10.641</v>
      </c>
    </row>
    <row r="89" spans="1:2" x14ac:dyDescent="0.25">
      <c r="A89" s="2">
        <v>45420</v>
      </c>
      <c r="B89">
        <v>10.347</v>
      </c>
    </row>
    <row r="90" spans="1:2" x14ac:dyDescent="0.25">
      <c r="A90" s="2">
        <v>45421</v>
      </c>
      <c r="B90">
        <v>10.499000000000001</v>
      </c>
    </row>
    <row r="91" spans="1:2" x14ac:dyDescent="0.25">
      <c r="A91" s="2">
        <v>45422</v>
      </c>
      <c r="B91">
        <v>10.814</v>
      </c>
    </row>
    <row r="92" spans="1:2" x14ac:dyDescent="0.25">
      <c r="A92" s="2">
        <v>45425</v>
      </c>
      <c r="B92">
        <v>10.441000000000001</v>
      </c>
    </row>
    <row r="93" spans="1:2" x14ac:dyDescent="0.25">
      <c r="A93" s="2">
        <v>45426</v>
      </c>
      <c r="B93">
        <v>10.381</v>
      </c>
    </row>
    <row r="94" spans="1:2" x14ac:dyDescent="0.25">
      <c r="A94" s="2">
        <v>45427</v>
      </c>
      <c r="B94">
        <v>10.840999999999999</v>
      </c>
    </row>
    <row r="95" spans="1:2" x14ac:dyDescent="0.25">
      <c r="A95" s="2">
        <v>45428</v>
      </c>
      <c r="B95">
        <v>10.978999999999999</v>
      </c>
    </row>
    <row r="96" spans="1:2" x14ac:dyDescent="0.25">
      <c r="A96" s="2">
        <v>45429</v>
      </c>
      <c r="B96">
        <v>11.172000000000001</v>
      </c>
    </row>
    <row r="97" spans="1:2" x14ac:dyDescent="0.25">
      <c r="A97" s="2">
        <v>45432</v>
      </c>
      <c r="B97">
        <v>11.497999999999999</v>
      </c>
    </row>
    <row r="98" spans="1:2" x14ac:dyDescent="0.25">
      <c r="A98" s="2">
        <v>45433</v>
      </c>
      <c r="B98">
        <v>11.484999999999999</v>
      </c>
    </row>
    <row r="99" spans="1:2" x14ac:dyDescent="0.25">
      <c r="A99" s="2">
        <v>45435</v>
      </c>
      <c r="B99">
        <v>12.32</v>
      </c>
    </row>
    <row r="100" spans="1:2" x14ac:dyDescent="0.25">
      <c r="A100" s="2">
        <v>45436</v>
      </c>
      <c r="B100">
        <v>12.079000000000001</v>
      </c>
    </row>
    <row r="101" spans="1:2" x14ac:dyDescent="0.25">
      <c r="A101" s="2">
        <v>45439</v>
      </c>
      <c r="B101">
        <v>11.971</v>
      </c>
    </row>
    <row r="102" spans="1:2" x14ac:dyDescent="0.25">
      <c r="A102" s="2">
        <v>45440</v>
      </c>
      <c r="B102">
        <v>11.973000000000001</v>
      </c>
    </row>
    <row r="103" spans="1:2" x14ac:dyDescent="0.25">
      <c r="A103" s="2">
        <v>45441</v>
      </c>
      <c r="B103">
        <v>12.061</v>
      </c>
    </row>
    <row r="104" spans="1:2" x14ac:dyDescent="0.25">
      <c r="A104" s="2">
        <v>45442</v>
      </c>
      <c r="B104">
        <v>12.188000000000001</v>
      </c>
    </row>
    <row r="105" spans="1:2" x14ac:dyDescent="0.25">
      <c r="A105" s="2">
        <v>45443</v>
      </c>
      <c r="B105">
        <v>12.407</v>
      </c>
    </row>
    <row r="106" spans="1:2" x14ac:dyDescent="0.25">
      <c r="A106" s="2">
        <v>45446</v>
      </c>
      <c r="B106">
        <v>12.86</v>
      </c>
    </row>
    <row r="107" spans="1:2" x14ac:dyDescent="0.25">
      <c r="A107" s="2">
        <v>45447</v>
      </c>
      <c r="B107">
        <v>12.605</v>
      </c>
    </row>
    <row r="108" spans="1:2" x14ac:dyDescent="0.25">
      <c r="A108" s="2">
        <v>45448</v>
      </c>
      <c r="B108">
        <v>12.125</v>
      </c>
    </row>
    <row r="109" spans="1:2" x14ac:dyDescent="0.25">
      <c r="A109" s="2">
        <v>45449</v>
      </c>
      <c r="B109">
        <v>12.068</v>
      </c>
    </row>
    <row r="110" spans="1:2" x14ac:dyDescent="0.25">
      <c r="A110" s="2">
        <v>45450</v>
      </c>
      <c r="B110">
        <v>11.884</v>
      </c>
    </row>
    <row r="111" spans="1:2" x14ac:dyDescent="0.25">
      <c r="A111" s="2">
        <v>45453</v>
      </c>
      <c r="B111">
        <v>11.765000000000001</v>
      </c>
    </row>
    <row r="112" spans="1:2" x14ac:dyDescent="0.25">
      <c r="A112" s="2">
        <v>45454</v>
      </c>
      <c r="B112">
        <v>12.516999999999999</v>
      </c>
    </row>
    <row r="113" spans="1:2" x14ac:dyDescent="0.25">
      <c r="A113" s="2">
        <v>45455</v>
      </c>
      <c r="B113">
        <v>12.644</v>
      </c>
    </row>
    <row r="114" spans="1:2" x14ac:dyDescent="0.25">
      <c r="A114" s="2">
        <v>45456</v>
      </c>
      <c r="B114">
        <v>13.355</v>
      </c>
    </row>
    <row r="115" spans="1:2" x14ac:dyDescent="0.25">
      <c r="A115" s="2">
        <v>45457</v>
      </c>
      <c r="B115">
        <v>12.942</v>
      </c>
    </row>
    <row r="116" spans="1:2" x14ac:dyDescent="0.25">
      <c r="A116" s="2">
        <v>45461</v>
      </c>
      <c r="B116">
        <v>12.509</v>
      </c>
    </row>
    <row r="117" spans="1:2" x14ac:dyDescent="0.25">
      <c r="A117" s="2">
        <v>45462</v>
      </c>
      <c r="B117">
        <v>12.625</v>
      </c>
    </row>
    <row r="118" spans="1:2" x14ac:dyDescent="0.25">
      <c r="A118" s="2">
        <v>45463</v>
      </c>
      <c r="B118">
        <v>12.872</v>
      </c>
    </row>
    <row r="119" spans="1:2" x14ac:dyDescent="0.25">
      <c r="A119" s="2">
        <v>45464</v>
      </c>
      <c r="B119">
        <v>12.704000000000001</v>
      </c>
    </row>
    <row r="120" spans="1:2" x14ac:dyDescent="0.25">
      <c r="A120" s="2">
        <v>45467</v>
      </c>
      <c r="B120">
        <v>12.48</v>
      </c>
    </row>
    <row r="121" spans="1:2" x14ac:dyDescent="0.25">
      <c r="A121" s="2">
        <v>45468</v>
      </c>
      <c r="B121">
        <v>12.76</v>
      </c>
    </row>
    <row r="122" spans="1:2" x14ac:dyDescent="0.25">
      <c r="A122" s="2">
        <v>45469</v>
      </c>
      <c r="B122">
        <v>12.975</v>
      </c>
    </row>
    <row r="123" spans="1:2" x14ac:dyDescent="0.25">
      <c r="A123" s="2">
        <v>45470</v>
      </c>
      <c r="B123">
        <v>12.776999999999999</v>
      </c>
    </row>
    <row r="124" spans="1:2" x14ac:dyDescent="0.25">
      <c r="A124" s="2">
        <v>45471</v>
      </c>
      <c r="B124">
        <v>12.509</v>
      </c>
    </row>
  </sheetData>
  <sortState xmlns:xlrd2="http://schemas.microsoft.com/office/spreadsheetml/2017/richdata2" ref="A2:B124">
    <sortCondition ref="A2:A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0F43-DED4-4CE7-8AF9-968868FF29BB}">
  <dimension ref="A1:B133"/>
  <sheetViews>
    <sheetView topLeftCell="A121" workbookViewId="0"/>
  </sheetViews>
  <sheetFormatPr defaultRowHeight="15" x14ac:dyDescent="0.25"/>
  <cols>
    <col min="1" max="1" width="9.42578125" bestFit="1" customWidth="1"/>
  </cols>
  <sheetData>
    <row r="1" spans="1:2" x14ac:dyDescent="0.25">
      <c r="A1" t="str">
        <f>_xll.ICESeries(B1,B2,,DATE(2024,1,1),DATE(2024,6,30),,"DayOfWeek=12345")</f>
        <v>Time Series</v>
      </c>
      <c r="B1" t="s">
        <v>5</v>
      </c>
    </row>
    <row r="2" spans="1:2" x14ac:dyDescent="0.25">
      <c r="B2" t="s">
        <v>1</v>
      </c>
    </row>
    <row r="3" spans="1:2" x14ac:dyDescent="0.25">
      <c r="B3" t="s">
        <v>6</v>
      </c>
    </row>
    <row r="4" spans="1:2" x14ac:dyDescent="0.25">
      <c r="A4" s="2">
        <f>DATE(2024,6,28)</f>
        <v>45471</v>
      </c>
      <c r="B4">
        <v>86.41</v>
      </c>
    </row>
    <row r="5" spans="1:2" x14ac:dyDescent="0.25">
      <c r="A5" s="2">
        <f>DATE(2024,6,27)</f>
        <v>45470</v>
      </c>
      <c r="B5">
        <v>86.39</v>
      </c>
    </row>
    <row r="6" spans="1:2" x14ac:dyDescent="0.25">
      <c r="A6" s="2">
        <f>DATE(2024,6,26)</f>
        <v>45469</v>
      </c>
      <c r="B6">
        <v>85.25</v>
      </c>
    </row>
    <row r="7" spans="1:2" x14ac:dyDescent="0.25">
      <c r="A7" s="2">
        <f>DATE(2024,6,25)</f>
        <v>45468</v>
      </c>
      <c r="B7">
        <v>85.01</v>
      </c>
    </row>
    <row r="8" spans="1:2" x14ac:dyDescent="0.25">
      <c r="A8" s="2">
        <f>DATE(2024,6,24)</f>
        <v>45467</v>
      </c>
      <c r="B8">
        <v>86.01</v>
      </c>
    </row>
    <row r="9" spans="1:2" x14ac:dyDescent="0.25">
      <c r="A9" s="2">
        <f>DATE(2024,6,21)</f>
        <v>45464</v>
      </c>
      <c r="B9">
        <v>85.24</v>
      </c>
    </row>
    <row r="10" spans="1:2" x14ac:dyDescent="0.25">
      <c r="A10" s="2">
        <f>DATE(2024,6,20)</f>
        <v>45463</v>
      </c>
      <c r="B10">
        <v>85.71</v>
      </c>
    </row>
    <row r="11" spans="1:2" x14ac:dyDescent="0.25">
      <c r="A11" s="2">
        <f>DATE(2024,6,19)</f>
        <v>45462</v>
      </c>
      <c r="B11">
        <v>85.07</v>
      </c>
    </row>
    <row r="12" spans="1:2" x14ac:dyDescent="0.25">
      <c r="A12" s="2">
        <f>DATE(2024,6,18)</f>
        <v>45461</v>
      </c>
      <c r="B12">
        <v>85.33</v>
      </c>
    </row>
    <row r="13" spans="1:2" x14ac:dyDescent="0.25">
      <c r="A13" s="2">
        <f>DATE(2024,6,17)</f>
        <v>45460</v>
      </c>
      <c r="B13">
        <v>84.25</v>
      </c>
    </row>
    <row r="14" spans="1:2" x14ac:dyDescent="0.25">
      <c r="A14" s="2">
        <f>DATE(2024,6,14)</f>
        <v>45457</v>
      </c>
      <c r="B14">
        <v>82.62</v>
      </c>
    </row>
    <row r="15" spans="1:2" x14ac:dyDescent="0.25">
      <c r="A15" s="2">
        <f>DATE(2024,6,13)</f>
        <v>45456</v>
      </c>
      <c r="B15">
        <v>82.75</v>
      </c>
    </row>
    <row r="16" spans="1:2" x14ac:dyDescent="0.25">
      <c r="A16" s="2">
        <f>DATE(2024,6,12)</f>
        <v>45455</v>
      </c>
      <c r="B16">
        <v>82.6</v>
      </c>
    </row>
    <row r="17" spans="1:2" x14ac:dyDescent="0.25">
      <c r="A17" s="2">
        <f>DATE(2024,6,11)</f>
        <v>45454</v>
      </c>
      <c r="B17">
        <v>81.92</v>
      </c>
    </row>
    <row r="18" spans="1:2" x14ac:dyDescent="0.25">
      <c r="A18" s="2">
        <f>DATE(2024,6,10)</f>
        <v>45453</v>
      </c>
      <c r="B18">
        <v>81.63</v>
      </c>
    </row>
    <row r="19" spans="1:2" x14ac:dyDescent="0.25">
      <c r="A19" s="2">
        <f>DATE(2024,6,7)</f>
        <v>45450</v>
      </c>
      <c r="B19">
        <v>79.62</v>
      </c>
    </row>
    <row r="20" spans="1:2" x14ac:dyDescent="0.25">
      <c r="A20" s="2">
        <f>DATE(2024,6,6)</f>
        <v>45449</v>
      </c>
      <c r="B20">
        <v>79.87</v>
      </c>
    </row>
    <row r="21" spans="1:2" x14ac:dyDescent="0.25">
      <c r="A21" s="2">
        <f>DATE(2024,6,5)</f>
        <v>45448</v>
      </c>
      <c r="B21">
        <v>78.41</v>
      </c>
    </row>
    <row r="22" spans="1:2" x14ac:dyDescent="0.25">
      <c r="A22" s="2">
        <f>DATE(2024,6,4)</f>
        <v>45447</v>
      </c>
      <c r="B22">
        <v>77.52</v>
      </c>
    </row>
    <row r="23" spans="1:2" x14ac:dyDescent="0.25">
      <c r="A23" s="2">
        <f>DATE(2024,6,3)</f>
        <v>45446</v>
      </c>
      <c r="B23">
        <v>78.36</v>
      </c>
    </row>
    <row r="24" spans="1:2" x14ac:dyDescent="0.25">
      <c r="A24" s="2">
        <f>DATE(2024,5,31)</f>
        <v>45443</v>
      </c>
      <c r="B24">
        <v>81.62</v>
      </c>
    </row>
    <row r="25" spans="1:2" x14ac:dyDescent="0.25">
      <c r="A25" s="2">
        <f>DATE(2024,5,30)</f>
        <v>45442</v>
      </c>
      <c r="B25">
        <v>81.86</v>
      </c>
    </row>
    <row r="26" spans="1:2" x14ac:dyDescent="0.25">
      <c r="A26" s="2">
        <f>DATE(2024,5,29)</f>
        <v>45441</v>
      </c>
      <c r="B26">
        <v>83.6</v>
      </c>
    </row>
    <row r="27" spans="1:2" x14ac:dyDescent="0.25">
      <c r="A27" s="2">
        <f>DATE(2024,5,28)</f>
        <v>45440</v>
      </c>
      <c r="B27">
        <v>84.22</v>
      </c>
    </row>
    <row r="28" spans="1:2" x14ac:dyDescent="0.25">
      <c r="A28" s="2">
        <f>DATE(2024,5,27)</f>
        <v>45439</v>
      </c>
      <c r="B28">
        <v>83.1</v>
      </c>
    </row>
    <row r="29" spans="1:2" x14ac:dyDescent="0.25">
      <c r="A29" s="2">
        <f>DATE(2024,5,24)</f>
        <v>45436</v>
      </c>
      <c r="B29">
        <v>82.12</v>
      </c>
    </row>
    <row r="30" spans="1:2" x14ac:dyDescent="0.25">
      <c r="A30" s="2">
        <f>DATE(2024,5,23)</f>
        <v>45435</v>
      </c>
      <c r="B30">
        <v>81.36</v>
      </c>
    </row>
    <row r="31" spans="1:2" x14ac:dyDescent="0.25">
      <c r="A31" s="2">
        <f>DATE(2024,5,22)</f>
        <v>45434</v>
      </c>
      <c r="B31">
        <v>81.900000000000006</v>
      </c>
    </row>
    <row r="32" spans="1:2" x14ac:dyDescent="0.25">
      <c r="A32" s="2">
        <f>DATE(2024,5,21)</f>
        <v>45433</v>
      </c>
      <c r="B32">
        <v>82.88</v>
      </c>
    </row>
    <row r="33" spans="1:2" x14ac:dyDescent="0.25">
      <c r="A33" s="2">
        <f>DATE(2024,5,20)</f>
        <v>45432</v>
      </c>
      <c r="B33">
        <v>83.71</v>
      </c>
    </row>
    <row r="34" spans="1:2" x14ac:dyDescent="0.25">
      <c r="A34" s="2">
        <f>DATE(2024,5,17)</f>
        <v>45429</v>
      </c>
      <c r="B34">
        <v>83.98</v>
      </c>
    </row>
    <row r="35" spans="1:2" x14ac:dyDescent="0.25">
      <c r="A35" s="2">
        <f>DATE(2024,5,16)</f>
        <v>45428</v>
      </c>
      <c r="B35">
        <v>83.27</v>
      </c>
    </row>
    <row r="36" spans="1:2" x14ac:dyDescent="0.25">
      <c r="A36" s="2">
        <f>DATE(2024,5,15)</f>
        <v>45427</v>
      </c>
      <c r="B36">
        <v>82.75</v>
      </c>
    </row>
    <row r="37" spans="1:2" x14ac:dyDescent="0.25">
      <c r="A37" s="2">
        <f>DATE(2024,5,14)</f>
        <v>45426</v>
      </c>
      <c r="B37">
        <v>82.38</v>
      </c>
    </row>
    <row r="38" spans="1:2" x14ac:dyDescent="0.25">
      <c r="A38" s="2">
        <f>DATE(2024,5,13)</f>
        <v>45425</v>
      </c>
      <c r="B38">
        <v>83.36</v>
      </c>
    </row>
    <row r="39" spans="1:2" x14ac:dyDescent="0.25">
      <c r="A39" s="2">
        <f>DATE(2024,5,10)</f>
        <v>45422</v>
      </c>
      <c r="B39">
        <v>82.79</v>
      </c>
    </row>
    <row r="40" spans="1:2" x14ac:dyDescent="0.25">
      <c r="A40" s="2">
        <f>DATE(2024,5,9)</f>
        <v>45421</v>
      </c>
      <c r="B40">
        <v>83.88</v>
      </c>
    </row>
    <row r="41" spans="1:2" x14ac:dyDescent="0.25">
      <c r="A41" s="2">
        <f>DATE(2024,5,8)</f>
        <v>45420</v>
      </c>
      <c r="B41">
        <v>83.58</v>
      </c>
    </row>
    <row r="42" spans="1:2" x14ac:dyDescent="0.25">
      <c r="A42" s="2">
        <f>DATE(2024,5,7)</f>
        <v>45419</v>
      </c>
      <c r="B42">
        <v>83.16</v>
      </c>
    </row>
    <row r="43" spans="1:2" x14ac:dyDescent="0.25">
      <c r="A43" s="2">
        <f>DATE(2024,5,6)</f>
        <v>45418</v>
      </c>
      <c r="B43">
        <v>83.33</v>
      </c>
    </row>
    <row r="44" spans="1:2" x14ac:dyDescent="0.25">
      <c r="A44" s="2">
        <f>DATE(2024,5,3)</f>
        <v>45415</v>
      </c>
      <c r="B44">
        <v>82.96</v>
      </c>
    </row>
    <row r="45" spans="1:2" x14ac:dyDescent="0.25">
      <c r="A45" s="2">
        <f>DATE(2024,5,2)</f>
        <v>45414</v>
      </c>
      <c r="B45">
        <v>83.67</v>
      </c>
    </row>
    <row r="46" spans="1:2" x14ac:dyDescent="0.25">
      <c r="A46" s="2">
        <f>DATE(2024,5,1)</f>
        <v>45413</v>
      </c>
      <c r="B46">
        <v>83.44</v>
      </c>
    </row>
    <row r="47" spans="1:2" x14ac:dyDescent="0.25">
      <c r="A47" s="2">
        <f>DATE(2024,4,30)</f>
        <v>45412</v>
      </c>
      <c r="B47">
        <v>87.86</v>
      </c>
    </row>
    <row r="48" spans="1:2" x14ac:dyDescent="0.25">
      <c r="A48" s="2">
        <f>DATE(2024,4,29)</f>
        <v>45411</v>
      </c>
      <c r="B48">
        <v>88.4</v>
      </c>
    </row>
    <row r="49" spans="1:2" x14ac:dyDescent="0.25">
      <c r="A49" s="2">
        <f>DATE(2024,4,26)</f>
        <v>45408</v>
      </c>
      <c r="B49">
        <v>89.5</v>
      </c>
    </row>
    <row r="50" spans="1:2" x14ac:dyDescent="0.25">
      <c r="A50" s="2">
        <f>DATE(2024,4,25)</f>
        <v>45407</v>
      </c>
      <c r="B50">
        <v>89.01</v>
      </c>
    </row>
    <row r="51" spans="1:2" x14ac:dyDescent="0.25">
      <c r="A51" s="2">
        <f>DATE(2024,4,24)</f>
        <v>45406</v>
      </c>
      <c r="B51">
        <v>88.02</v>
      </c>
    </row>
    <row r="52" spans="1:2" x14ac:dyDescent="0.25">
      <c r="A52" s="2">
        <f>DATE(2024,4,23)</f>
        <v>45405</v>
      </c>
      <c r="B52">
        <v>88.42</v>
      </c>
    </row>
    <row r="53" spans="1:2" x14ac:dyDescent="0.25">
      <c r="A53" s="2">
        <f>DATE(2024,4,22)</f>
        <v>45404</v>
      </c>
      <c r="B53">
        <v>87</v>
      </c>
    </row>
    <row r="54" spans="1:2" x14ac:dyDescent="0.25">
      <c r="A54" s="2">
        <f>DATE(2024,4,19)</f>
        <v>45401</v>
      </c>
      <c r="B54">
        <v>87.29</v>
      </c>
    </row>
    <row r="55" spans="1:2" x14ac:dyDescent="0.25">
      <c r="A55" s="2">
        <f>DATE(2024,4,18)</f>
        <v>45400</v>
      </c>
      <c r="B55">
        <v>87.11</v>
      </c>
    </row>
    <row r="56" spans="1:2" x14ac:dyDescent="0.25">
      <c r="A56" s="2">
        <f>DATE(2024,4,17)</f>
        <v>45399</v>
      </c>
      <c r="B56">
        <v>87.29</v>
      </c>
    </row>
    <row r="57" spans="1:2" x14ac:dyDescent="0.25">
      <c r="A57" s="2">
        <f>DATE(2024,4,16)</f>
        <v>45398</v>
      </c>
      <c r="B57">
        <v>90.02</v>
      </c>
    </row>
    <row r="58" spans="1:2" x14ac:dyDescent="0.25">
      <c r="A58" s="2">
        <f>DATE(2024,4,15)</f>
        <v>45397</v>
      </c>
      <c r="B58">
        <v>90.1</v>
      </c>
    </row>
    <row r="59" spans="1:2" x14ac:dyDescent="0.25">
      <c r="A59" s="2">
        <f>DATE(2024,4,12)</f>
        <v>45394</v>
      </c>
      <c r="B59">
        <v>90.45</v>
      </c>
    </row>
    <row r="60" spans="1:2" x14ac:dyDescent="0.25">
      <c r="A60" s="2">
        <f>DATE(2024,4,11)</f>
        <v>45393</v>
      </c>
      <c r="B60">
        <v>89.74</v>
      </c>
    </row>
    <row r="61" spans="1:2" x14ac:dyDescent="0.25">
      <c r="A61" s="2">
        <f>DATE(2024,4,10)</f>
        <v>45392</v>
      </c>
      <c r="B61">
        <v>90.48</v>
      </c>
    </row>
    <row r="62" spans="1:2" x14ac:dyDescent="0.25">
      <c r="A62" s="2">
        <f>DATE(2024,4,9)</f>
        <v>45391</v>
      </c>
      <c r="B62">
        <v>89.42</v>
      </c>
    </row>
    <row r="63" spans="1:2" x14ac:dyDescent="0.25">
      <c r="A63" s="2">
        <f>DATE(2024,4,8)</f>
        <v>45390</v>
      </c>
      <c r="B63">
        <v>90.38</v>
      </c>
    </row>
    <row r="64" spans="1:2" x14ac:dyDescent="0.25">
      <c r="A64" s="2">
        <f>DATE(2024,4,5)</f>
        <v>45387</v>
      </c>
      <c r="B64">
        <v>91.17</v>
      </c>
    </row>
    <row r="65" spans="1:2" x14ac:dyDescent="0.25">
      <c r="A65" s="2">
        <f>DATE(2024,4,4)</f>
        <v>45386</v>
      </c>
      <c r="B65">
        <v>90.65</v>
      </c>
    </row>
    <row r="66" spans="1:2" x14ac:dyDescent="0.25">
      <c r="A66" s="2">
        <f>DATE(2024,4,3)</f>
        <v>45385</v>
      </c>
      <c r="B66">
        <v>89.35</v>
      </c>
    </row>
    <row r="67" spans="1:2" x14ac:dyDescent="0.25">
      <c r="A67" s="2">
        <f>DATE(2024,4,2)</f>
        <v>45384</v>
      </c>
      <c r="B67">
        <v>88.92</v>
      </c>
    </row>
    <row r="68" spans="1:2" x14ac:dyDescent="0.25">
      <c r="A68" s="2">
        <f>DATE(2024,4,1)</f>
        <v>45383</v>
      </c>
      <c r="B68">
        <v>87.42</v>
      </c>
    </row>
    <row r="69" spans="1:2" x14ac:dyDescent="0.25">
      <c r="A69" s="2">
        <f>DATE(2024,3,29)</f>
        <v>45380</v>
      </c>
    </row>
    <row r="70" spans="1:2" x14ac:dyDescent="0.25">
      <c r="A70" s="2">
        <f>DATE(2024,3,28)</f>
        <v>45379</v>
      </c>
      <c r="B70">
        <v>87.48</v>
      </c>
    </row>
    <row r="71" spans="1:2" x14ac:dyDescent="0.25">
      <c r="A71" s="2">
        <f>DATE(2024,3,27)</f>
        <v>45378</v>
      </c>
      <c r="B71">
        <v>86.09</v>
      </c>
    </row>
    <row r="72" spans="1:2" x14ac:dyDescent="0.25">
      <c r="A72" s="2">
        <f>DATE(2024,3,26)</f>
        <v>45377</v>
      </c>
      <c r="B72">
        <v>86.25</v>
      </c>
    </row>
    <row r="73" spans="1:2" x14ac:dyDescent="0.25">
      <c r="A73" s="2">
        <f>DATE(2024,3,25)</f>
        <v>45376</v>
      </c>
      <c r="B73">
        <v>86.75</v>
      </c>
    </row>
    <row r="74" spans="1:2" x14ac:dyDescent="0.25">
      <c r="A74" s="2">
        <f>DATE(2024,3,22)</f>
        <v>45373</v>
      </c>
      <c r="B74">
        <v>85.43</v>
      </c>
    </row>
    <row r="75" spans="1:2" x14ac:dyDescent="0.25">
      <c r="A75" s="2">
        <f>DATE(2024,3,21)</f>
        <v>45372</v>
      </c>
      <c r="B75">
        <v>85.78</v>
      </c>
    </row>
    <row r="76" spans="1:2" x14ac:dyDescent="0.25">
      <c r="A76" s="2">
        <f>DATE(2024,3,20)</f>
        <v>45371</v>
      </c>
      <c r="B76">
        <v>85.95</v>
      </c>
    </row>
    <row r="77" spans="1:2" x14ac:dyDescent="0.25">
      <c r="A77" s="2">
        <f>DATE(2024,3,19)</f>
        <v>45370</v>
      </c>
      <c r="B77">
        <v>87.38</v>
      </c>
    </row>
    <row r="78" spans="1:2" x14ac:dyDescent="0.25">
      <c r="A78" s="2">
        <f>DATE(2024,3,18)</f>
        <v>45369</v>
      </c>
      <c r="B78">
        <v>86.89</v>
      </c>
    </row>
    <row r="79" spans="1:2" x14ac:dyDescent="0.25">
      <c r="A79" s="2">
        <f>DATE(2024,3,15)</f>
        <v>45366</v>
      </c>
      <c r="B79">
        <v>85.34</v>
      </c>
    </row>
    <row r="80" spans="1:2" x14ac:dyDescent="0.25">
      <c r="A80" s="2">
        <f>DATE(2024,3,14)</f>
        <v>45365</v>
      </c>
      <c r="B80">
        <v>85.42</v>
      </c>
    </row>
    <row r="81" spans="1:2" x14ac:dyDescent="0.25">
      <c r="A81" s="2">
        <f>DATE(2024,3,13)</f>
        <v>45364</v>
      </c>
      <c r="B81">
        <v>84.03</v>
      </c>
    </row>
    <row r="82" spans="1:2" x14ac:dyDescent="0.25">
      <c r="A82" s="2">
        <f>DATE(2024,3,12)</f>
        <v>45363</v>
      </c>
      <c r="B82">
        <v>81.92</v>
      </c>
    </row>
    <row r="83" spans="1:2" x14ac:dyDescent="0.25">
      <c r="A83" s="2">
        <f>DATE(2024,3,11)</f>
        <v>45362</v>
      </c>
      <c r="B83">
        <v>82.21</v>
      </c>
    </row>
    <row r="84" spans="1:2" x14ac:dyDescent="0.25">
      <c r="A84" s="2">
        <f>DATE(2024,3,8)</f>
        <v>45359</v>
      </c>
      <c r="B84">
        <v>82.08</v>
      </c>
    </row>
    <row r="85" spans="1:2" x14ac:dyDescent="0.25">
      <c r="A85" s="2">
        <f>DATE(2024,3,7)</f>
        <v>45358</v>
      </c>
      <c r="B85">
        <v>82.96</v>
      </c>
    </row>
    <row r="86" spans="1:2" x14ac:dyDescent="0.25">
      <c r="A86" s="2">
        <f>DATE(2024,3,6)</f>
        <v>45357</v>
      </c>
      <c r="B86">
        <v>82.96</v>
      </c>
    </row>
    <row r="87" spans="1:2" x14ac:dyDescent="0.25">
      <c r="A87" s="2">
        <f>DATE(2024,3,5)</f>
        <v>45356</v>
      </c>
      <c r="B87">
        <v>82.04</v>
      </c>
    </row>
    <row r="88" spans="1:2" x14ac:dyDescent="0.25">
      <c r="A88" s="2">
        <f>DATE(2024,3,4)</f>
        <v>45355</v>
      </c>
      <c r="B88">
        <v>82.8</v>
      </c>
    </row>
    <row r="89" spans="1:2" x14ac:dyDescent="0.25">
      <c r="A89" s="2">
        <f>DATE(2024,3,1)</f>
        <v>45352</v>
      </c>
      <c r="B89">
        <v>83.55</v>
      </c>
    </row>
    <row r="90" spans="1:2" x14ac:dyDescent="0.25">
      <c r="A90" s="2">
        <f>DATE(2024,2,29)</f>
        <v>45351</v>
      </c>
      <c r="B90">
        <v>83.62</v>
      </c>
    </row>
    <row r="91" spans="1:2" x14ac:dyDescent="0.25">
      <c r="A91" s="2">
        <f>DATE(2024,2,28)</f>
        <v>45350</v>
      </c>
      <c r="B91">
        <v>83.68</v>
      </c>
    </row>
    <row r="92" spans="1:2" x14ac:dyDescent="0.25">
      <c r="A92" s="2">
        <f>DATE(2024,2,27)</f>
        <v>45349</v>
      </c>
      <c r="B92">
        <v>83.65</v>
      </c>
    </row>
    <row r="93" spans="1:2" x14ac:dyDescent="0.25">
      <c r="A93" s="2">
        <f>DATE(2024,2,26)</f>
        <v>45348</v>
      </c>
      <c r="B93">
        <v>82.53</v>
      </c>
    </row>
    <row r="94" spans="1:2" x14ac:dyDescent="0.25">
      <c r="A94" s="2">
        <f>DATE(2024,2,23)</f>
        <v>45345</v>
      </c>
      <c r="B94">
        <v>81.62</v>
      </c>
    </row>
    <row r="95" spans="1:2" x14ac:dyDescent="0.25">
      <c r="A95" s="2">
        <f>DATE(2024,2,22)</f>
        <v>45344</v>
      </c>
      <c r="B95">
        <v>83.67</v>
      </c>
    </row>
    <row r="96" spans="1:2" x14ac:dyDescent="0.25">
      <c r="A96" s="2">
        <f>DATE(2024,2,21)</f>
        <v>45343</v>
      </c>
      <c r="B96">
        <v>83.03</v>
      </c>
    </row>
    <row r="97" spans="1:2" x14ac:dyDescent="0.25">
      <c r="A97" s="2">
        <f>DATE(2024,2,20)</f>
        <v>45342</v>
      </c>
      <c r="B97">
        <v>82.34</v>
      </c>
    </row>
    <row r="98" spans="1:2" x14ac:dyDescent="0.25">
      <c r="A98" s="2">
        <f>DATE(2024,2,19)</f>
        <v>45341</v>
      </c>
      <c r="B98">
        <v>83.56</v>
      </c>
    </row>
    <row r="99" spans="1:2" x14ac:dyDescent="0.25">
      <c r="A99" s="2">
        <f>DATE(2024,2,16)</f>
        <v>45338</v>
      </c>
      <c r="B99">
        <v>83.47</v>
      </c>
    </row>
    <row r="100" spans="1:2" x14ac:dyDescent="0.25">
      <c r="A100" s="2">
        <f>DATE(2024,2,15)</f>
        <v>45337</v>
      </c>
      <c r="B100">
        <v>82.86</v>
      </c>
    </row>
    <row r="101" spans="1:2" x14ac:dyDescent="0.25">
      <c r="A101" s="2">
        <f>DATE(2024,2,14)</f>
        <v>45336</v>
      </c>
      <c r="B101">
        <v>81.599999999999994</v>
      </c>
    </row>
    <row r="102" spans="1:2" x14ac:dyDescent="0.25">
      <c r="A102" s="2">
        <f>DATE(2024,2,13)</f>
        <v>45335</v>
      </c>
      <c r="B102">
        <v>82.77</v>
      </c>
    </row>
    <row r="103" spans="1:2" x14ac:dyDescent="0.25">
      <c r="A103" s="2">
        <f>DATE(2024,2,12)</f>
        <v>45334</v>
      </c>
      <c r="B103">
        <v>82</v>
      </c>
    </row>
    <row r="104" spans="1:2" x14ac:dyDescent="0.25">
      <c r="A104" s="2">
        <f>DATE(2024,2,9)</f>
        <v>45331</v>
      </c>
      <c r="B104">
        <v>82.19</v>
      </c>
    </row>
    <row r="105" spans="1:2" x14ac:dyDescent="0.25">
      <c r="A105" s="2">
        <f>DATE(2024,2,8)</f>
        <v>45330</v>
      </c>
      <c r="B105">
        <v>81.63</v>
      </c>
    </row>
    <row r="106" spans="1:2" x14ac:dyDescent="0.25">
      <c r="A106" s="2">
        <f>DATE(2024,2,7)</f>
        <v>45329</v>
      </c>
      <c r="B106">
        <v>79.209999999999994</v>
      </c>
    </row>
    <row r="107" spans="1:2" x14ac:dyDescent="0.25">
      <c r="A107" s="2">
        <f>DATE(2024,2,6)</f>
        <v>45328</v>
      </c>
      <c r="B107">
        <v>78.59</v>
      </c>
    </row>
    <row r="108" spans="1:2" x14ac:dyDescent="0.25">
      <c r="A108" s="2">
        <f>DATE(2024,2,5)</f>
        <v>45327</v>
      </c>
      <c r="B108">
        <v>77.989999999999995</v>
      </c>
    </row>
    <row r="109" spans="1:2" x14ac:dyDescent="0.25">
      <c r="A109" s="2">
        <f>DATE(2024,2,2)</f>
        <v>45324</v>
      </c>
      <c r="B109">
        <v>77.33</v>
      </c>
    </row>
    <row r="110" spans="1:2" x14ac:dyDescent="0.25">
      <c r="A110" s="2">
        <f>DATE(2024,2,1)</f>
        <v>45323</v>
      </c>
      <c r="B110">
        <v>78.7</v>
      </c>
    </row>
    <row r="111" spans="1:2" x14ac:dyDescent="0.25">
      <c r="A111" s="2">
        <f>DATE(2024,1,31)</f>
        <v>45322</v>
      </c>
      <c r="B111">
        <v>81.709999999999994</v>
      </c>
    </row>
    <row r="112" spans="1:2" x14ac:dyDescent="0.25">
      <c r="A112" s="2">
        <f>DATE(2024,1,30)</f>
        <v>45321</v>
      </c>
      <c r="B112">
        <v>82.87</v>
      </c>
    </row>
    <row r="113" spans="1:2" x14ac:dyDescent="0.25">
      <c r="A113" s="2">
        <f>DATE(2024,1,29)</f>
        <v>45320</v>
      </c>
      <c r="B113">
        <v>82.4</v>
      </c>
    </row>
    <row r="114" spans="1:2" x14ac:dyDescent="0.25">
      <c r="A114" s="2">
        <f>DATE(2024,1,26)</f>
        <v>45317</v>
      </c>
      <c r="B114">
        <v>83.55</v>
      </c>
    </row>
    <row r="115" spans="1:2" x14ac:dyDescent="0.25">
      <c r="A115" s="2">
        <f>DATE(2024,1,25)</f>
        <v>45316</v>
      </c>
      <c r="B115">
        <v>82.43</v>
      </c>
    </row>
    <row r="116" spans="1:2" x14ac:dyDescent="0.25">
      <c r="A116" s="2">
        <f>DATE(2024,1,24)</f>
        <v>45315</v>
      </c>
      <c r="B116">
        <v>80.040000000000006</v>
      </c>
    </row>
    <row r="117" spans="1:2" x14ac:dyDescent="0.25">
      <c r="A117" s="2">
        <f>DATE(2024,1,23)</f>
        <v>45314</v>
      </c>
      <c r="B117">
        <v>79.55</v>
      </c>
    </row>
    <row r="118" spans="1:2" x14ac:dyDescent="0.25">
      <c r="A118" s="2">
        <f>DATE(2024,1,22)</f>
        <v>45313</v>
      </c>
      <c r="B118">
        <v>80.06</v>
      </c>
    </row>
    <row r="119" spans="1:2" x14ac:dyDescent="0.25">
      <c r="A119" s="2">
        <f>DATE(2024,1,19)</f>
        <v>45310</v>
      </c>
      <c r="B119">
        <v>78.56</v>
      </c>
    </row>
    <row r="120" spans="1:2" x14ac:dyDescent="0.25">
      <c r="A120" s="2">
        <f>DATE(2024,1,18)</f>
        <v>45309</v>
      </c>
      <c r="B120">
        <v>79.099999999999994</v>
      </c>
    </row>
    <row r="121" spans="1:2" x14ac:dyDescent="0.25">
      <c r="A121" s="2">
        <f>DATE(2024,1,17)</f>
        <v>45308</v>
      </c>
      <c r="B121">
        <v>77.88</v>
      </c>
    </row>
    <row r="122" spans="1:2" x14ac:dyDescent="0.25">
      <c r="A122" s="2">
        <f>DATE(2024,1,16)</f>
        <v>45307</v>
      </c>
      <c r="B122">
        <v>78.290000000000006</v>
      </c>
    </row>
    <row r="123" spans="1:2" x14ac:dyDescent="0.25">
      <c r="A123" s="2">
        <f>DATE(2024,1,15)</f>
        <v>45306</v>
      </c>
      <c r="B123">
        <v>78.150000000000006</v>
      </c>
    </row>
    <row r="124" spans="1:2" x14ac:dyDescent="0.25">
      <c r="A124" s="2">
        <f>DATE(2024,1,12)</f>
        <v>45303</v>
      </c>
      <c r="B124">
        <v>78.290000000000006</v>
      </c>
    </row>
    <row r="125" spans="1:2" x14ac:dyDescent="0.25">
      <c r="A125" s="2">
        <f>DATE(2024,1,11)</f>
        <v>45302</v>
      </c>
      <c r="B125">
        <v>77.41</v>
      </c>
    </row>
    <row r="126" spans="1:2" x14ac:dyDescent="0.25">
      <c r="A126" s="2">
        <f>DATE(2024,1,10)</f>
        <v>45301</v>
      </c>
      <c r="B126">
        <v>76.8</v>
      </c>
    </row>
    <row r="127" spans="1:2" x14ac:dyDescent="0.25">
      <c r="A127" s="2">
        <f>DATE(2024,1,9)</f>
        <v>45300</v>
      </c>
      <c r="B127">
        <v>77.59</v>
      </c>
    </row>
    <row r="128" spans="1:2" x14ac:dyDescent="0.25">
      <c r="A128" s="2">
        <f>DATE(2024,1,8)</f>
        <v>45299</v>
      </c>
      <c r="B128">
        <v>76.12</v>
      </c>
    </row>
    <row r="129" spans="1:2" x14ac:dyDescent="0.25">
      <c r="A129" s="2">
        <f>DATE(2024,1,5)</f>
        <v>45296</v>
      </c>
      <c r="B129">
        <v>78.760000000000005</v>
      </c>
    </row>
    <row r="130" spans="1:2" x14ac:dyDescent="0.25">
      <c r="A130" s="2">
        <f>DATE(2024,1,4)</f>
        <v>45295</v>
      </c>
      <c r="B130">
        <v>77.59</v>
      </c>
    </row>
    <row r="131" spans="1:2" x14ac:dyDescent="0.25">
      <c r="A131" s="2">
        <f>DATE(2024,1,3)</f>
        <v>45294</v>
      </c>
      <c r="B131">
        <v>78.25</v>
      </c>
    </row>
    <row r="132" spans="1:2" x14ac:dyDescent="0.25">
      <c r="A132" s="2">
        <f>DATE(2024,1,2)</f>
        <v>45293</v>
      </c>
      <c r="B132">
        <v>75.89</v>
      </c>
    </row>
    <row r="133" spans="1:2" x14ac:dyDescent="0.25">
      <c r="A133" s="2">
        <f>DATE(2024,1,1)</f>
        <v>45292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TTF</vt:lpstr>
      <vt:lpstr>JKM</vt:lpstr>
      <vt:lpstr>Brent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李天一</dc:creator>
  <cp:lastModifiedBy>李天一</cp:lastModifiedBy>
  <dcterms:created xsi:type="dcterms:W3CDTF">2024-07-02T04:10:34Z</dcterms:created>
  <dcterms:modified xsi:type="dcterms:W3CDTF">2024-07-02T06:46:36Z</dcterms:modified>
</cp:coreProperties>
</file>