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luz_ordonez_anheuser-busch_com/Documents/My Documents/"/>
    </mc:Choice>
  </mc:AlternateContent>
  <xr:revisionPtr revIDLastSave="16" documentId="8_{5147BE39-4195-43FF-A400-BD9F509BD929}" xr6:coauthVersionLast="47" xr6:coauthVersionMax="47" xr10:uidLastSave="{5FCBA262-97E9-4BC2-BBDF-FE23840235C6}"/>
  <bookViews>
    <workbookView xWindow="-120" yWindow="-120" windowWidth="29040" windowHeight="15840" activeTab="6" xr2:uid="{00000000-000D-0000-FFFF-FFFF00000000}"/>
  </bookViews>
  <sheets>
    <sheet name="Category Statistics" sheetId="3" r:id="rId1"/>
    <sheet name="Sub-categ-Statistics" sheetId="4" r:id="rId2"/>
    <sheet name="Outcomes -Launch Day" sheetId="5" r:id="rId3"/>
    <sheet name="Statistics" sheetId="6" r:id="rId4"/>
    <sheet name="Grades" sheetId="7" r:id="rId5"/>
    <sheet name="Sheet1" sheetId="8" r:id="rId6"/>
    <sheet name="Crowdfunding" sheetId="1" r:id="rId7"/>
  </sheets>
  <definedNames>
    <definedName name="_xlnm._FilterDatabase" localSheetId="6" hidden="1">Crowdfunding!$A$1:$T$1001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13" i="6"/>
  <c r="F13" i="6"/>
  <c r="E13" i="6"/>
  <c r="D13" i="6"/>
  <c r="D12" i="6"/>
  <c r="C13" i="6"/>
  <c r="C12" i="6"/>
  <c r="B13" i="6"/>
  <c r="B2" i="6"/>
  <c r="E2" i="6" s="1"/>
  <c r="B12" i="6"/>
  <c r="D4" i="6"/>
  <c r="D11" i="6"/>
  <c r="D10" i="6"/>
  <c r="D9" i="6"/>
  <c r="D8" i="6"/>
  <c r="D7" i="6"/>
  <c r="D6" i="6"/>
  <c r="D5" i="6"/>
  <c r="D3" i="6"/>
  <c r="D2" i="6"/>
  <c r="C9" i="6"/>
  <c r="G9" i="6" s="1"/>
  <c r="C8" i="6"/>
  <c r="C6" i="6"/>
  <c r="C5" i="6"/>
  <c r="C4" i="6"/>
  <c r="C3" i="6"/>
  <c r="C11" i="6"/>
  <c r="C10" i="6"/>
  <c r="C7" i="6"/>
  <c r="C2" i="6"/>
  <c r="B11" i="6"/>
  <c r="E11" i="6" s="1"/>
  <c r="B10" i="6"/>
  <c r="B9" i="6"/>
  <c r="E9" i="6" s="1"/>
  <c r="F9" i="6" s="1"/>
  <c r="B8" i="6"/>
  <c r="E8" i="6" s="1"/>
  <c r="G8" i="6" s="1"/>
  <c r="B7" i="6"/>
  <c r="B6" i="6"/>
  <c r="B5" i="6"/>
  <c r="E5" i="6" s="1"/>
  <c r="F5" i="6" s="1"/>
  <c r="B4" i="6"/>
  <c r="B3" i="6"/>
  <c r="L3" i="7"/>
  <c r="L2" i="7"/>
  <c r="K3" i="7"/>
  <c r="K2" i="7"/>
  <c r="J3" i="7"/>
  <c r="J2" i="7"/>
  <c r="I3" i="7"/>
  <c r="I2" i="7"/>
  <c r="H3" i="7"/>
  <c r="H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6" l="1"/>
  <c r="F12" i="6" s="1"/>
  <c r="G12" i="6"/>
  <c r="F6" i="6"/>
  <c r="G4" i="6"/>
  <c r="G5" i="6"/>
  <c r="G3" i="6"/>
  <c r="F3" i="6"/>
  <c r="F4" i="6"/>
  <c r="G11" i="6"/>
  <c r="E10" i="6"/>
  <c r="G10" i="6" s="1"/>
  <c r="E4" i="6"/>
  <c r="E3" i="6"/>
  <c r="F8" i="6"/>
  <c r="G2" i="6"/>
  <c r="F2" i="6"/>
  <c r="E7" i="6"/>
  <c r="F7" i="6" s="1"/>
  <c r="E6" i="6"/>
  <c r="G6" i="6" s="1"/>
  <c r="F11" i="6"/>
  <c r="F10" i="6" l="1"/>
  <c r="G7" i="6"/>
</calcChain>
</file>

<file path=xl/sharedStrings.xml><?xml version="1.0" encoding="utf-8"?>
<sst xmlns="http://schemas.openxmlformats.org/spreadsheetml/2006/main" count="7062" uniqueCount="2112">
  <si>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</si>
  <si>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</si>
  <si>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</si>
  <si>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</si>
  <si>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</si>
  <si>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</si>
  <si>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</si>
  <si>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</si>
  <si>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</si>
  <si>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</si>
  <si>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</si>
  <si>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</si>
  <si>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</si>
  <si>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</si>
  <si>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</si>
  <si>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</si>
  <si>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</si>
  <si>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</si>
  <si>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</si>
  <si>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</si>
  <si>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</si>
  <si>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</si>
  <si>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</si>
  <si>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</si>
  <si>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</si>
  <si>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</si>
  <si>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</si>
  <si>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</si>
  <si>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</si>
  <si>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</si>
  <si>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</si>
  <si>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</si>
  <si>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</si>
  <si>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</si>
  <si>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</si>
  <si>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</si>
  <si>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</si>
  <si>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</si>
  <si>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</si>
  <si>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</si>
  <si>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</si>
  <si>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</si>
  <si>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</si>
  <si>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</si>
  <si>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</si>
  <si>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</si>
  <si>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</si>
  <si>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</si>
  <si>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</si>
  <si>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</si>
  <si>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</si>
  <si>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</si>
  <si>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</si>
  <si>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</si>
  <si>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</si>
  <si>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</si>
  <si>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</si>
  <si>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</si>
  <si>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</si>
  <si>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</si>
  <si>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</si>
  <si>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</si>
  <si>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</si>
  <si>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</si>
  <si>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</si>
  <si>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</si>
  <si>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</si>
  <si>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</si>
  <si>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</si>
  <si>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</si>
  <si>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</si>
  <si>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</si>
  <si>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</si>
  <si>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</si>
  <si>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</si>
  <si>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</si>
  <si>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</si>
  <si>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</si>
  <si>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</si>
  <si>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</si>
  <si>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</si>
  <si>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</si>
  <si>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</si>
  <si>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</si>
  <si>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</si>
  <si>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</si>
  <si>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</si>
  <si>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</si>
  <si>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</si>
  <si>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</si>
  <si>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</si>
  <si>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</si>
  <si>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</si>
  <si>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</si>
  <si>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</si>
  <si>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</si>
  <si>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</si>
  <si>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</si>
  <si>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</si>
  <si>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</si>
  <si>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</si>
  <si>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</si>
  <si>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</si>
  <si>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</si>
  <si>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</si>
  <si>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</si>
  <si>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</si>
  <si>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</si>
  <si>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</si>
  <si>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</si>
  <si>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</si>
  <si>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</si>
  <si>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</si>
  <si>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</si>
  <si>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</si>
  <si>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</si>
  <si>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</si>
  <si>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</si>
  <si>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</si>
  <si>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</si>
  <si>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</si>
  <si>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</si>
  <si>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</si>
  <si>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</si>
  <si>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</si>
  <si>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</si>
  <si>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</si>
  <si>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</si>
  <si>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</si>
  <si>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</si>
  <si>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</si>
  <si>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</si>
  <si>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</si>
  <si>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</si>
  <si>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</si>
  <si>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</si>
  <si>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</si>
  <si>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</si>
  <si>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</si>
  <si>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</si>
  <si>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</si>
  <si>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</si>
  <si>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</si>
  <si>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</si>
  <si>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</si>
  <si>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</si>
  <si>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</si>
  <si>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</si>
  <si>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</si>
  <si>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</si>
  <si>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</si>
  <si>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</si>
  <si>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</si>
  <si>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</si>
  <si>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</si>
  <si>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</si>
  <si>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</si>
  <si>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</si>
  <si>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</si>
  <si>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</si>
  <si>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</si>
  <si>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</si>
  <si>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</si>
  <si>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</si>
  <si>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</si>
  <si>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</si>
  <si>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</si>
  <si>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</si>
  <si>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</si>
  <si>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</si>
  <si>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</si>
  <si>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</si>
  <si>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</si>
  <si>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</si>
  <si>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</si>
  <si>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</si>
  <si>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</si>
  <si>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</si>
  <si>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</si>
  <si>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</si>
  <si>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</si>
  <si>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</si>
  <si>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</si>
  <si>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</si>
  <si>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</si>
  <si>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</si>
  <si>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</si>
  <si>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</si>
  <si>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</si>
  <si>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</si>
  <si>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</si>
  <si>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</si>
  <si>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</si>
  <si>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</si>
  <si>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</si>
  <si>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</si>
  <si>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</si>
  <si>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</si>
  <si>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</si>
  <si>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</si>
  <si>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</si>
  <si>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</si>
  <si>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</si>
  <si>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</si>
  <si>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</si>
  <si>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</si>
  <si>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</si>
  <si>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</si>
  <si>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</si>
  <si>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</si>
  <si>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</si>
  <si>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</si>
  <si>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</si>
  <si>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</si>
  <si>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</si>
  <si>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</si>
  <si>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</si>
  <si>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</si>
  <si>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</si>
  <si>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</si>
  <si>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</si>
  <si>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</si>
  <si>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</si>
  <si>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</si>
  <si>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</si>
  <si>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</si>
  <si>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</si>
  <si>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</si>
  <si>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</si>
  <si>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</si>
  <si>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</si>
  <si>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</si>
  <si>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</si>
  <si>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</si>
  <si>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</si>
  <si>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</si>
  <si>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</si>
  <si>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</si>
  <si>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</si>
  <si>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</si>
  <si>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</si>
  <si>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</si>
  <si>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</si>
  <si>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</si>
  <si>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</si>
  <si>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</si>
  <si>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</si>
  <si>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</si>
  <si>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</si>
  <si>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</si>
  <si>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</si>
  <si>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</si>
  <si>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</si>
  <si>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</si>
  <si>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</si>
  <si>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</si>
  <si>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</si>
  <si>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</si>
  <si>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</si>
  <si>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</si>
  <si>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</si>
  <si>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</si>
  <si>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</si>
  <si>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</si>
  <si>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</si>
  <si>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</si>
  <si>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</si>
  <si>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</si>
  <si>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</si>
  <si>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</si>
  <si>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</si>
  <si>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</si>
  <si>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</si>
  <si>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</si>
  <si>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</si>
  <si>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</si>
  <si>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</si>
  <si>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</si>
  <si>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</si>
  <si>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</si>
  <si>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</si>
  <si>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</si>
  <si>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</si>
  <si>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</si>
  <si>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</si>
  <si>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</si>
  <si>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</si>
  <si>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</si>
  <si>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</si>
  <si>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</si>
  <si>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</si>
  <si>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</si>
  <si>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</si>
  <si>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</si>
  <si>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</si>
  <si>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</si>
  <si>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</si>
  <si>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</si>
  <si>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</si>
  <si>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</si>
  <si>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</si>
  <si>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</si>
  <si>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</si>
  <si>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</si>
  <si>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</si>
  <si>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</si>
  <si>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</si>
  <si>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</si>
  <si>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</si>
  <si>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</si>
  <si>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</si>
  <si>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</si>
  <si>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</si>
  <si>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</si>
  <si>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</si>
  <si>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</si>
  <si>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</si>
  <si>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</si>
  <si>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</si>
  <si>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</si>
  <si>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</si>
  <si>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</si>
  <si>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</si>
  <si>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</si>
  <si>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</si>
  <si>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</si>
  <si>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</si>
  <si>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</si>
  <si>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</si>
  <si>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</si>
  <si>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</si>
  <si>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</si>
  <si>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</si>
  <si>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</si>
  <si>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</si>
  <si>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</si>
  <si>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</si>
  <si>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</si>
  <si>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</si>
  <si>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</si>
  <si>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</si>
  <si>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</si>
  <si>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</si>
  <si>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</si>
  <si>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</si>
  <si>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</si>
  <si>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</si>
  <si>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</si>
  <si>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</si>
  <si>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</si>
  <si>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</si>
  <si>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</si>
  <si>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</si>
  <si>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</si>
  <si>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</si>
  <si>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</si>
  <si>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</si>
  <si>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</si>
  <si>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</si>
  <si>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</si>
  <si>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</si>
  <si>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</si>
  <si>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</si>
  <si>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</si>
  <si>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</si>
  <si>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</si>
  <si>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</si>
  <si>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</si>
  <si>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</si>
  <si>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</si>
  <si>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</si>
  <si>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</si>
  <si>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</si>
  <si>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</si>
  <si>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</si>
  <si>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</si>
  <si>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</si>
  <si>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</si>
  <si>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</si>
  <si>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</si>
  <si>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</si>
  <si>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</si>
  <si>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</si>
  <si>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</si>
  <si>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</si>
  <si>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</si>
  <si>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</si>
  <si>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</si>
  <si>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</si>
  <si>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</si>
  <si>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</si>
  <si>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</si>
  <si>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</si>
  <si>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</si>
  <si>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</si>
  <si>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</si>
  <si>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</si>
  <si>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</si>
  <si>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</si>
  <si>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</si>
  <si>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</si>
  <si>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</si>
  <si>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</si>
  <si>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</si>
  <si>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</si>
  <si>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</si>
  <si>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</si>
  <si>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</si>
  <si>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</si>
  <si>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</si>
  <si>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</si>
  <si>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</si>
  <si>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</si>
  <si>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</si>
  <si>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</si>
  <si>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</si>
  <si>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</si>
  <si>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</si>
  <si>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</si>
  <si>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</si>
  <si>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</si>
  <si>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</si>
  <si>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</si>
  <si>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</si>
  <si>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</si>
  <si>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</si>
  <si>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</si>
  <si>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</si>
  <si>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</si>
  <si>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</si>
  <si>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</si>
  <si>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</si>
  <si>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</si>
  <si>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</si>
  <si>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</si>
  <si>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</si>
  <si>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</si>
  <si>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</si>
  <si>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</si>
  <si>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</si>
  <si>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</si>
  <si>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</si>
  <si>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</si>
  <si>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</si>
  <si>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</si>
  <si>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</si>
  <si>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</si>
  <si>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</si>
  <si>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</si>
  <si>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</si>
  <si>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</si>
  <si>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</si>
  <si>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</si>
  <si>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</si>
  <si>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</si>
  <si>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</si>
  <si>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</si>
  <si>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</si>
  <si>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</si>
  <si>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</si>
  <si>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</si>
  <si>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</si>
  <si>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</si>
  <si>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</si>
  <si>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</si>
  <si>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</si>
  <si>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</si>
  <si>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</si>
  <si>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</si>
  <si>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</si>
  <si>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</si>
  <si>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</si>
  <si>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</si>
  <si>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</si>
  <si>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</si>
  <si>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</si>
  <si>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</si>
  <si>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</si>
  <si>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</si>
  <si>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</si>
  <si>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</si>
  <si>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</si>
  <si>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</si>
  <si>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</si>
  <si>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</si>
  <si>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</si>
  <si>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</si>
  <si>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</si>
  <si>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</si>
  <si>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</si>
  <si>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</si>
  <si>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</si>
  <si>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</si>
  <si>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</si>
  <si>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</si>
  <si>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</si>
  <si>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</si>
  <si>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</si>
  <si>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</si>
  <si>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</si>
  <si>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</si>
  <si>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</si>
  <si>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</si>
  <si>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</si>
  <si>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</si>
  <si>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</si>
  <si>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</si>
  <si>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</si>
  <si>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</si>
  <si>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</si>
  <si>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</si>
  <si>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</si>
  <si>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</si>
  <si>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</si>
  <si>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</si>
  <si>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</si>
  <si>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</si>
  <si>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</si>
  <si>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</si>
  <si>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</si>
  <si>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</si>
  <si>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</si>
  <si>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</si>
  <si>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</si>
  <si>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</si>
  <si>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</si>
  <si>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</si>
  <si>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</si>
  <si>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</si>
  <si>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</si>
  <si>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</si>
  <si>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</si>
  <si>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</si>
  <si>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</si>
  <si>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</si>
  <si>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</si>
  <si>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</si>
  <si>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</si>
  <si>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</si>
  <si>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</si>
  <si>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</si>
  <si>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</si>
  <si>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</si>
  <si>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</si>
  <si>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</si>
  <si>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</si>
  <si>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</si>
  <si>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</si>
  <si>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</si>
  <si>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</si>
  <si>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</si>
  <si>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</si>
  <si>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</si>
  <si>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</si>
  <si>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</si>
  <si>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</si>
  <si>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</si>
  <si>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</si>
  <si>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</si>
  <si>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</si>
  <si>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</si>
  <si>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</si>
  <si>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</si>
  <si>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</si>
  <si>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</si>
  <si>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</si>
  <si>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</si>
  <si>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</si>
  <si>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</si>
  <si>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</si>
  <si>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</si>
  <si>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</si>
  <si>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</si>
  <si>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</si>
  <si>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</si>
  <si>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</si>
  <si>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</si>
  <si>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</si>
  <si>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</si>
  <si>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</si>
  <si>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</si>
  <si>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</si>
  <si>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</si>
  <si>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</si>
  <si>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</si>
  <si>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</si>
  <si>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</si>
  <si>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</si>
  <si>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</si>
  <si>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</si>
  <si>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</si>
  <si>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</si>
  <si>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</si>
  <si>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</si>
  <si>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</si>
  <si>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</si>
  <si>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</si>
  <si>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</si>
  <si>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</si>
  <si>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</si>
  <si>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</si>
  <si>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</si>
  <si>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</si>
  <si>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</si>
  <si>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</si>
  <si>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</si>
  <si>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</si>
  <si>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</si>
  <si>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</si>
  <si>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</si>
  <si>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</si>
  <si>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</si>
  <si>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</si>
  <si>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</si>
  <si>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</si>
  <si>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</si>
  <si>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</si>
  <si>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</si>
  <si>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</si>
  <si>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</si>
  <si>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</si>
  <si>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</si>
  <si>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</si>
  <si>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</si>
  <si>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</si>
  <si>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</si>
  <si>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</si>
  <si>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</si>
  <si>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</si>
  <si>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</si>
  <si>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</si>
  <si>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</si>
  <si>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</si>
  <si>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</si>
  <si>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</si>
  <si>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</si>
  <si>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</si>
  <si>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</si>
  <si>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</si>
  <si>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</si>
  <si>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</si>
  <si>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</si>
  <si>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</si>
  <si>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</si>
  <si>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</si>
  <si>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</si>
  <si>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</si>
  <si>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</si>
  <si>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</si>
  <si>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</si>
  <si>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</si>
  <si>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</si>
  <si>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</si>
  <si>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</si>
  <si>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</si>
  <si>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</si>
  <si>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</si>
  <si>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</si>
  <si>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</si>
  <si>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</si>
  <si>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</si>
  <si>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</si>
  <si>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</si>
  <si>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</si>
  <si>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</si>
  <si>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</si>
  <si>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</si>
  <si>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</si>
  <si>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</si>
  <si>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</si>
  <si>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</si>
  <si>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</si>
  <si>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</si>
  <si>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</si>
  <si>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</si>
  <si>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</si>
  <si>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</si>
  <si>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</si>
  <si>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</si>
  <si>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</si>
  <si>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</si>
  <si>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</si>
  <si>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</si>
  <si>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</si>
  <si>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</si>
  <si>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</si>
  <si>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</si>
  <si>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</si>
  <si>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</si>
  <si>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</si>
  <si>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</si>
  <si>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</si>
  <si>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</si>
  <si>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</si>
  <si>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</si>
  <si>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</si>
  <si>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</si>
  <si>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</si>
  <si>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</si>
  <si>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</si>
  <si>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</si>
  <si>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</si>
  <si>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</si>
  <si>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</si>
  <si>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</si>
  <si>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</si>
  <si>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</si>
  <si>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</si>
  <si>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</si>
  <si>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</si>
  <si>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</si>
  <si>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</si>
  <si>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</si>
  <si>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</si>
  <si>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</si>
  <si>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</si>
  <si>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</si>
  <si>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</si>
  <si>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</si>
  <si>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</si>
  <si>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</si>
  <si>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</si>
  <si>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</si>
  <si>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</si>
  <si>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</si>
  <si>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</si>
  <si>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</si>
  <si>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</si>
  <si>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</si>
  <si>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</si>
  <si>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</si>
  <si>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</si>
  <si>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</si>
  <si>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</si>
  <si>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</si>
  <si>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</si>
  <si>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</si>
  <si>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</si>
  <si>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</si>
  <si>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</si>
  <si>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</si>
  <si>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</si>
  <si>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</si>
  <si>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</si>
  <si>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</si>
  <si>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</si>
  <si>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</si>
  <si>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</si>
  <si>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</si>
  <si>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</si>
  <si>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</si>
  <si>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</si>
  <si>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</si>
  <si>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</si>
  <si>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</si>
  <si>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</si>
  <si>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</si>
  <si>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</si>
  <si>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</si>
  <si>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</si>
  <si>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</si>
  <si>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</si>
  <si>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</si>
  <si>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</si>
  <si>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</si>
  <si>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</si>
  <si>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</si>
  <si>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</si>
  <si>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</si>
  <si>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</si>
  <si>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</si>
  <si>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</si>
  <si>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</si>
  <si>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</si>
  <si>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</si>
  <si>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</si>
  <si>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</si>
  <si>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</si>
  <si>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</si>
  <si>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</si>
  <si>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</si>
  <si>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</si>
  <si>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</si>
  <si>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</si>
  <si>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</si>
  <si>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</si>
  <si>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</si>
  <si>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</si>
  <si>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</si>
  <si>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</si>
  <si>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</si>
  <si>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</si>
  <si>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</si>
  <si>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</si>
  <si>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</si>
  <si>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</si>
  <si>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</si>
  <si>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</si>
  <si>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</si>
  <si>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</si>
  <si>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</si>
  <si>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</si>
  <si>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</si>
  <si>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</si>
  <si>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</si>
  <si>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</si>
  <si>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</si>
  <si>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</si>
  <si>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</si>
  <si>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</si>
  <si>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</si>
  <si>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</si>
  <si>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</si>
  <si>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</si>
  <si>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</si>
  <si>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</si>
  <si>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</si>
  <si>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</si>
  <si>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</si>
  <si>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</si>
  <si>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</si>
  <si>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</si>
  <si>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</si>
  <si>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</si>
  <si>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</si>
  <si>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</si>
  <si>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</si>
  <si>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</si>
  <si>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</si>
  <si>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</si>
  <si>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</si>
  <si>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</si>
  <si>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</si>
  <si>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</si>
  <si>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</si>
  <si>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</si>
  <si>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</si>
  <si>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</si>
  <si>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</si>
  <si>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</si>
  <si>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</si>
  <si>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</si>
  <si>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</si>
  <si>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</si>
  <si>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</si>
  <si>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</si>
  <si>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</si>
  <si>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</si>
  <si>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</si>
  <si>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</si>
  <si>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</si>
  <si>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</si>
  <si>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</si>
  <si>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</si>
  <si>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</si>
  <si>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</si>
  <si>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</si>
  <si>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</si>
  <si>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</si>
  <si>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</si>
  <si>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</si>
  <si>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</si>
  <si>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</si>
  <si>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</si>
  <si>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</si>
  <si>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</si>
  <si>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</si>
  <si>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</si>
  <si>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</si>
  <si>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</si>
  <si>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</si>
  <si>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</si>
  <si>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</si>
  <si>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</si>
  <si>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</si>
  <si>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</si>
  <si>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</si>
  <si>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</si>
  <si>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</si>
  <si>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</si>
  <si>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</si>
  <si>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</si>
  <si>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</si>
  <si>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</si>
  <si>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</si>
  <si>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</si>
  <si>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</si>
  <si>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</si>
  <si>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</si>
  <si>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</si>
  <si>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</si>
  <si>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</si>
  <si>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</si>
  <si>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</si>
  <si>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</si>
  <si>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</si>
  <si>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</si>
  <si>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</si>
  <si>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</si>
  <si>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</si>
  <si>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</si>
  <si>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</si>
  <si>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</si>
  <si>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</si>
  <si>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</si>
  <si>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</si>
  <si>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</si>
  <si>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</si>
  <si>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</si>
  <si>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</si>
  <si>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</si>
  <si>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</si>
  <si>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</si>
  <si>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</si>
  <si>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</si>
  <si>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</si>
  <si>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</si>
  <si>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</si>
  <si>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</si>
  <si>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</si>
  <si>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</si>
  <si>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</si>
  <si>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</si>
  <si>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</si>
  <si>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</si>
  <si>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</si>
  <si>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</si>
  <si>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</si>
  <si>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</si>
  <si>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</si>
  <si>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</si>
  <si>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</si>
  <si>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</si>
  <si>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</si>
  <si>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</si>
  <si>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</si>
  <si>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</si>
  <si>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</si>
  <si>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</si>
  <si>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</si>
  <si>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</si>
  <si>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</si>
  <si>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</si>
  <si>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</si>
  <si>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</si>
  <si>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</si>
  <si>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</si>
  <si>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</si>
  <si>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</si>
  <si>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</si>
  <si>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</si>
  <si>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</si>
  <si>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</si>
  <si>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</si>
  <si>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</si>
  <si>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</si>
  <si>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</si>
  <si>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</si>
  <si>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</si>
  <si>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</si>
  <si>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</si>
  <si>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</si>
  <si>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</si>
  <si>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</si>
  <si>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</si>
  <si>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</si>
  <si>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</si>
  <si>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</si>
  <si>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</si>
  <si>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</si>
  <si>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</si>
  <si>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</si>
  <si>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</si>
  <si>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</si>
  <si>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</si>
  <si>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</si>
  <si>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</si>
  <si>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</si>
  <si>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</si>
  <si>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</si>
  <si>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</si>
  <si>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</si>
  <si>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</si>
  <si>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</si>
  <si>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</si>
  <si>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</si>
  <si>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</si>
  <si>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</si>
  <si>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</si>
  <si>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</si>
  <si>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</si>
  <si>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</si>
  <si>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</si>
  <si>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</si>
  <si>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</si>
  <si>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</si>
  <si>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</si>
  <si>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</si>
  <si>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</si>
  <si>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</si>
  <si>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</si>
  <si>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</si>
  <si>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</si>
  <si>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</si>
  <si>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</si>
  <si>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</si>
  <si>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</si>
  <si>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</si>
  <si>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</si>
  <si>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</si>
  <si>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</si>
  <si>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</si>
  <si>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</si>
  <si>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</si>
  <si>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</si>
  <si>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</si>
  <si>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</si>
  <si>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</si>
  <si>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</si>
  <si>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</si>
  <si>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</si>
  <si>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</si>
  <si>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</si>
  <si>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</si>
  <si>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</si>
  <si>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</si>
  <si>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</si>
  <si>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</si>
  <si>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</si>
  <si>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</si>
  <si>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</si>
  <si>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</si>
  <si>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</si>
  <si>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</si>
  <si>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</si>
  <si>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</si>
  <si>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</si>
  <si>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</si>
  <si>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</si>
  <si>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</si>
  <si>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</si>
  <si>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</si>
  <si>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</si>
  <si>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</si>
  <si>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</si>
  <si>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</si>
  <si>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</si>
  <si>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</si>
  <si>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</si>
  <si>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</si>
  <si>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</si>
  <si>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</si>
  <si>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</si>
  <si>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</si>
  <si>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</si>
  <si>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</si>
  <si>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</si>
  <si>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</si>
  <si>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</si>
  <si>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</si>
  <si>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</si>
  <si>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</si>
  <si>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</si>
  <si>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</si>
  <si>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</si>
  <si>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</si>
  <si>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</si>
  <si>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</si>
  <si>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</si>
  <si>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</si>
  <si>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</si>
  <si>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</si>
  <si>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</si>
  <si>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</si>
  <si>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</si>
  <si>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</si>
  <si>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</si>
  <si>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</si>
  <si>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</si>
  <si>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</si>
  <si>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</si>
  <si>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</si>
  <si>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</si>
  <si>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</si>
  <si>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</si>
  <si>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</si>
  <si>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</si>
  <si>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</si>
  <si>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</si>
  <si>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</si>
  <si>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</si>
  <si>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</si>
  <si>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</si>
  <si>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</si>
  <si>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</si>
  <si>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</si>
  <si>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</si>
  <si>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</si>
  <si>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</si>
  <si>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</si>
  <si>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</si>
  <si>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</si>
  <si>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</si>
  <si>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</si>
  <si>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</si>
  <si>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</si>
  <si>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</si>
  <si>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</si>
  <si>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</si>
  <si>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</si>
  <si>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</si>
  <si>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</si>
  <si>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</si>
  <si>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</si>
  <si>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</si>
  <si>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</si>
  <si>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</si>
  <si>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</si>
  <si>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</si>
  <si>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</si>
  <si>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</si>
  <si>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</si>
  <si>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</si>
  <si>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</si>
  <si>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</si>
  <si>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</si>
  <si>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</si>
  <si>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</si>
  <si>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</si>
  <si>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</si>
  <si>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</si>
  <si>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</si>
  <si>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</si>
  <si>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</si>
  <si>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</si>
  <si>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</si>
  <si>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</si>
  <si>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</si>
  <si>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</si>
  <si>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</si>
  <si>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</si>
  <si>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</si>
  <si>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</si>
  <si>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</si>
  <si>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</si>
  <si>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</si>
  <si>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</si>
  <si>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</si>
  <si>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</si>
  <si>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</si>
  <si>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</si>
  <si>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</si>
  <si>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</si>
  <si>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</si>
  <si>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</si>
  <si>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</si>
  <si>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</si>
  <si>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</si>
  <si>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</si>
  <si>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</si>
  <si>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</si>
  <si>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</si>
  <si>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</si>
  <si>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</si>
  <si>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</si>
  <si>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</si>
  <si>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</si>
  <si>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</si>
  <si>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</si>
  <si>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</si>
  <si>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</si>
  <si>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</si>
  <si>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</si>
  <si>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</si>
  <si>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</si>
  <si>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</si>
  <si>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</si>
  <si>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</si>
  <si>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</si>
  <si>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</si>
  <si>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</si>
  <si>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</si>
  <si>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</si>
  <si>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</si>
  <si>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</si>
  <si>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</si>
  <si>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</si>
  <si>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</si>
  <si>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</si>
  <si>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</si>
  <si>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</si>
  <si>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</si>
  <si>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</si>
  <si>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</si>
  <si>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</si>
  <si>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</si>
  <si>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</si>
  <si>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</si>
  <si>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</si>
  <si>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</si>
  <si>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</si>
  <si>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</si>
  <si>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</si>
  <si>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</si>
  <si>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</si>
  <si>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</si>
  <si>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</si>
  <si>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</si>
  <si>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</si>
  <si>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</si>
  <si>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</si>
  <si>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</si>
  <si>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</si>
  <si>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</si>
  <si>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</si>
  <si>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</si>
  <si>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</si>
  <si>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</si>
  <si>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</si>
  <si>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</si>
  <si>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</si>
  <si>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</si>
  <si>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</si>
  <si>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</si>
  <si>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</si>
  <si>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</si>
  <si>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</si>
  <si>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</si>
  <si>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</si>
  <si>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</si>
  <si>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</si>
  <si>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</si>
  <si>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</si>
  <si>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</si>
  <si>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</si>
  <si>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</si>
  <si>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</si>
  <si>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</si>
  <si>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</si>
  <si>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</si>
  <si>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</si>
  <si>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</si>
  <si>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</si>
  <si>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</si>
  <si>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</si>
  <si>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</si>
  <si>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</si>
  <si>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</si>
  <si>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</si>
  <si>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</si>
  <si>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</si>
  <si>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</si>
  <si>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</si>
  <si>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</si>
  <si>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</si>
  <si>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</si>
  <si>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</si>
  <si>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</si>
  <si>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</si>
  <si>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</si>
  <si>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</si>
  <si>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</si>
  <si>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</si>
  <si>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</si>
  <si>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</si>
  <si>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</si>
  <si>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</si>
  <si>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</si>
  <si>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</si>
  <si>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</si>
  <si>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</si>
  <si>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</si>
  <si>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</si>
  <si>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</si>
  <si>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</si>
  <si>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</si>
  <si>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</si>
  <si>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</si>
  <si>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</si>
  <si>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</si>
  <si>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</si>
  <si>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</si>
  <si>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</si>
  <si>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</si>
  <si>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</si>
  <si>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</si>
  <si>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</si>
  <si>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</si>
  <si>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</si>
  <si>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</si>
  <si>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</si>
  <si>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</si>
  <si>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</si>
  <si>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</si>
  <si>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</si>
  <si>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</si>
  <si>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</si>
  <si>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</si>
  <si>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</si>
  <si>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</si>
  <si>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</si>
  <si>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</si>
  <si>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</si>
  <si>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</si>
  <si>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</si>
  <si>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</si>
  <si>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</si>
  <si>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</si>
  <si>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</si>
  <si>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</si>
  <si>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</si>
  <si>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</si>
  <si>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</si>
  <si>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</si>
  <si>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</si>
  <si>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</si>
  <si>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</si>
  <si>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</si>
  <si>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</si>
  <si>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</si>
  <si>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</si>
  <si>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</si>
  <si>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</si>
  <si>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</si>
  <si>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</si>
  <si>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</si>
  <si>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</si>
  <si>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</si>
  <si>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</si>
  <si>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</si>
  <si>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</si>
  <si>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</si>
  <si>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</si>
  <si>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</si>
  <si>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</si>
  <si>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</si>
  <si>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</si>
  <si>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</si>
  <si>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</si>
  <si>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</si>
  <si>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</si>
  <si>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</si>
  <si>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</si>
  <si>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</si>
  <si>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</si>
  <si>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</si>
  <si>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</si>
  <si>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</si>
  <si>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</si>
  <si>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</si>
  <si>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</si>
  <si>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</si>
  <si>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</si>
  <si>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</si>
  <si>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</si>
  <si>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</si>
  <si>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</si>
  <si>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</si>
  <si>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</si>
  <si>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</si>
  <si>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</si>
  <si>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</si>
  <si>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</si>
  <si>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</si>
  <si>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</si>
  <si>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</si>
  <si>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</si>
  <si>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</si>
  <si>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</si>
  <si>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</si>
  <si>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</si>
  <si>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</si>
  <si>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</si>
  <si>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</si>
  <si>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</si>
  <si>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</si>
  <si>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</si>
  <si>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</si>
  <si>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</si>
  <si>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</si>
  <si>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</si>
  <si>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</si>
  <si>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</si>
  <si>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</si>
  <si>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</si>
  <si>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</si>
  <si>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</si>
  <si>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</si>
  <si>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</si>
  <si>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</si>
  <si>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</si>
  <si>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</si>
  <si>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</si>
  <si>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</si>
  <si>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</si>
  <si>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</si>
  <si>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</si>
  <si>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</si>
  <si>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</si>
  <si>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</si>
  <si>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</si>
  <si>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</si>
  <si>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</si>
  <si>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</si>
  <si>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</si>
  <si>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</si>
  <si>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</si>
  <si>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</si>
  <si>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</si>
  <si>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</si>
  <si>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</si>
  <si>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</si>
  <si>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</si>
  <si>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</si>
  <si>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</si>
  <si>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</si>
  <si>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</si>
  <si>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</si>
  <si>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</si>
  <si>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</si>
  <si>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</si>
  <si>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</si>
  <si>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</si>
  <si>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</si>
  <si>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</si>
  <si>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</si>
  <si>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</si>
  <si>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</si>
  <si>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</si>
  <si>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</si>
  <si>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</si>
  <si>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</si>
  <si>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</si>
  <si>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</si>
  <si>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</si>
  <si>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</si>
  <si>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</si>
  <si>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</si>
  <si>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</si>
  <si>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</si>
  <si>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</si>
  <si>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</si>
  <si>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</si>
  <si>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</si>
  <si>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</si>
  <si>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</si>
  <si>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</si>
  <si>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</si>
  <si>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</si>
  <si>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</si>
  <si>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</si>
  <si>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</si>
  <si>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</si>
  <si>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</si>
  <si>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</si>
  <si>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</si>
  <si>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</si>
  <si>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</si>
  <si>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</si>
  <si>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</si>
  <si>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</si>
  <si>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</si>
  <si>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</si>
  <si>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</si>
  <si>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</si>
  <si>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</si>
  <si>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</si>
  <si>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</si>
  <si>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</si>
  <si>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</si>
  <si>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</si>
  <si>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</si>
  <si>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</si>
  <si>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</si>
  <si>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</si>
  <si>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</si>
  <si>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</si>
  <si>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</si>
  <si>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</si>
  <si>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</si>
  <si>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</si>
  <si>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</si>
  <si>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</si>
  <si>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</si>
  <si>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</si>
  <si>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</si>
  <si>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</si>
  <si>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</si>
  <si>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</si>
  <si>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</si>
  <si>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</si>
  <si>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</si>
  <si>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</si>
  <si>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</si>
  <si>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</si>
  <si>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</si>
  <si>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</si>
  <si>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</si>
  <si>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</si>
  <si>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</si>
  <si>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</si>
  <si>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</si>
  <si>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</si>
  <si>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</si>
  <si>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</si>
  <si>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</si>
  <si>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</si>
  <si>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</si>
  <si>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</si>
  <si>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</si>
  <si>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</si>
  <si>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</si>
  <si>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</si>
  <si>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</si>
  <si>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</si>
  <si>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</si>
  <si>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</si>
  <si>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</si>
  <si>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</si>
  <si>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</si>
  <si>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</si>
  <si>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</si>
  <si>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</si>
  <si>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</si>
  <si>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</si>
  <si>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</si>
  <si>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</si>
  <si>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</si>
  <si>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</si>
  <si>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</si>
  <si>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</si>
  <si>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</si>
  <si>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</si>
  <si>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</si>
  <si>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</si>
  <si>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</si>
  <si>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</si>
  <si>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</si>
  <si>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</si>
  <si>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</si>
  <si>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</si>
  <si>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</si>
  <si>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</si>
  <si>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</si>
  <si>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</si>
  <si>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</si>
  <si>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</si>
  <si>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</si>
  <si>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</si>
  <si>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</si>
  <si>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</si>
  <si>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</si>
  <si>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</si>
  <si>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</si>
  <si>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</si>
  <si>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</si>
  <si>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</si>
  <si>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</si>
  <si>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</si>
  <si>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</si>
  <si>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</si>
  <si>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</si>
  <si>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</si>
  <si>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</si>
  <si>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</si>
  <si>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</si>
  <si>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</si>
  <si>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</si>
  <si>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</si>
  <si>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</si>
  <si>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</si>
  <si>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</si>
  <si>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</si>
  <si>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</si>
  <si>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</si>
  <si>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</si>
  <si>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</si>
  <si>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</si>
  <si>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</si>
  <si>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</si>
  <si>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</si>
  <si>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</si>
  <si>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</si>
  <si>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</si>
  <si>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</si>
  <si>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</si>
  <si>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</si>
  <si>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</si>
  <si>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</si>
  <si>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</si>
  <si>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</si>
  <si>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</si>
  <si>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</si>
  <si>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</si>
  <si>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</si>
  <si>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</si>
  <si>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</si>
  <si>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</si>
  <si>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</si>
  <si>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</si>
  <si>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</si>
  <si>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</si>
  <si>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</si>
  <si>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</si>
  <si>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</si>
  <si>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</si>
  <si>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</si>
  <si>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</si>
  <si>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</si>
  <si>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</si>
  <si>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</si>
  <si>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</si>
  <si>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</si>
  <si>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</si>
  <si>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</si>
  <si>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</si>
  <si>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</si>
  <si>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</si>
  <si>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</si>
  <si>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</si>
  <si>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</si>
  <si>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</si>
  <si>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</si>
  <si>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</si>
  <si>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</si>
  <si>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</si>
  <si>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</si>
  <si>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</si>
  <si>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</si>
  <si>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</si>
  <si>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</si>
  <si>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</si>
  <si>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</si>
  <si>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</si>
  <si>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</si>
  <si>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</si>
  <si>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</si>
  <si>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</si>
  <si>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</si>
  <si>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</si>
  <si>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</si>
  <si>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</si>
  <si>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</si>
  <si>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</si>
  <si>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</si>
  <si>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</si>
  <si>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</si>
  <si>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</si>
  <si>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</si>
  <si>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</si>
  <si>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</si>
  <si>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</si>
  <si>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</si>
  <si>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</si>
  <si>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</si>
  <si>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</si>
  <si>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</si>
  <si>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</si>
  <si>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</si>
  <si>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</si>
  <si>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</si>
  <si>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</si>
  <si>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</si>
  <si>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</si>
  <si>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</si>
  <si>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</si>
  <si>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</si>
  <si>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</si>
  <si>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</si>
  <si>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</si>
  <si>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</si>
  <si>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</si>
  <si>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</si>
  <si>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</si>
  <si>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</si>
  <si>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</si>
  <si>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</si>
  <si>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</si>
  <si>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</si>
  <si>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</si>
  <si>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</si>
  <si>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</si>
  <si>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</si>
  <si>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</si>
  <si>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</si>
  <si>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</si>
  <si>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</si>
  <si>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</si>
  <si>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</si>
  <si>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</si>
  <si>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</si>
  <si>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</si>
  <si>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</si>
  <si>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</si>
  <si>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</si>
  <si>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</si>
  <si>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</si>
  <si>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</si>
  <si>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</si>
  <si>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</si>
  <si>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</si>
  <si>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</si>
  <si>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</si>
  <si>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</si>
  <si>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</si>
  <si>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</si>
  <si>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</si>
  <si>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</si>
  <si>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</si>
  <si>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</si>
  <si>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</si>
  <si>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</si>
  <si>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</si>
  <si>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</si>
  <si>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</si>
  <si>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</si>
  <si>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</si>
  <si>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</si>
  <si>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</si>
  <si>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</si>
  <si>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</si>
  <si>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</si>
  <si>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</si>
  <si>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</si>
  <si>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</si>
  <si>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</si>
  <si>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</si>
  <si>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</si>
  <si>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</si>
  <si>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</si>
  <si>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</si>
  <si>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</si>
  <si>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</si>
  <si>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</si>
  <si>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</si>
  <si>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</si>
  <si>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</si>
  <si>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</si>
  <si>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</si>
  <si>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</si>
  <si>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</si>
  <si>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</si>
  <si>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</si>
  <si>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</si>
  <si>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</si>
  <si>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</si>
  <si>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</si>
  <si>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</si>
  <si>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</si>
  <si>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</si>
  <si>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</si>
  <si>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</si>
  <si>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</si>
  <si>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</si>
  <si>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</si>
  <si>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</si>
  <si>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</si>
  <si>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</si>
  <si>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</si>
  <si>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</si>
  <si>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</si>
  <si>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</si>
  <si>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</si>
  <si>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</si>
  <si>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</si>
  <si>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</si>
  <si>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</si>
  <si>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</si>
  <si>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</si>
  <si>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</si>
  <si>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</si>
  <si>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</si>
  <si>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</si>
  <si>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</si>
  <si>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</si>
  <si>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</si>
  <si>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</si>
  <si>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</si>
  <si>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</si>
  <si>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</si>
  <si>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</si>
  <si>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</si>
  <si>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</si>
  <si>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</si>
  <si>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</si>
  <si>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</si>
  <si>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</si>
  <si>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</si>
  <si>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</si>
  <si>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</si>
  <si>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</si>
  <si>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</si>
  <si>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</si>
  <si>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</si>
  <si>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</si>
  <si>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</si>
  <si>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</si>
  <si>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</si>
  <si>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</si>
  <si>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</si>
  <si>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</si>
  <si>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</si>
  <si>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</si>
  <si>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</si>
  <si>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</si>
  <si>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</si>
  <si>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</si>
  <si>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</si>
  <si>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</si>
  <si>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</si>
  <si>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</si>
  <si>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</si>
  <si>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</si>
  <si>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</si>
  <si>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</si>
  <si>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</si>
  <si>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</si>
  <si>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</si>
  <si>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</si>
  <si>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</si>
  <si>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</si>
  <si>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</si>
  <si>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</si>
  <si>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</si>
  <si>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</si>
  <si>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</si>
  <si>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</si>
  <si>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</si>
  <si>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</si>
  <si>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</si>
  <si>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</si>
  <si>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</si>
  <si>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</si>
  <si>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</si>
  <si>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</si>
  <si>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</si>
  <si>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</si>
  <si>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</si>
  <si>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</si>
  <si>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</si>
  <si>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</si>
  <si>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</si>
  <si>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</si>
  <si>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</si>
  <si>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</si>
  <si>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</si>
  <si>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</si>
  <si>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</si>
  <si>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</si>
  <si>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</si>
  <si>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</si>
  <si>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</si>
  <si>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</si>
  <si>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</si>
  <si>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</si>
  <si>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</si>
  <si>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</si>
  <si>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</si>
  <si>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</si>
  <si>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</si>
  <si>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</si>
  <si>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</si>
  <si>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</si>
  <si>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</si>
  <si>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</si>
  <si>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</si>
  <si>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</si>
  <si>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</si>
  <si>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</si>
  <si>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</si>
  <si>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</si>
  <si>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</si>
  <si>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</si>
  <si>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</si>
  <si>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</si>
  <si>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</si>
  <si>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</si>
  <si>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</si>
  <si>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</si>
  <si>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</si>
  <si>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</si>
  <si>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</si>
  <si>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</si>
  <si>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</si>
  <si>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</si>
  <si>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</si>
  <si>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</si>
  <si>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</si>
  <si>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</si>
  <si>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</si>
  <si>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</si>
  <si>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</si>
  <si>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</si>
  <si>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</si>
  <si>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</si>
  <si>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</si>
  <si>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</si>
  <si>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</si>
  <si>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</si>
  <si>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</si>
  <si>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</si>
  <si>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</si>
  <si>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</si>
  <si>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</si>
  <si>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</si>
  <si>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</si>
  <si>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</si>
  <si>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</si>
  <si>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</si>
  <si>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</si>
  <si>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</si>
  <si>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</si>
  <si>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</si>
  <si>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</si>
  <si>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</si>
  <si>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</si>
  <si>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</si>
  <si>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</si>
  <si>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</si>
  <si>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</si>
  <si>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</si>
  <si>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</si>
  <si>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</si>
  <si>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</si>
  <si>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</si>
  <si>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</si>
  <si>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</si>
  <si>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</si>
  <si>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</si>
  <si>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</si>
  <si>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</si>
  <si>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</si>
  <si>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</si>
  <si>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</si>
  <si>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</si>
  <si>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</si>
  <si>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</si>
  <si>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</si>
  <si>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</si>
  <si>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</si>
  <si>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</si>
  <si>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</si>
  <si>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</si>
  <si>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</si>
  <si>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</si>
  <si>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</si>
  <si>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</si>
  <si>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</si>
  <si>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</si>
  <si>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</si>
  <si>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</si>
  <si>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</si>
  <si>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</si>
  <si>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</si>
  <si>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</si>
  <si>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</si>
  <si>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</si>
  <si>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</si>
  <si>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</si>
  <si>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</si>
  <si>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</si>
  <si>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</si>
  <si>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</si>
  <si>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</si>
  <si>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</si>
  <si>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</si>
  <si>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</si>
  <si>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</si>
  <si>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</si>
  <si>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</si>
  <si>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</si>
  <si>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</si>
  <si>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</si>
  <si>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</si>
  <si>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</si>
  <si>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</si>
  <si>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</si>
  <si>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</si>
  <si>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</si>
  <si>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</si>
  <si>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</si>
  <si>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</si>
  <si>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</si>
  <si>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</si>
  <si>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</si>
  <si>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</si>
  <si>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</si>
  <si>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</si>
  <si>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</si>
  <si>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</si>
  <si>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</si>
  <si>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</si>
  <si>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</si>
  <si>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</si>
  <si>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</si>
  <si>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</si>
  <si>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</si>
  <si>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</si>
  <si>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</si>
  <si>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</si>
  <si>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</si>
  <si>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</si>
  <si>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</si>
  <si>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</si>
  <si>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</si>
  <si>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</si>
  <si>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</si>
  <si>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</si>
  <si>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</si>
  <si>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</si>
  <si>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</si>
  <si>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</si>
  <si>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</si>
  <si>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</si>
  <si>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</si>
  <si>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</si>
  <si>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</si>
  <si>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</si>
  <si>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</si>
  <si>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</si>
  <si>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</si>
  <si>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</si>
  <si>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</si>
  <si>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</si>
  <si>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</si>
  <si>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</si>
  <si>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</si>
  <si>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</si>
  <si>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</si>
  <si>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</si>
  <si>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</si>
  <si>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</si>
  <si>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Average Donation</t>
  </si>
  <si>
    <t>Date Created Conversion</t>
  </si>
  <si>
    <t>Date Ended Conversion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</si>
  <si>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</si>
  <si>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</si>
  <si>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</si>
  <si>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</si>
  <si>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</si>
  <si>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</si>
  <si>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</si>
  <si>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</si>
  <si>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</si>
  <si>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</si>
  <si>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</si>
  <si>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</si>
  <si>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</si>
  <si>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</si>
  <si>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</si>
  <si>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</si>
  <si>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</si>
  <si>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</si>
  <si>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</si>
  <si>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</si>
  <si>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</si>
  <si>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</si>
  <si>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</si>
  <si>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</si>
  <si>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</si>
  <si>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</si>
  <si>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</si>
  <si>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</si>
  <si>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</si>
  <si>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</si>
  <si>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</si>
  <si>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</si>
  <si>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</si>
  <si>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</si>
  <si>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</si>
  <si>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</si>
  <si>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</si>
  <si>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</si>
  <si>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</si>
  <si>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</si>
  <si>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</si>
  <si>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</si>
  <si>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</si>
  <si>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</si>
  <si>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</si>
  <si>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</si>
  <si>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</si>
  <si>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</si>
  <si>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</si>
  <si>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</si>
  <si>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</si>
  <si>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</si>
  <si>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of Successful</t>
  </si>
  <si>
    <t>Number of Failed</t>
  </si>
  <si>
    <t>Number Of Canceled</t>
  </si>
  <si>
    <t>Porcentage of Successful</t>
  </si>
  <si>
    <t>Porcentage of Fail</t>
  </si>
  <si>
    <t>Porcentage of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</si>
  <si>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</si>
  <si>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</si>
  <si>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</si>
  <si>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</si>
  <si>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</si>
  <si>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</si>
  <si>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</si>
  <si>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</si>
  <si>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</si>
  <si>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Greater than 50000</t>
  </si>
  <si>
    <t>Median</t>
  </si>
  <si>
    <t>Mean</t>
  </si>
  <si>
    <t>Mode</t>
  </si>
  <si>
    <t>Standar Deviation</t>
  </si>
  <si>
    <t>Variance</t>
  </si>
  <si>
    <t>35000 to 39999</t>
  </si>
  <si>
    <t>Category</t>
  </si>
  <si>
    <t>Total Projects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</si>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</sst>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6AA343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6AA343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6AA343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6AA343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C80"/>
      <color rgb="FFFF9999"/>
      <color rgb="FF6AA343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CrowdfundingBook-1.xlsx]Category Statistics!PivotTable1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5-4DF8-A422-9DF2B7115A5C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5-4DF8-A422-9DF2B7115A5C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5-4DF8-A422-9DF2B7115A5C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5-4DF8-A422-9DF2B711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681007"/>
        <c:axId val="1242824303"/>
      </c:barChart>
      <c:catAx>
        <c:axId val="182368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24303"/>
        <c:crosses val="autoZero"/>
        <c:auto val="1"/>
        <c:lblAlgn val="ctr"/>
        <c:lblOffset val="100"/>
        <c:noMultiLvlLbl val="0"/>
      </c:catAx>
      <c:valAx>
        <c:axId val="124282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8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CrowdfundingBook-1.xlsx]Sub-categ-Statistics!PivotTable2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'Sub-categ-Statistics'!$B$4:$B$5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'Sub-categ-Statistics'!$A$6:$A$30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'Sub-categ-Statistics'!$B$6:$B$30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8-4349-8884-B3F1511474CF}"/>
            </c:ext>
          </c:extLst>
        </c:ser>
        <c:ser>
          <c:idx val="1"/>
          <c:order val="1"/>
          <c:tx>
            <c:strRef>
              <c:f>'Sub-categ-Statistics'!$C$4:$C$5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'Sub-categ-Statistics'!$A$6:$A$30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'Sub-categ-Statistics'!$C$6:$C$30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C8-4349-8884-B3F1511474CF}"/>
            </c:ext>
          </c:extLst>
        </c:ser>
        <c:ser>
          <c:idx val="2"/>
          <c:order val="2"/>
          <c:tx>
            <c:strRef>
              <c:f>'Sub-categ-Statistics'!$D$4:$D$5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'Sub-categ-Statistics'!$A$6:$A$30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'Sub-categ-Statistics'!$D$6:$D$30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C8-4349-8884-B3F1511474CF}"/>
            </c:ext>
          </c:extLst>
        </c:ser>
        <c:ser>
          <c:idx val="3"/>
          <c:order val="3"/>
          <c:tx>
            <c:strRef>
              <c:f>'Sub-categ-Statistics'!$E$4:$E$5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'Sub-categ-Statistics'!$A$6:$A$30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'Sub-categ-Statistics'!$E$6:$E$30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C8-4349-8884-B3F15114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3807263"/>
        <c:axId val="499014815"/>
      </c:barChart>
      <c:catAx>
        <c:axId val="49380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14815"/>
        <c:crosses val="autoZero"/>
        <c:auto val="1"/>
        <c:lblAlgn val="ctr"/>
        <c:lblOffset val="100"/>
        <c:noMultiLvlLbl val="0"/>
      </c:catAx>
      <c:valAx>
        <c:axId val="4990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0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CrowdfundingBook-1.xlsx]Outcomes -Launch Day!PivotTable3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-Launch Day'!$B$4:$B$5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-Launch Day'!$A$6:$A$18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-Launch Day'!$B$6:$B$18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B-408A-8A05-E9AD01AC7DC0}"/>
            </c:ext>
          </c:extLst>
        </c:ser>
        <c:ser>
          <c:idx val="1"/>
          <c:order val="1"/>
          <c:tx>
            <c:strRef>
              <c:f>'Outcomes -Launch Day'!$C$4:$C$5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-Launch Day'!$A$6:$A$18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-Launch Day'!$C$6:$C$18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B-408A-8A05-E9AD01AC7DC0}"/>
            </c:ext>
          </c:extLst>
        </c:ser>
        <c:ser>
          <c:idx val="2"/>
          <c:order val="2"/>
          <c:tx>
            <c:strRef>
              <c:f>'Outcomes -Launch Day'!$D$4:$D$5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-Launch Day'!$A$6:$A$18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-Launch Day'!$D$6:$D$18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B-408A-8A05-E9AD01AC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56143"/>
        <c:axId val="1834580079"/>
      </c:lineChart>
      <c:catAx>
        <c:axId val="4851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80079"/>
        <c:crosses val="autoZero"/>
        <c:auto val="1"/>
        <c:lblAlgn val="ctr"/>
        <c:lblOffset val="100"/>
        <c:noMultiLvlLbl val="0"/>
      </c:catAx>
      <c:valAx>
        <c:axId val="18345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Statistics!$F$1</c:f>
              <c:strCache>
                <c:ptCount val="1"/>
                <c:pt idx="0">
                  <c:v>Porcentage of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Statistics!$A$2:$A$13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Statistics!$F$2:$F$13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D-48EA-B937-616E640C1E59}"/>
            </c:ext>
          </c:extLst>
        </c:ser>
        <c:ser>
          <c:idx val="1"/>
          <c:order val="1"/>
          <c:tx>
            <c:strRef>
              <c:f>Statistics!$G$1</c:f>
              <c:strCache>
                <c:ptCount val="1"/>
                <c:pt idx="0">
                  <c:v>Porcentage of Fail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Statistics!$A$2:$A$13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Statistics!$G$2:$G$13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D-48EA-B937-616E640C1E59}"/>
            </c:ext>
          </c:extLst>
        </c:ser>
        <c:ser>
          <c:idx val="2"/>
          <c:order val="2"/>
          <c:tx>
            <c:strRef>
              <c:f>Statistics!$H$1</c:f>
              <c:strCache>
                <c:ptCount val="1"/>
                <c:pt idx="0">
                  <c:v>Porcentage of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Statistics!$A$2:$A$13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Statistics!$H$2:$H$13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D-48EA-B937-616E640C1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35519"/>
        <c:axId val="740935935"/>
      </c:lineChart>
      <c:catAx>
        <c:axId val="74093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35935"/>
        <c:crosses val="autoZero"/>
        <c:auto val="1"/>
        <c:lblAlgn val="ctr"/>
        <c:lblOffset val="100"/>
        <c:noMultiLvlLbl val="0"/>
      </c:catAx>
      <c:valAx>
        <c:axId val="74093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3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2</xdr:row>
      <xdr:rowOff>148589</xdr:rowOff>
    </xdr:from>
    <xdr:to>
      <xdr:col>16</xdr:col>
      <xdr:colOff>495300</xdr:colOff>
      <xdr:row>19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D65F5-004E-3E6F-7633-586FFDE80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4</xdr:row>
      <xdr:rowOff>68580</xdr:rowOff>
    </xdr:from>
    <xdr:to>
      <xdr:col>15</xdr:col>
      <xdr:colOff>104775</xdr:colOff>
      <xdr:row>18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EDBC3-2459-D599-2E9E-47957B7DE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3</xdr:row>
      <xdr:rowOff>108585</xdr:rowOff>
    </xdr:from>
    <xdr:to>
      <xdr:col>13</xdr:col>
      <xdr:colOff>137160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3F28B-5114-0318-E9BB-DE3D7FCAE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14</xdr:row>
      <xdr:rowOff>80961</xdr:rowOff>
    </xdr:from>
    <xdr:to>
      <xdr:col>5</xdr:col>
      <xdr:colOff>571499</xdr:colOff>
      <xdr:row>28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ACE31-9B05-0441-01DE-52C7E1C5C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MERY MOLINA ORDOÑEZ" refreshedDate="45144.801124189813" createdVersion="8" refreshedVersion="8" minRefreshableVersion="3" recordCount="1001" xr:uid="{BE5C0B7A-FBA8-4581-A7E0-5D96D9182ADF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MERY MOLINA ORDOÑEZ" refreshedDate="45144.823601851851" createdVersion="8" refreshedVersion="8" minRefreshableVersion="3" recordCount="1000" xr:uid="{5111E547-5B33-421C-96F9-1BB069B3ED8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BED99-A9F8-49AB-BAD4-74A9DBD81E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F9580-643F-4651-877C-98F355B1DBF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19" baseItem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64BA4-DC02-49CB-BA4D-740933120ED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0F34-AF06-411F-983B-31271F778EE2}">
  <dimension ref="A1:F14"/>
  <sheetViews>
    <sheetView workbookViewId="0">
      <selection activeCell="D25" sqref="D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6</v>
      </c>
      <c r="B1" t="s">
        <v>2035</v>
      </c>
    </row>
    <row r="3" spans="1:6" x14ac:dyDescent="0.25">
      <c r="A3" s="5" t="s">
        <v>2047</v>
      </c>
      <c r="B3" s="5" t="s">
        <v>2048</v>
      </c>
    </row>
    <row r="4" spans="1:6" x14ac:dyDescent="0.25">
      <c r="A4" s="5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5">
      <c r="A5" s="6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6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6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6" t="s">
        <v>2040</v>
      </c>
      <c r="B8" s="8"/>
      <c r="C8" s="8"/>
      <c r="D8" s="8"/>
      <c r="E8" s="8">
        <v>4</v>
      </c>
      <c r="F8" s="8">
        <v>4</v>
      </c>
    </row>
    <row r="9" spans="1:6" x14ac:dyDescent="0.25">
      <c r="A9" s="6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6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6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6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6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6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6B6A-4E57-4C14-BCE8-59117F1725B5}">
  <dimension ref="A1:F30"/>
  <sheetViews>
    <sheetView workbookViewId="0">
      <selection activeCell="K29" sqref="K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6</v>
      </c>
      <c r="B1" t="s">
        <v>2035</v>
      </c>
    </row>
    <row r="2" spans="1:6" x14ac:dyDescent="0.25">
      <c r="A2" s="5" t="s">
        <v>2030</v>
      </c>
      <c r="B2" t="s">
        <v>2035</v>
      </c>
    </row>
    <row r="4" spans="1:6" x14ac:dyDescent="0.25">
      <c r="A4" s="5" t="s">
        <v>2047</v>
      </c>
      <c r="B4" s="5" t="s">
        <v>2048</v>
      </c>
    </row>
    <row r="5" spans="1:6" x14ac:dyDescent="0.25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5">
      <c r="A6" s="6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6" t="s">
        <v>2050</v>
      </c>
      <c r="B7" s="8"/>
      <c r="C7" s="8"/>
      <c r="D7" s="8"/>
      <c r="E7" s="8">
        <v>4</v>
      </c>
      <c r="F7" s="8">
        <v>4</v>
      </c>
    </row>
    <row r="8" spans="1:6" x14ac:dyDescent="0.25">
      <c r="A8" s="6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6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6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6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6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6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6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6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6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6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6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6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6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6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6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6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6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6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6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6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6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6" t="s">
        <v>2072</v>
      </c>
      <c r="B29" s="8"/>
      <c r="C29" s="8"/>
      <c r="D29" s="8"/>
      <c r="E29" s="8">
        <v>3</v>
      </c>
      <c r="F29" s="8">
        <v>3</v>
      </c>
    </row>
    <row r="30" spans="1:6" x14ac:dyDescent="0.25">
      <c r="A30" s="6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C2BD-D7CE-4138-9AB1-C41732B0E7CF}">
  <dimension ref="A1:E18"/>
  <sheetViews>
    <sheetView workbookViewId="0">
      <selection activeCell="C25" sqref="C25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2030</v>
      </c>
      <c r="B1" t="s">
        <v>2035</v>
      </c>
    </row>
    <row r="2" spans="1:5" x14ac:dyDescent="0.25">
      <c r="A2" s="5" t="s">
        <v>2085</v>
      </c>
      <c r="B2" t="s">
        <v>2035</v>
      </c>
    </row>
    <row r="4" spans="1:5" x14ac:dyDescent="0.25">
      <c r="A4" s="5" t="s">
        <v>2047</v>
      </c>
      <c r="B4" s="5" t="s">
        <v>2048</v>
      </c>
    </row>
    <row r="5" spans="1:5" x14ac:dyDescent="0.25">
      <c r="A5" s="5" t="s">
        <v>2036</v>
      </c>
      <c r="B5" t="s">
        <v>74</v>
      </c>
      <c r="C5" t="s">
        <v>14</v>
      </c>
      <c r="D5" t="s">
        <v>20</v>
      </c>
      <c r="E5" t="s">
        <v>2046</v>
      </c>
    </row>
    <row r="6" spans="1:5" x14ac:dyDescent="0.25">
      <c r="A6" s="6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6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6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6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6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6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6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6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6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6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6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6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6" t="s">
        <v>2046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4738-788B-43F3-93EB-9F1AF79565DA}">
  <dimension ref="A1:H13"/>
  <sheetViews>
    <sheetView workbookViewId="0">
      <selection activeCell="H33" sqref="H33"/>
    </sheetView>
  </sheetViews>
  <sheetFormatPr defaultRowHeight="15.75" x14ac:dyDescent="0.25"/>
  <cols>
    <col min="1" max="1" width="17.625" customWidth="1"/>
    <col min="2" max="2" width="19" bestFit="1" customWidth="1"/>
    <col min="3" max="3" width="18.25" bestFit="1" customWidth="1"/>
    <col min="4" max="4" width="18.375" bestFit="1" customWidth="1"/>
    <col min="5" max="5" width="18.375" customWidth="1"/>
    <col min="6" max="6" width="21.25" bestFit="1" customWidth="1"/>
    <col min="7" max="7" width="15.875" bestFit="1" customWidth="1"/>
    <col min="8" max="8" width="20.7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2110</v>
      </c>
      <c r="F1" t="s">
        <v>2090</v>
      </c>
      <c r="G1" t="s">
        <v>2091</v>
      </c>
      <c r="H1" t="s">
        <v>2092</v>
      </c>
    </row>
    <row r="2" spans="1:8" x14ac:dyDescent="0.25">
      <c r="A2" t="s">
        <v>2093</v>
      </c>
      <c r="B2">
        <f>COUNTIFS(Crowdfunding!$G:$G, "Successful", Crowdfunding!$D:$D,"&lt;1000")</f>
        <v>30</v>
      </c>
      <c r="C2">
        <f>COUNTIFS(Crowdfunding!$G:$G, "Failed", Crowdfunding!$D:$D,"&lt;1000")</f>
        <v>20</v>
      </c>
      <c r="D2">
        <f>COUNTIFS(Crowdfunding!$G:$G, "Canceled", Crowdfunding!$D:$D,"&lt;1000")</f>
        <v>1</v>
      </c>
      <c r="E2">
        <f>SUM(B2:D2)</f>
        <v>51</v>
      </c>
      <c r="F2" s="9">
        <f>+B2/E2</f>
        <v>0.58823529411764708</v>
      </c>
      <c r="G2" s="9">
        <f>+C2/E2</f>
        <v>0.39215686274509803</v>
      </c>
      <c r="H2" s="9">
        <f>+D2/E2</f>
        <v>1.9607843137254902E-2</v>
      </c>
    </row>
    <row r="3" spans="1:8" x14ac:dyDescent="0.25">
      <c r="A3" t="s">
        <v>2094</v>
      </c>
      <c r="B3">
        <f>COUNTIFS(Crowdfunding!$G:$G, "Successful", Crowdfunding!$D:$D,"&gt;1000",Crowdfunding!$D:$D,"&lt;=4999")</f>
        <v>185</v>
      </c>
      <c r="C3">
        <f>COUNTIFS(Crowdfunding!$G:$G, "Failed", Crowdfunding!$D:$D,"&gt;1000",Crowdfunding!$D:$D,"&lt;=4999")</f>
        <v>37</v>
      </c>
      <c r="D3">
        <f>COUNTIFS(Crowdfunding!$G:$G, "Canceled", Crowdfunding!$D:$D,"&gt;1000",Crowdfunding!$D:$D,"&lt;=4999")</f>
        <v>2</v>
      </c>
      <c r="E3">
        <f t="shared" ref="E3:E13" si="0">SUM(B3:D3)</f>
        <v>224</v>
      </c>
      <c r="F3" s="9">
        <f t="shared" ref="F3:F13" si="1">+B3/E3</f>
        <v>0.8258928571428571</v>
      </c>
      <c r="G3" s="9">
        <f t="shared" ref="G3:G13" si="2">+C3/E3</f>
        <v>0.16517857142857142</v>
      </c>
      <c r="H3" s="9">
        <f t="shared" ref="H3:H13" si="3">+D3/E3</f>
        <v>8.9285714285714281E-3</v>
      </c>
    </row>
    <row r="4" spans="1:8" x14ac:dyDescent="0.25">
      <c r="A4" t="s">
        <v>2095</v>
      </c>
      <c r="B4">
        <f>COUNTIFS(Crowdfunding!$G:$G, "Successful", Crowdfunding!$D:$D,"&gt;5000",Crowdfunding!$D:$D,"&lt;=9999")</f>
        <v>157</v>
      </c>
      <c r="C4">
        <f>COUNTIFS(Crowdfunding!$G:$G, "Failed", Crowdfunding!$D:$D,"&gt;5000",Crowdfunding!$D:$D,"&lt;=9999")</f>
        <v>125</v>
      </c>
      <c r="D4">
        <f>COUNTIFS(Crowdfunding!$G:$G, "Canceled", Crowdfunding!$D:$D,"&gt;5000",Crowdfunding!$D:$D,"&lt;=9999")</f>
        <v>25</v>
      </c>
      <c r="E4">
        <f t="shared" si="0"/>
        <v>307</v>
      </c>
      <c r="F4" s="9">
        <f t="shared" si="1"/>
        <v>0.51140065146579805</v>
      </c>
      <c r="G4" s="9">
        <f t="shared" si="2"/>
        <v>0.40716612377850164</v>
      </c>
      <c r="H4" s="9">
        <f t="shared" si="3"/>
        <v>8.143322475570032E-2</v>
      </c>
    </row>
    <row r="5" spans="1:8" x14ac:dyDescent="0.25">
      <c r="A5" t="s">
        <v>2096</v>
      </c>
      <c r="B5">
        <f>COUNTIFS(Crowdfunding!$G:$G, "Successful", Crowdfunding!$D:$D,"&gt;10000",Crowdfunding!$D:$D,"&lt;=14999")</f>
        <v>2</v>
      </c>
      <c r="C5">
        <f>COUNTIFS(Crowdfunding!$G:$G, "Failed", Crowdfunding!$D:$D,"&gt;10000",Crowdfunding!$D:$D,"&lt;=14999")</f>
        <v>0</v>
      </c>
      <c r="D5">
        <f>COUNTIFS(Crowdfunding!$G:$G, "Canceled", Crowdfunding!$D:$D,"&gt;10000",Crowdfunding!$D:$D,"&lt;=14999")</f>
        <v>0</v>
      </c>
      <c r="E5">
        <f t="shared" si="0"/>
        <v>2</v>
      </c>
      <c r="F5" s="9">
        <f t="shared" si="1"/>
        <v>1</v>
      </c>
      <c r="G5" s="9">
        <f t="shared" si="2"/>
        <v>0</v>
      </c>
      <c r="H5" s="9">
        <f t="shared" si="3"/>
        <v>0</v>
      </c>
    </row>
    <row r="6" spans="1:8" x14ac:dyDescent="0.25">
      <c r="A6" t="s">
        <v>2097</v>
      </c>
      <c r="B6">
        <f>COUNTIFS(Crowdfunding!$G:$G, "Successful", Crowdfunding!$D:$D,"&gt;15000",Crowdfunding!$D:$D,"&lt;=19999")</f>
        <v>10</v>
      </c>
      <c r="C6">
        <f>COUNTIFS(Crowdfunding!$G:$G, "Failed", Crowdfunding!$D:$D,"&gt;15000",Crowdfunding!$D:$D,"&lt;=19999")</f>
        <v>0</v>
      </c>
      <c r="D6">
        <f>COUNTIFS(Crowdfunding!$G:$G, "Canceled", Crowdfunding!$D:$D,"&gt;15000",Crowdfunding!$D:$D,"&lt;=19999")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2098</v>
      </c>
      <c r="B7">
        <f>COUNTIFS(Crowdfunding!$G:$G, "Successful", Crowdfunding!$D:$D,"&gt;20000",Crowdfunding!$D:$D,"&lt;=24999")</f>
        <v>5</v>
      </c>
      <c r="C7">
        <f>COUNTIFS(Crowdfunding!$G:$G, "Failed", Crowdfunding!$D:$D,"&gt;20000",Crowdfunding!$D:$D,"&lt;=24999")</f>
        <v>0</v>
      </c>
      <c r="D7">
        <f>COUNTIFS(Crowdfunding!$G:$G, "Canceled", Crowdfunding!$D:$D,"&gt;20000",Crowdfunding!$D:$D,"&lt;=24999")</f>
        <v>0</v>
      </c>
      <c r="E7">
        <f t="shared" si="0"/>
        <v>5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2099</v>
      </c>
      <c r="B8">
        <f>COUNTIFS(Crowdfunding!$G:$G, "Successful", Crowdfunding!$D:$D,"&gt;25000",Crowdfunding!$D:$D,"&lt;=29999")</f>
        <v>10</v>
      </c>
      <c r="C8">
        <f>COUNTIFS(Crowdfunding!$G:$G, "Failed", Crowdfunding!$D:$D,"&gt;25000",Crowdfunding!$D:$D,"&lt;=29999")</f>
        <v>3</v>
      </c>
      <c r="D8">
        <f>COUNTIFS(Crowdfunding!$G:$G, "Canceled", Crowdfunding!$D:$D,"25000",Crowdfunding!$D:$D,"&lt;=29999")</f>
        <v>0</v>
      </c>
      <c r="E8">
        <f t="shared" si="0"/>
        <v>13</v>
      </c>
      <c r="F8" s="9">
        <f t="shared" si="1"/>
        <v>0.76923076923076927</v>
      </c>
      <c r="G8" s="9">
        <f t="shared" si="2"/>
        <v>0.23076923076923078</v>
      </c>
      <c r="H8" s="9">
        <f t="shared" si="3"/>
        <v>0</v>
      </c>
    </row>
    <row r="9" spans="1:8" x14ac:dyDescent="0.25">
      <c r="A9" t="s">
        <v>2100</v>
      </c>
      <c r="B9">
        <f>COUNTIFS(Crowdfunding!$G:$G, "Successful", Crowdfunding!$D:$D,"&gt;30000",Crowdfunding!$D:$D,"&lt;=34999")</f>
        <v>7</v>
      </c>
      <c r="C9">
        <f>COUNTIFS(Crowdfunding!$G:$G, "Failed", Crowdfunding!$D:$D,"&gt;30000",Crowdfunding!$D:$D,"&lt;=34999")</f>
        <v>0</v>
      </c>
      <c r="D9">
        <f>COUNTIFS(Crowdfunding!$G:$G, "Canceled", Crowdfunding!$D:$D,"&gt;30000",Crowdfunding!$D:$D,"&lt;=34999")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2108</v>
      </c>
      <c r="B10">
        <f>COUNTIFS(Crowdfunding!$G:$G, "Successful", Crowdfunding!$D:$D,"&gt;35000",Crowdfunding!$D:$D,"&lt;=39999")</f>
        <v>7</v>
      </c>
      <c r="C10">
        <f>COUNTIFS(Crowdfunding!$G:$G, "Failed", Crowdfunding!$D:$D,"&gt;35000",Crowdfunding!$D:$D,"&lt;=39999")</f>
        <v>3</v>
      </c>
      <c r="D10">
        <f>COUNTIFS(Crowdfunding!$G:$G, "Canceled", Crowdfunding!$D:$D,"&gt;35000",Crowdfunding!$D:$D,"&lt;=39999")</f>
        <v>1</v>
      </c>
      <c r="E10">
        <f t="shared" si="0"/>
        <v>11</v>
      </c>
      <c r="F10" s="9">
        <f t="shared" si="1"/>
        <v>0.63636363636363635</v>
      </c>
      <c r="G10" s="9">
        <f t="shared" si="2"/>
        <v>0.27272727272727271</v>
      </c>
      <c r="H10" s="9">
        <f t="shared" si="3"/>
        <v>9.0909090909090912E-2</v>
      </c>
    </row>
    <row r="11" spans="1:8" x14ac:dyDescent="0.25">
      <c r="A11" t="s">
        <v>2101</v>
      </c>
      <c r="B11">
        <f>COUNTIFS(Crowdfunding!$G:$G, "Successful", Crowdfunding!$D:$D,"&gt;40000",Crowdfunding!$D:$D,"&lt;=44999")</f>
        <v>11</v>
      </c>
      <c r="C11">
        <f>COUNTIFS(Crowdfunding!$G:$G, "Failed", Crowdfunding!$D:$D,"&gt;40000",Crowdfunding!$D:$D,"&lt;=44999")</f>
        <v>3</v>
      </c>
      <c r="D11">
        <f>COUNTIFS(Crowdfunding!$G:$G, "Canceled", Crowdfunding!$D:$D,"&gt;40000",Crowdfunding!$D:$D,"&lt;=44999")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2111</v>
      </c>
      <c r="B12">
        <f>COUNTIFS(Crowdfunding!$G:$G, "Successful", Crowdfunding!$D:$D,"&gt;45000",Crowdfunding!$D:$D,"&lt;=49999")</f>
        <v>8</v>
      </c>
      <c r="C12">
        <f>COUNTIFS(Crowdfunding!$G:$G, "Failed", Crowdfunding!$D:$D,"&gt;45000",Crowdfunding!$D:$D,"&lt;=49999")</f>
        <v>3</v>
      </c>
      <c r="D12">
        <f>COUNTIFS(Crowdfunding!$G:$G, "Canceled", Crowdfunding!$D:$D,"&gt;45000",Crowdfunding!$D:$D,"&lt;=49999")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2102</v>
      </c>
      <c r="B13">
        <f>COUNTIFS(Crowdfunding!$G:$G, "Successful", Crowdfunding!$D:$D,"&gt;50000")</f>
        <v>114</v>
      </c>
      <c r="C13">
        <f>COUNTIFS(Crowdfunding!$G:$G, "Failed", Crowdfunding!$D:$D,"&gt;50000")</f>
        <v>163</v>
      </c>
      <c r="D13">
        <f>COUNTIFS(Crowdfunding!$G:$G, "Canceled", Crowdfunding!$D:$D,"&gt;50000")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ignoredErrors>
    <ignoredError sqref="C12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9B19-3112-49DC-BA40-CBFA2695733F}">
  <dimension ref="A1:L566"/>
  <sheetViews>
    <sheetView zoomScale="85" zoomScaleNormal="85" workbookViewId="0">
      <selection activeCell="B2" sqref="B2:B566"/>
    </sheetView>
  </sheetViews>
  <sheetFormatPr defaultRowHeight="15.75" x14ac:dyDescent="0.25"/>
  <cols>
    <col min="2" max="2" width="13.5" bestFit="1" customWidth="1"/>
    <col min="3" max="3" width="13.5" customWidth="1"/>
    <col min="5" max="5" width="13.5" bestFit="1" customWidth="1"/>
    <col min="9" max="9" width="15.5" customWidth="1"/>
    <col min="11" max="11" width="13" customWidth="1"/>
    <col min="12" max="12" width="15.75" customWidth="1"/>
  </cols>
  <sheetData>
    <row r="1" spans="1:12" x14ac:dyDescent="0.25">
      <c r="A1" s="1" t="s">
        <v>4</v>
      </c>
      <c r="B1" s="1" t="s">
        <v>5</v>
      </c>
      <c r="C1" s="1"/>
      <c r="D1" s="1" t="s">
        <v>4</v>
      </c>
      <c r="E1" s="1" t="s">
        <v>5</v>
      </c>
      <c r="G1" t="s">
        <v>4</v>
      </c>
      <c r="H1" t="s">
        <v>2103</v>
      </c>
      <c r="I1" t="s">
        <v>2104</v>
      </c>
      <c r="J1" t="s">
        <v>2105</v>
      </c>
      <c r="K1" t="s">
        <v>2107</v>
      </c>
      <c r="L1" t="s">
        <v>2106</v>
      </c>
    </row>
    <row r="2" spans="1:12" x14ac:dyDescent="0.25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MEDIAN(B2:B566)</f>
        <v>201</v>
      </c>
      <c r="I2">
        <f>AVERAGE(B2:B566)</f>
        <v>851.14690265486729</v>
      </c>
      <c r="J2">
        <f>MODE(B2:B566)</f>
        <v>85</v>
      </c>
      <c r="K2">
        <f>_xlfn.VAR.P(B2:B566)</f>
        <v>1603373.7324019109</v>
      </c>
      <c r="L2" s="7">
        <f>_xlfn.STDEV.P(B2:B566)</f>
        <v>1266.2439466397898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MEDIAN(E2:E567)</f>
        <v>114.5</v>
      </c>
      <c r="I3">
        <f>AVERAGE(E2:E567)</f>
        <v>585.61538461538464</v>
      </c>
      <c r="J3">
        <f>MODE(E2:E567)</f>
        <v>1</v>
      </c>
      <c r="K3">
        <f>_xlfn.VAR.P(E2:E567)</f>
        <v>921574.68174133555</v>
      </c>
      <c r="L3" s="7">
        <f>_xlfn.STDEV.P(E2:E567)</f>
        <v>959.98681331637863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</row>
    <row r="7" spans="1:12" x14ac:dyDescent="0.25">
      <c r="A7" t="s">
        <v>20</v>
      </c>
      <c r="B7">
        <v>98</v>
      </c>
      <c r="D7" t="s">
        <v>14</v>
      </c>
      <c r="E7">
        <v>27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15" priority="17" operator="equal">
      <formula>"Canceled"</formula>
    </cfRule>
    <cfRule type="cellIs" dxfId="14" priority="18" operator="equal">
      <formula>"Successful"</formula>
    </cfRule>
    <cfRule type="cellIs" dxfId="13" priority="19" operator="equal">
      <formula>"Failed"</formula>
    </cfRule>
    <cfRule type="cellIs" dxfId="12" priority="20" operator="equal">
      <formula>"Live"</formula>
    </cfRule>
  </conditionalFormatting>
  <conditionalFormatting sqref="D1:D1047940">
    <cfRule type="cellIs" dxfId="11" priority="13" operator="equal">
      <formula>"Canceled"</formula>
    </cfRule>
    <cfRule type="cellIs" dxfId="10" priority="14" operator="equal">
      <formula>"Successful"</formula>
    </cfRule>
    <cfRule type="cellIs" dxfId="9" priority="15" operator="equal">
      <formula>"Failed"</formula>
    </cfRule>
    <cfRule type="cellIs" dxfId="8" priority="16" operator="equal">
      <formula>"Live"</formula>
    </cfRule>
  </conditionalFormatting>
  <conditionalFormatting sqref="G2:G3">
    <cfRule type="cellIs" dxfId="7" priority="1" operator="equal">
      <formula>"Canceled"</formula>
    </cfRule>
    <cfRule type="cellIs" dxfId="6" priority="2" operator="equal">
      <formula>"Successful"</formula>
    </cfRule>
    <cfRule type="cellIs" dxfId="5" priority="3" operator="equal">
      <formula>"Failed"</formula>
    </cfRule>
    <cfRule type="cellIs" dxfId="4" priority="4" operator="equal">
      <formula>"Live"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0123-1411-4C09-BE18-167218F3326C}">
  <dimension ref="A1"/>
  <sheetViews>
    <sheetView workbookViewId="0">
      <selection activeCell="H18" sqref="H18"/>
    </sheetView>
  </sheetViews>
  <sheetFormatPr defaultRowHeight="15.75" x14ac:dyDescent="0.25"/>
  <cols>
    <col min="1" max="1" width="13.5" bestFit="1" customWidth="1"/>
    <col min="2" max="2" width="16.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973" workbookViewId="0">
      <selection activeCell="C980" sqref="C98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6.25" customWidth="1"/>
    <col min="8" max="8" width="13" bestFit="1" customWidth="1"/>
    <col min="9" max="9" width="16.875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75" customWidth="1"/>
    <col min="20" max="20" width="13.1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2109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(((L2/60)/60)/24+DATE(1970,1,1))</f>
        <v>42336.25</v>
      </c>
      <c r="O2" s="4">
        <f>(((M2/60)/60)/24+DATE(1970,1,1))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(((L3/60)/60)/24+DATE(1970,1,1))</f>
        <v>41870.208333333336</v>
      </c>
      <c r="O3" s="4">
        <f t="shared" ref="O3:O66" si="3">(((M3/60)/60)/24+DATE(1970,1,1))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(((L67/60)/60)/24+DATE(1970,1,1))</f>
        <v>40570.25</v>
      </c>
      <c r="O67" s="4">
        <f t="shared" ref="O67:O130" si="9">(((M67/60)/60)/24+DATE(1970,1,1))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(((L131/60)/60)/24+DATE(1970,1,1))</f>
        <v>42038.25</v>
      </c>
      <c r="O131" s="4">
        <f t="shared" ref="O131:O194" si="15">(((M131/60)/60)/24+DATE(1970,1,1))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(((L195/60)/60)/24+DATE(1970,1,1))</f>
        <v>43198.208333333328</v>
      </c>
      <c r="O195" s="4">
        <f t="shared" ref="O195:O258" si="21">(((M195/60)/60)/24+DATE(1970,1,1))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(((L259/60)/60)/24+DATE(1970,1,1))</f>
        <v>41338.25</v>
      </c>
      <c r="O259" s="4">
        <f t="shared" ref="O259:O322" si="27">(((M259/60)/60)/24+DATE(1970,1,1))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(((L323/60)/60)/24+DATE(1970,1,1))</f>
        <v>40634.208333333336</v>
      </c>
      <c r="O323" s="4">
        <f t="shared" ref="O323:O386" si="33">(((M323/60)/60)/24+DATE(1970,1,1))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(((L387/60)/60)/24+DATE(1970,1,1))</f>
        <v>43553.208333333328</v>
      </c>
      <c r="O387" s="4">
        <f t="shared" ref="O387:O450" si="39">(((M387/60)/60)/24+DATE(1970,1,1))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(((L451/60)/60)/24+DATE(1970,1,1))</f>
        <v>43530.25</v>
      </c>
      <c r="O451" s="4">
        <f t="shared" ref="O451:O514" si="45">(((M451/60)/60)/24+DATE(1970,1,1))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(((L515/60)/60)/24+DATE(1970,1,1))</f>
        <v>40430.208333333336</v>
      </c>
      <c r="O515" s="4">
        <f t="shared" ref="O515:O578" si="51">(((M515/60)/60)/24+DATE(1970,1,1))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(((L579/60)/60)/24+DATE(1970,1,1))</f>
        <v>40613.25</v>
      </c>
      <c r="O579" s="4">
        <f t="shared" ref="O579:O642" si="57">(((M579/60)/60)/24+DATE(1970,1,1))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(((L643/60)/60)/24+DATE(1970,1,1))</f>
        <v>42786.25</v>
      </c>
      <c r="O643" s="4">
        <f t="shared" ref="O643:O706" si="63">(((M643/60)/60)/24+DATE(1970,1,1))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(((L707/60)/60)/24+DATE(1970,1,1))</f>
        <v>41619.25</v>
      </c>
      <c r="O707" s="4">
        <f t="shared" ref="O707:O770" si="69">(((M707/60)/60)/24+DATE(1970,1,1))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(((L771/60)/60)/24+DATE(1970,1,1))</f>
        <v>41501.208333333336</v>
      </c>
      <c r="O771" s="4">
        <f t="shared" ref="O771:O834" si="75">(((M771/60)/60)/24+DATE(1970,1,1))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(((L835/60)/60)/24+DATE(1970,1,1))</f>
        <v>40588.25</v>
      </c>
      <c r="O835" s="4">
        <f t="shared" ref="O835:O898" si="81">(((M835/60)/60)/24+DATE(1970,1,1))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(((L899/60)/60)/24+DATE(1970,1,1))</f>
        <v>43583.208333333328</v>
      </c>
      <c r="O899" s="4">
        <f t="shared" ref="O899:O962" si="87">(((M899/60)/60)/24+DATE(1970,1,1))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(((L963/60)/60)/24+DATE(1970,1,1))</f>
        <v>40591.25</v>
      </c>
      <c r="O963" s="4">
        <f t="shared" ref="O963:O1001" si="93">(((M963/60)/60)/24+DATE(1970,1,1))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5">
      <colorScale>
        <cfvo type="num" val="0"/>
        <cfvo type="num" val="100"/>
        <cfvo type="num" val="200"/>
        <color rgb="FFFF0000"/>
        <color theme="7" tint="0.39997558519241921"/>
        <color rgb="FF92D050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Category Statistics</vt:lpstr>
      <vt:lpstr>Sub-categ-Statistics</vt:lpstr>
      <vt:lpstr>Outcomes -Launch Day</vt:lpstr>
      <vt:lpstr>Statistics</vt:lpstr>
      <vt:lpstr>Grades</vt:lpstr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Ordonez, Luz</cp:lastModifiedBy>
  <dcterms:created xsi:type="dcterms:W3CDTF">2021-09-29T18:52:28Z</dcterms:created>
  <dcterms:modified xsi:type="dcterms:W3CDTF">2023-08-09T01:01:40Z</dcterms:modified>
</cp:coreProperties>
</file>