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\1 Divorce\"/>
    </mc:Choice>
  </mc:AlternateContent>
  <xr:revisionPtr revIDLastSave="0" documentId="13_ncr:1_{9A2ECC55-B18E-40B0-AEE8-B066603238F3}" xr6:coauthVersionLast="45" xr6:coauthVersionMax="45" xr10:uidLastSave="{00000000-0000-0000-0000-000000000000}"/>
  <bookViews>
    <workbookView xWindow="-120" yWindow="-120" windowWidth="29040" windowHeight="15225" activeTab="2" xr2:uid="{6EAF11E3-76F0-45E2-B46D-A002589435BD}"/>
  </bookViews>
  <sheets>
    <sheet name="Feuil1" sheetId="1" r:id="rId1"/>
    <sheet name="Prélèvements (date)" sheetId="2" r:id="rId2"/>
    <sheet name="Bilan" sheetId="6" r:id="rId3"/>
    <sheet name="Dépenses" sheetId="4" r:id="rId4"/>
    <sheet name="Prélèv" sheetId="9" r:id="rId5"/>
    <sheet name="Recettes" sheetId="5" r:id="rId6"/>
    <sheet name="Epargne" sheetId="10" r:id="rId7"/>
    <sheet name="Tickets restos" sheetId="7" r:id="rId8"/>
    <sheet name="Remboursements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4" l="1"/>
  <c r="I22" i="4"/>
  <c r="K22" i="4" s="1"/>
  <c r="J22" i="4"/>
  <c r="G10" i="5" l="1"/>
  <c r="G22" i="5" l="1"/>
  <c r="A22" i="5"/>
  <c r="G21" i="5"/>
  <c r="A21" i="5"/>
  <c r="E16" i="9"/>
  <c r="G16" i="9"/>
  <c r="E15" i="9"/>
  <c r="G15" i="9"/>
  <c r="A15" i="4"/>
  <c r="I15" i="4"/>
  <c r="J15" i="4"/>
  <c r="K15" i="4"/>
  <c r="A2" i="10" l="1"/>
  <c r="A3" i="10"/>
  <c r="A4" i="10"/>
  <c r="A19" i="5" l="1"/>
  <c r="A20" i="5"/>
  <c r="G20" i="5"/>
  <c r="G19" i="5"/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A12" i="4" l="1"/>
  <c r="I12" i="4"/>
  <c r="J12" i="4"/>
  <c r="K12" i="4"/>
  <c r="J2" i="4" l="1"/>
  <c r="J3" i="4"/>
  <c r="J5" i="4"/>
  <c r="J7" i="4"/>
  <c r="J8" i="4"/>
  <c r="J9" i="4"/>
  <c r="J10" i="4"/>
  <c r="J14" i="4"/>
  <c r="J16" i="4"/>
  <c r="J20" i="4"/>
  <c r="J21" i="4"/>
  <c r="J25" i="4"/>
  <c r="J26" i="4"/>
  <c r="J29" i="4"/>
  <c r="J30" i="4"/>
  <c r="J33" i="4"/>
  <c r="J34" i="4"/>
  <c r="A27" i="4"/>
  <c r="A28" i="4"/>
  <c r="A31" i="4"/>
  <c r="A32" i="4"/>
  <c r="K32" i="4"/>
  <c r="I32" i="4"/>
  <c r="J32" i="4" s="1"/>
  <c r="K31" i="4"/>
  <c r="I31" i="4"/>
  <c r="J31" i="4" s="1"/>
  <c r="K28" i="4"/>
  <c r="I28" i="4"/>
  <c r="J28" i="4" s="1"/>
  <c r="K27" i="4"/>
  <c r="I27" i="4"/>
  <c r="J27" i="4" s="1"/>
  <c r="A24" i="4"/>
  <c r="I24" i="4"/>
  <c r="J24" i="4" s="1"/>
  <c r="K24" i="4"/>
  <c r="A23" i="4"/>
  <c r="I23" i="4"/>
  <c r="J23" i="4" s="1"/>
  <c r="K23" i="4"/>
  <c r="A34" i="4"/>
  <c r="I34" i="4"/>
  <c r="K34" i="4"/>
  <c r="A8" i="4" l="1"/>
  <c r="I8" i="4"/>
  <c r="K8" i="4"/>
  <c r="H8" i="8" l="1"/>
  <c r="I8" i="8" s="1"/>
  <c r="D3" i="8"/>
  <c r="H3" i="8"/>
  <c r="I3" i="8" s="1"/>
  <c r="J5" i="8"/>
  <c r="J13" i="8"/>
  <c r="E8" i="8"/>
  <c r="J8" i="8" s="1"/>
  <c r="J9" i="8"/>
  <c r="J10" i="8"/>
  <c r="J12" i="8"/>
  <c r="I6" i="8"/>
  <c r="J6" i="8"/>
  <c r="J7" i="8"/>
  <c r="J3" i="8"/>
  <c r="J2" i="8"/>
  <c r="J11" i="8"/>
  <c r="J14" i="8"/>
  <c r="J4" i="8"/>
  <c r="I7" i="8"/>
  <c r="I9" i="8"/>
  <c r="I2" i="8"/>
  <c r="I5" i="8"/>
  <c r="I10" i="8"/>
  <c r="I11" i="8"/>
  <c r="I14" i="8"/>
  <c r="I13" i="8"/>
  <c r="I12" i="8"/>
  <c r="I4" i="8"/>
  <c r="A4" i="5" l="1"/>
  <c r="G4" i="5"/>
  <c r="A2" i="6" l="1"/>
  <c r="K2" i="6" s="1"/>
  <c r="A3" i="6"/>
  <c r="K3" i="6" s="1"/>
  <c r="A4" i="6"/>
  <c r="K4" i="6" s="1"/>
  <c r="A5" i="6"/>
  <c r="K5" i="6" s="1"/>
  <c r="K4" i="4"/>
  <c r="K5" i="4"/>
  <c r="K6" i="4"/>
  <c r="K10" i="4"/>
  <c r="K11" i="4"/>
  <c r="K13" i="4"/>
  <c r="K19" i="4"/>
  <c r="K14" i="4"/>
  <c r="K16" i="4"/>
  <c r="K17" i="4"/>
  <c r="K18" i="4"/>
  <c r="K20" i="4"/>
  <c r="K21" i="4"/>
  <c r="K25" i="4"/>
  <c r="K26" i="4"/>
  <c r="K29" i="4"/>
  <c r="K30" i="4"/>
  <c r="K33" i="4"/>
  <c r="G2" i="5"/>
  <c r="G3" i="5"/>
  <c r="G5" i="5"/>
  <c r="G6" i="5"/>
  <c r="G8" i="5"/>
  <c r="I7" i="5"/>
  <c r="G9" i="5"/>
  <c r="G11" i="5"/>
  <c r="G12" i="5"/>
  <c r="G13" i="5"/>
  <c r="G14" i="5"/>
  <c r="G15" i="5"/>
  <c r="G16" i="5"/>
  <c r="G17" i="5"/>
  <c r="G18" i="5"/>
  <c r="I10" i="4"/>
  <c r="I3" i="4"/>
  <c r="K3" i="4" s="1"/>
  <c r="I7" i="4"/>
  <c r="K7" i="4" s="1"/>
  <c r="I4" i="4"/>
  <c r="J4" i="4" s="1"/>
  <c r="I6" i="4"/>
  <c r="J6" i="4" s="1"/>
  <c r="I5" i="4"/>
  <c r="I9" i="4"/>
  <c r="K9" i="4" s="1"/>
  <c r="I13" i="4"/>
  <c r="J13" i="4" s="1"/>
  <c r="I19" i="4"/>
  <c r="J19" i="4" s="1"/>
  <c r="I14" i="4"/>
  <c r="I16" i="4"/>
  <c r="I17" i="4"/>
  <c r="J17" i="4" s="1"/>
  <c r="I18" i="4"/>
  <c r="J18" i="4" s="1"/>
  <c r="I20" i="4"/>
  <c r="I21" i="4"/>
  <c r="I25" i="4"/>
  <c r="I26" i="4"/>
  <c r="I29" i="4"/>
  <c r="I30" i="4"/>
  <c r="I33" i="4"/>
  <c r="I11" i="4"/>
  <c r="J11" i="4" s="1"/>
  <c r="I2" i="4"/>
  <c r="K2" i="4" s="1"/>
  <c r="J5" i="6" l="1"/>
  <c r="J4" i="6"/>
  <c r="J3" i="6"/>
  <c r="J2" i="6"/>
  <c r="C4" i="6"/>
  <c r="C2" i="6"/>
  <c r="C3" i="6"/>
  <c r="C5" i="6"/>
  <c r="A18" i="5"/>
  <c r="A17" i="5"/>
  <c r="A6" i="6"/>
  <c r="K6" i="6" s="1"/>
  <c r="A7" i="6"/>
  <c r="K7" i="6" s="1"/>
  <c r="A9" i="6"/>
  <c r="K9" i="6" s="1"/>
  <c r="A10" i="6"/>
  <c r="K10" i="6" s="1"/>
  <c r="A11" i="6"/>
  <c r="K11" i="6" s="1"/>
  <c r="A12" i="6"/>
  <c r="K12" i="6" s="1"/>
  <c r="A13" i="6"/>
  <c r="K13" i="6" s="1"/>
  <c r="A14" i="6"/>
  <c r="K14" i="6" s="1"/>
  <c r="A8" i="6"/>
  <c r="K8" i="6" s="1"/>
  <c r="J8" i="6" l="1"/>
  <c r="J11" i="6"/>
  <c r="J6" i="6"/>
  <c r="J12" i="6"/>
  <c r="J7" i="6"/>
  <c r="J14" i="6"/>
  <c r="J10" i="6"/>
  <c r="J13" i="6"/>
  <c r="J9" i="6"/>
  <c r="C7" i="6"/>
  <c r="C13" i="6"/>
  <c r="C12" i="6"/>
  <c r="C14" i="6"/>
  <c r="A7" i="5"/>
  <c r="A11" i="4"/>
  <c r="A2" i="4"/>
  <c r="A19" i="4"/>
  <c r="I2" i="5" l="1"/>
  <c r="A3" i="5"/>
  <c r="A29" i="4" l="1"/>
  <c r="C6" i="6"/>
  <c r="C8" i="6"/>
  <c r="C9" i="6"/>
  <c r="C10" i="6"/>
  <c r="C11" i="6"/>
  <c r="A25" i="4" l="1"/>
  <c r="A15" i="5"/>
  <c r="A16" i="5"/>
  <c r="A13" i="5"/>
  <c r="A14" i="5"/>
  <c r="A11" i="5"/>
  <c r="A12" i="5"/>
  <c r="A9" i="5"/>
  <c r="A10" i="5"/>
  <c r="A6" i="5"/>
  <c r="A8" i="5"/>
  <c r="A2" i="5"/>
  <c r="A5" i="5"/>
  <c r="A33" i="4"/>
  <c r="A30" i="4"/>
  <c r="A26" i="4"/>
  <c r="A21" i="4"/>
  <c r="A18" i="4"/>
  <c r="A17" i="4"/>
  <c r="A16" i="4"/>
  <c r="A20" i="4"/>
  <c r="A13" i="4"/>
  <c r="A10" i="4"/>
  <c r="A9" i="4"/>
  <c r="A14" i="4"/>
  <c r="A5" i="4"/>
  <c r="A6" i="4"/>
  <c r="A4" i="4"/>
  <c r="A7" i="4"/>
  <c r="A3" i="4"/>
  <c r="G7" i="6" l="1"/>
  <c r="E4" i="6"/>
  <c r="E2" i="6"/>
  <c r="E5" i="6"/>
  <c r="E3" i="6"/>
  <c r="E8" i="6"/>
  <c r="E6" i="6"/>
  <c r="E9" i="6"/>
  <c r="E11" i="6"/>
  <c r="E13" i="6"/>
  <c r="E14" i="6"/>
  <c r="E10" i="6"/>
  <c r="E12" i="6"/>
  <c r="E7" i="6"/>
  <c r="B14" i="6"/>
  <c r="D14" i="6" s="1"/>
  <c r="B8" i="6"/>
  <c r="D8" i="6" s="1"/>
  <c r="B4" i="6"/>
  <c r="D4" i="6" s="1"/>
  <c r="G3" i="6"/>
  <c r="B5" i="6"/>
  <c r="D5" i="6" s="1"/>
  <c r="B6" i="6"/>
  <c r="D6" i="6" s="1"/>
  <c r="B12" i="6"/>
  <c r="D12" i="6" s="1"/>
  <c r="G4" i="6"/>
  <c r="F4" i="6"/>
  <c r="G5" i="6"/>
  <c r="B7" i="6"/>
  <c r="D7" i="6" s="1"/>
  <c r="B2" i="6"/>
  <c r="D2" i="6" s="1"/>
  <c r="F3" i="6"/>
  <c r="F2" i="6"/>
  <c r="B9" i="6"/>
  <c r="D9" i="6" s="1"/>
  <c r="B10" i="6"/>
  <c r="D10" i="6" s="1"/>
  <c r="G2" i="6"/>
  <c r="B3" i="6"/>
  <c r="D3" i="6" s="1"/>
  <c r="F5" i="6"/>
  <c r="B13" i="6"/>
  <c r="D13" i="6" s="1"/>
  <c r="B11" i="6"/>
  <c r="D11" i="6" s="1"/>
  <c r="F7" i="6"/>
  <c r="F6" i="6"/>
  <c r="F10" i="6"/>
  <c r="F11" i="6"/>
  <c r="F9" i="6"/>
  <c r="G6" i="6"/>
  <c r="G10" i="6"/>
  <c r="G11" i="6"/>
  <c r="G9" i="6"/>
  <c r="F8" i="6"/>
  <c r="F14" i="6"/>
  <c r="F12" i="6"/>
  <c r="F13" i="6"/>
  <c r="G8" i="6"/>
  <c r="G14" i="6"/>
  <c r="G12" i="6"/>
  <c r="G13" i="6"/>
  <c r="D18" i="2"/>
  <c r="E15" i="1"/>
  <c r="H7" i="6" l="1"/>
  <c r="I5" i="6"/>
  <c r="I3" i="6"/>
  <c r="I4" i="6"/>
  <c r="I8" i="6"/>
  <c r="I14" i="6"/>
  <c r="I11" i="6"/>
  <c r="I6" i="6"/>
  <c r="H11" i="6"/>
  <c r="H3" i="6"/>
  <c r="I13" i="6"/>
  <c r="I12" i="6"/>
  <c r="I9" i="6"/>
  <c r="I7" i="6"/>
  <c r="I2" i="6"/>
  <c r="I10" i="6"/>
  <c r="H10" i="6"/>
  <c r="H9" i="6"/>
  <c r="H5" i="6"/>
  <c r="H12" i="6"/>
  <c r="H14" i="6"/>
  <c r="H6" i="6"/>
  <c r="H2" i="6"/>
  <c r="H13" i="6"/>
  <c r="H8" i="6"/>
  <c r="H4" i="6"/>
  <c r="E18" i="2"/>
  <c r="C8" i="2"/>
  <c r="C7" i="2"/>
  <c r="C10" i="2"/>
  <c r="C9" i="2"/>
  <c r="C18" i="2" l="1"/>
  <c r="C9" i="1"/>
  <c r="H13" i="1"/>
  <c r="C15" i="1"/>
  <c r="B15" i="1"/>
  <c r="D15" i="1"/>
  <c r="B14" i="1"/>
  <c r="B6" i="1"/>
</calcChain>
</file>

<file path=xl/sharedStrings.xml><?xml version="1.0" encoding="utf-8"?>
<sst xmlns="http://schemas.openxmlformats.org/spreadsheetml/2006/main" count="482" uniqueCount="178">
  <si>
    <t>Virement</t>
  </si>
  <si>
    <t>Montant</t>
  </si>
  <si>
    <t>Prêt immo 1</t>
  </si>
  <si>
    <t>Prêt immo 2</t>
  </si>
  <si>
    <t>Prêt travaux</t>
  </si>
  <si>
    <t>Impots</t>
  </si>
  <si>
    <t>Eau</t>
  </si>
  <si>
    <t>ADSL</t>
  </si>
  <si>
    <t>Débit</t>
  </si>
  <si>
    <t>Crédit</t>
  </si>
  <si>
    <t>CAF</t>
  </si>
  <si>
    <t>Salaire Steph</t>
  </si>
  <si>
    <t>Free mobile</t>
  </si>
  <si>
    <t>Salaire nounou</t>
  </si>
  <si>
    <t>EDF</t>
  </si>
  <si>
    <t>Assurance habitation</t>
  </si>
  <si>
    <t>Assurance Picasso</t>
  </si>
  <si>
    <t>Promo</t>
  </si>
  <si>
    <t>Total</t>
  </si>
  <si>
    <t>Colonne1</t>
  </si>
  <si>
    <t>Date</t>
  </si>
  <si>
    <t>Nom</t>
  </si>
  <si>
    <t>Taxe foncière</t>
  </si>
  <si>
    <t>Taxe d'habitation</t>
  </si>
  <si>
    <t>Free ADSL</t>
  </si>
  <si>
    <t>Nouveau compte</t>
  </si>
  <si>
    <t>Encours CB</t>
  </si>
  <si>
    <t>Salaire</t>
  </si>
  <si>
    <t>Prêt immobilier</t>
  </si>
  <si>
    <t>Nounou</t>
  </si>
  <si>
    <t>Frais de compte</t>
  </si>
  <si>
    <t>X</t>
  </si>
  <si>
    <t>Reste</t>
  </si>
  <si>
    <t>?</t>
  </si>
  <si>
    <t>Initié</t>
  </si>
  <si>
    <t>Reste sur compte Aurélie pour l'instant</t>
  </si>
  <si>
    <t>A partager (Reste sur compte Aurélie pour l'instant)</t>
  </si>
  <si>
    <t>Objet</t>
  </si>
  <si>
    <t>Siège auto Elinor</t>
  </si>
  <si>
    <t>Encours compte commun</t>
  </si>
  <si>
    <t>Encours compte perso</t>
  </si>
  <si>
    <t>A faire</t>
  </si>
  <si>
    <t>Poubelles</t>
  </si>
  <si>
    <t>Chèque avocat</t>
  </si>
  <si>
    <t>Retrait (canapé)</t>
  </si>
  <si>
    <t>Reste fin de mois</t>
  </si>
  <si>
    <t>Mois</t>
  </si>
  <si>
    <t>Dépense</t>
  </si>
  <si>
    <t>Recette</t>
  </si>
  <si>
    <t>Salaire Juillet</t>
  </si>
  <si>
    <t>Salaire Aout</t>
  </si>
  <si>
    <t>Salaire Septembre</t>
  </si>
  <si>
    <t>Salaire Octobre</t>
  </si>
  <si>
    <t>Salaire Novembre</t>
  </si>
  <si>
    <t>Salaire Décembre</t>
  </si>
  <si>
    <t>CAF Juillet</t>
  </si>
  <si>
    <t>Caf Aout</t>
  </si>
  <si>
    <t>CAF Sept</t>
  </si>
  <si>
    <t>CAF Oct</t>
  </si>
  <si>
    <t>CAF Nov</t>
  </si>
  <si>
    <t>CAF Dec</t>
  </si>
  <si>
    <t>A partir du</t>
  </si>
  <si>
    <t>Jusqu'au</t>
  </si>
  <si>
    <t>Récurrent</t>
  </si>
  <si>
    <t>Bénéficiaire</t>
  </si>
  <si>
    <t>Avocat</t>
  </si>
  <si>
    <t>Aubert</t>
  </si>
  <si>
    <t>Garagiste</t>
  </si>
  <si>
    <t>Compa</t>
  </si>
  <si>
    <t>Attente retour banquier</t>
  </si>
  <si>
    <t>Type</t>
  </si>
  <si>
    <t>Statut</t>
  </si>
  <si>
    <t>Détails</t>
  </si>
  <si>
    <t>Succès</t>
  </si>
  <si>
    <t>SA VAL D ERDRE DISTR - ROUTE CHATEAUBRIANT  ST MARS LA JAILLE 44540</t>
  </si>
  <si>
    <t>SARL DROUET - 2 RUE DE LA RIGOTTIERE  ORVAULT 44700</t>
  </si>
  <si>
    <t>SAS ERDREDIS - ZAC DE LA BERANGERAIE  LA CHAPELLE SUR ERDRE 44240</t>
  </si>
  <si>
    <t>SARL BIOCOOP NANTES - 188 ROUTE DE RENNES  NANTES 44300</t>
  </si>
  <si>
    <t>SAS CRJ - 5 RUE DE L ERDRE  NORT SUR ERDRE 44390</t>
  </si>
  <si>
    <t>SAS ANCENIS DISTRIBUTION - ANCENIS CEDEX  ANCENIS CEDEX 44158</t>
  </si>
  <si>
    <t>SARL SOLECADIS - 23 RUE DES CHENES  RIAILLE 44440</t>
  </si>
  <si>
    <t>SARL BIO COOP MAUGES VAL DE LOIR - 104 RUE DU BOCAGE  ST GEREON 44150</t>
  </si>
  <si>
    <t>Tickets resto</t>
  </si>
  <si>
    <t>Avocat Provision 1 1/5</t>
  </si>
  <si>
    <t>Avocat Provision 1 2/5</t>
  </si>
  <si>
    <t>Avocat Provision 1 3/5</t>
  </si>
  <si>
    <t>Avocat Provision 1 4/5</t>
  </si>
  <si>
    <t>Free Mobile</t>
  </si>
  <si>
    <t>Avocat Provision 1 5/5</t>
  </si>
  <si>
    <t>Alim cpt courant</t>
  </si>
  <si>
    <t>Attente</t>
  </si>
  <si>
    <t>Free ADSL (old)</t>
  </si>
  <si>
    <t>Free mobile (non aidé)</t>
  </si>
  <si>
    <t>Vidange fosse septique</t>
  </si>
  <si>
    <t>Date incertaine</t>
  </si>
  <si>
    <t>CAF Allocation rentrée scolaire</t>
  </si>
  <si>
    <t>Encours</t>
  </si>
  <si>
    <t>Evol/Remarque</t>
  </si>
  <si>
    <t>Passé sur compte</t>
  </si>
  <si>
    <t>Compte</t>
  </si>
  <si>
    <t>Commun</t>
  </si>
  <si>
    <t>Perso</t>
  </si>
  <si>
    <t>Inactif</t>
  </si>
  <si>
    <t>Prêts immobilier</t>
  </si>
  <si>
    <t>Picasso 1/2</t>
  </si>
  <si>
    <t>Partagé</t>
  </si>
  <si>
    <t>Montant à payer</t>
  </si>
  <si>
    <t>Picasso 2/2</t>
  </si>
  <si>
    <t>Montant perçu</t>
  </si>
  <si>
    <t>M</t>
  </si>
  <si>
    <t>Remboursé</t>
  </si>
  <si>
    <t>Remboursable par A</t>
  </si>
  <si>
    <t>Remboursable par S</t>
  </si>
  <si>
    <t>Remboursable A</t>
  </si>
  <si>
    <t>Remboursable S</t>
  </si>
  <si>
    <t>Achat DD externe</t>
  </si>
  <si>
    <t>Impots (restitution)</t>
  </si>
  <si>
    <t>Magasin</t>
  </si>
  <si>
    <t>Total ticket</t>
  </si>
  <si>
    <t>Vêtements enfants</t>
  </si>
  <si>
    <t>Perso Steph</t>
  </si>
  <si>
    <t>Checksum</t>
  </si>
  <si>
    <t>Loisirs</t>
  </si>
  <si>
    <t>Château Angers</t>
  </si>
  <si>
    <t>Remboursable par A.</t>
  </si>
  <si>
    <t>Divers partagé</t>
  </si>
  <si>
    <t>Garage</t>
  </si>
  <si>
    <t>Hyper U La Rochelle</t>
  </si>
  <si>
    <t>Zoo Palmyre</t>
  </si>
  <si>
    <t>Nourriture/vie maison</t>
  </si>
  <si>
    <t>Super U Nort</t>
  </si>
  <si>
    <t>Leclerc Ancenis</t>
  </si>
  <si>
    <t>Au 28/07</t>
  </si>
  <si>
    <t>Free</t>
  </si>
  <si>
    <t>Conso extra Free</t>
  </si>
  <si>
    <t>Surconso téléphone</t>
  </si>
  <si>
    <t>Contrôle technique Picasso</t>
  </si>
  <si>
    <t>Cantine</t>
  </si>
  <si>
    <t>Périsco</t>
  </si>
  <si>
    <t>Persico enfants</t>
  </si>
  <si>
    <t>Remboursement mutuels</t>
  </si>
  <si>
    <t>Couple</t>
  </si>
  <si>
    <t>Remboursement Juillet 2020 (en cours commun + DD externe + retrait canapé + chèque avocat)</t>
  </si>
  <si>
    <t>Canapé + monnaie</t>
  </si>
  <si>
    <t>O</t>
  </si>
  <si>
    <t>Cantine enfants</t>
  </si>
  <si>
    <t>Jour</t>
  </si>
  <si>
    <t>Jour ce mois</t>
  </si>
  <si>
    <t>SA VAL D ERDRE D\ST MARS LA JAIL 44540 FR</t>
  </si>
  <si>
    <t>Chargement de votre carte ( 14 titres x 8,50 € )</t>
  </si>
  <si>
    <t>SAS TOQUENELLE - ROUTE DE NANTES  PUILBOREAU 17138</t>
  </si>
  <si>
    <t>SA COOP ATLANTIQUE - 4 RUE CARNOT  ST GEORGES DE DIDONNE 17110</t>
  </si>
  <si>
    <t>AU FOURNIL - 51 RUE DE LA REPUBLIQUE  ST GEORGES DE 17110</t>
  </si>
  <si>
    <t>SA COOP ATLANTIQUE - 68 AVENUE DU MARECHAL JUIN  ST GEORGES DE DIDONNE 17110</t>
  </si>
  <si>
    <t>SA COOP ATLANTIQUE - RTE DE NANTES  PUILBOREAU CEDEX 17285</t>
  </si>
  <si>
    <t>Chargement de votre carte ( 20 titres x 8,50 € )</t>
  </si>
  <si>
    <t>Chargement de votre carte ( 18 titres x 8,50 € )</t>
  </si>
  <si>
    <t>Chargement de votre carte ( 21 titres x 8,50 € )</t>
  </si>
  <si>
    <t>Au pif</t>
  </si>
  <si>
    <t>Récupéré</t>
  </si>
  <si>
    <t>Laissé</t>
  </si>
  <si>
    <t>Carrefour contact Riaillé</t>
  </si>
  <si>
    <t>Leclerc Grand Val</t>
  </si>
  <si>
    <t>Epargne</t>
  </si>
  <si>
    <t>Dépense totale</t>
  </si>
  <si>
    <t>Retrait monnaie</t>
  </si>
  <si>
    <t>Epargne François</t>
  </si>
  <si>
    <t>CAF Janvier</t>
  </si>
  <si>
    <t>Salaire Janvier</t>
  </si>
  <si>
    <t>CAF Fev</t>
  </si>
  <si>
    <t>Salaire Février</t>
  </si>
  <si>
    <t>CAF Mar</t>
  </si>
  <si>
    <t>Salaire Mars</t>
  </si>
  <si>
    <t>Chargement de votre carte ( 10 titres x 8,50 € )</t>
  </si>
  <si>
    <t>Kebab Riaillé</t>
  </si>
  <si>
    <t>Grand Val</t>
  </si>
  <si>
    <t>Boulangerie Orvault</t>
  </si>
  <si>
    <t>Chaussure Elinor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</si>
</sst>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0"/>
    <numFmt numFmtId="165" formatCode="mmm/yyyy"/>
    <numFmt numFmtId="166" formatCode="mmm\-yyyy"/>
    <numFmt numFmtId="167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0" xfId="0" applyNumberFormat="1" applyFont="1"/>
    <xf numFmtId="9" fontId="0" fillId="0" borderId="0" xfId="2" applyFont="1"/>
    <xf numFmtId="164" fontId="0" fillId="0" borderId="0" xfId="0" applyNumberFormat="1"/>
    <xf numFmtId="14" fontId="0" fillId="0" borderId="0" xfId="0" applyNumberFormat="1"/>
    <xf numFmtId="17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44" fontId="0" fillId="0" borderId="0" xfId="1" applyNumberFormat="1" applyFont="1"/>
    <xf numFmtId="0" fontId="0" fillId="0" borderId="0" xfId="3" applyNumberFormat="1" applyFont="1"/>
    <xf numFmtId="17" fontId="0" fillId="2" borderId="0" xfId="0" applyNumberFormat="1" applyFill="1"/>
    <xf numFmtId="0" fontId="0" fillId="2" borderId="0" xfId="3" applyNumberFormat="1" applyFont="1" applyFill="1"/>
    <xf numFmtId="8" fontId="0" fillId="0" borderId="0" xfId="1" applyNumberFormat="1" applyFont="1"/>
    <xf numFmtId="8" fontId="0" fillId="2" borderId="0" xfId="1" applyNumberFormat="1" applyFont="1" applyFill="1"/>
    <xf numFmtId="16" fontId="0" fillId="0" borderId="0" xfId="0" applyNumberFormat="1"/>
    <xf numFmtId="166" fontId="0" fillId="0" borderId="0" xfId="0" applyNumberFormat="1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wrapText="1"/>
    </xf>
    <xf numFmtId="8" fontId="0" fillId="0" borderId="0" xfId="0" applyNumberFormat="1"/>
    <xf numFmtId="0" fontId="0" fillId="0" borderId="0" xfId="0" applyNumberFormat="1"/>
  </cellXfs>
  <cellStyles count="4">
    <cellStyle name="Milliers" xfId="3" builtinId="3"/>
    <cellStyle name="Monétaire" xfId="1" builtinId="4"/>
    <cellStyle name="Normal" xfId="0" builtinId="0"/>
    <cellStyle name="Pourcentage" xfId="2" builtinId="5"/>
  </cellStyles>
  <dxfs count="54">
    <dxf>
      <alignment horizontal="center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numFmt numFmtId="19" formatCode="dd/mm/yyyy"/>
    </dxf>
    <dxf>
      <numFmt numFmtId="166" formatCode="m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66" formatCode="mmm\-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0C]_-;\-* #,##0.00\ [$€-40C]_-;_-* &quot;-&quot;??\ [$€-40C]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6" formatCode="mmm\-yyyy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#,##0.00\ &quot;€&quot;;[Red]\-#,##0.00\ &quot;€&quot;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164" formatCode="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Bilan!$C$1</c:f>
              <c:strCache>
                <c:ptCount val="1"/>
                <c:pt idx="0">
                  <c:v>Récurrent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Bilan!$A$2:$A$14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Bilan!$C$2:$C$14</c:f>
              <c:numCache>
                <c:formatCode>"€"#,##0.00_);[Red]\("€"#,##0.00\)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1276.5099999999998</c:v>
                </c:pt>
                <c:pt idx="5">
                  <c:v>1276.5099999999998</c:v>
                </c:pt>
                <c:pt idx="6">
                  <c:v>1276.5099999999998</c:v>
                </c:pt>
                <c:pt idx="7">
                  <c:v>1276.5099999999998</c:v>
                </c:pt>
                <c:pt idx="8">
                  <c:v>1229.51</c:v>
                </c:pt>
                <c:pt idx="9">
                  <c:v>1229.51</c:v>
                </c:pt>
                <c:pt idx="10">
                  <c:v>1259.51</c:v>
                </c:pt>
                <c:pt idx="11">
                  <c:v>1259.51</c:v>
                </c:pt>
                <c:pt idx="12">
                  <c:v>1259.51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C-4B21-8CF2-DFABF58C18B2}"/>
            </c:ext>
          </c:extLst>
        </c:ser>
        <c:ser>
          <c:idx val="2"/>
          <c:order val="2"/>
          <c:tx>
            <c:strRef>
              <c:f>Bilan!$D$1</c:f>
              <c:strCache>
                <c:ptCount val="1"/>
                <c:pt idx="0">
                  <c:v>Dépense totale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Bilan!$A$2:$A$14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Bilan!$D$2:$D$14</c:f>
              <c:numCache>
                <c:formatCode>"€"#,##0.00_);[Red]\("€"#,##0.00\)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2140.6099999999997</c:v>
                </c:pt>
                <c:pt idx="5">
                  <c:v>2323.3799999999997</c:v>
                </c:pt>
                <c:pt idx="6">
                  <c:v>1665.0999999999997</c:v>
                </c:pt>
                <c:pt idx="7">
                  <c:v>1502.5099999999998</c:v>
                </c:pt>
                <c:pt idx="8">
                  <c:v>1455.51</c:v>
                </c:pt>
                <c:pt idx="9">
                  <c:v>1239.51</c:v>
                </c:pt>
                <c:pt idx="10">
                  <c:v>1259.51</c:v>
                </c:pt>
                <c:pt idx="11">
                  <c:v>1259.51</c:v>
                </c:pt>
                <c:pt idx="12">
                  <c:v>1259.51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C-4B21-8CF2-DFABF58C18B2}"/>
            </c:ext>
          </c:extLst>
        </c:ser>
        <c:ser>
          <c:idx val="3"/>
          <c:order val="3"/>
          <c:tx>
            <c:strRef>
              <c:f>Bilan!$E$1</c:f>
              <c:strCache>
                <c:ptCount val="1"/>
                <c:pt idx="0">
                  <c:v>Recette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Bilan!$A$2:$A$14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Bilan!$E$2:$E$14</c:f>
              <c:numCache>
                <c:formatCode>"€"#,##0.00_);[Red]\("€"#,##0.00\)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2365.1999999999998</c:v>
                </c:pt>
                <c:pt idx="5">
                  <c:v>2186.0650000000001</c:v>
                </c:pt>
                <c:pt idx="6">
                  <c:v>2186.0650000000001</c:v>
                </c:pt>
                <c:pt idx="7">
                  <c:v>2158.2849999999999</c:v>
                </c:pt>
                <c:pt idx="8">
                  <c:v>2065.9749999999999</c:v>
                </c:pt>
                <c:pt idx="9">
                  <c:v>2065.9749999999999</c:v>
                </c:pt>
                <c:pt idx="10">
                  <c:v>2065.9749999999999</c:v>
                </c:pt>
                <c:pt idx="11">
                  <c:v>2065.9749999999999</c:v>
                </c:pt>
                <c:pt idx="12">
                  <c:v>2065.9749999999999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C-4B21-8CF2-DFABF58C18B2}"/>
            </c:ext>
          </c:extLst>
        </c:ser>
        <c:ser>
          <c:idx val="8"/>
          <c:order val="8"/>
          <c:tx>
            <c:strRef>
              <c:f>Bilan!$J$1</c:f>
              <c:strCache>
                <c:ptCount val="1"/>
                <c:pt idx="0">
                  <c:v>Tickets resto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Bilan!$A$2:$A$14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Bilan!$J$2:$J$14</c:f>
              <c:numCache>
                <c:formatCode>"€"#,##0.00_);[Red]\("€"#,##0.00\)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255.5</c:v>
                </c:pt>
                <c:pt idx="3">
                  <c:v>283.94000000000005</c:v>
                </c:pt>
                <c:pt idx="4">
                  <c:v>263.32000000000005</c:v>
                </c:pt>
                <c:pt idx="5">
                  <c:v>232.91000000000008</c:v>
                </c:pt>
                <c:pt idx="6">
                  <c:v>265.2600000000001</c:v>
                </c:pt>
                <c:pt idx="7">
                  <c:v>265.2600000000001</c:v>
                </c:pt>
                <c:pt idx="8">
                  <c:v>265.2600000000001</c:v>
                </c:pt>
                <c:pt idx="9">
                  <c:v>265.2600000000001</c:v>
                </c:pt>
                <c:pt idx="10">
                  <c:v>265.2600000000001</c:v>
                </c:pt>
                <c:pt idx="11">
                  <c:v>265.2600000000001</c:v>
                </c:pt>
                <c:pt idx="12">
                  <c:v>265.2600000000001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FC-4B21-8CF2-DFABF58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253535008"/>
        <c:axId val="253535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Bilan!$B$1</c15:sqref>
                        </c15:formulaRef>
                      </c:ext>
                    </c:extLst>
                    <c:strCache>
                      <c:ptCount val="1"/>
                      <c:pt idx="0">
                        <c:v>Dépense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Bilan!$B$2:$B$14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864.1</c:v>
                      </c:pt>
                      <c:pt idx="5">
                        <c:v>1046.8699999999999</c:v>
                      </c:pt>
                      <c:pt idx="6">
                        <c:v>388.59</c:v>
                      </c:pt>
                      <c:pt idx="7">
                        <c:v>226</c:v>
                      </c:pt>
                      <c:pt idx="8">
                        <c:v>226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FC-4B21-8CF2-DFABF58C18B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Bilan!$F$1</c15:sqref>
                        </c15:formulaRef>
                      </c:ext>
                    </c:extLst>
                    <c:strCache>
                      <c:ptCount val="1"/>
                      <c:pt idx="0">
                        <c:v>Remboursable 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Bilan!$F$2:$F$14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115.995</c:v>
                      </c:pt>
                      <c:pt idx="5">
                        <c:v>113.15</c:v>
                      </c:pt>
                      <c:pt idx="6">
                        <c:v>158.77000000000001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FC-4B21-8CF2-DFABF58C18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Bilan!$G$1</c15:sqref>
                        </c15:formulaRef>
                      </c:ext>
                    </c:extLst>
                    <c:strCache>
                      <c:ptCount val="1"/>
                      <c:pt idx="0">
                        <c:v>Remboursable 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Bilan!$G$2:$G$14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99.99</c:v>
                      </c:pt>
                      <c:pt idx="4">
                        <c:v>272.38</c:v>
                      </c:pt>
                      <c:pt idx="5">
                        <c:v>0</c:v>
                      </c:pt>
                      <c:pt idx="6">
                        <c:v>65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FC-4B21-8CF2-DFABF58C18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Bilan!$H$1</c15:sqref>
                        </c15:formulaRef>
                      </c:ext>
                    </c:extLst>
                    <c:strCache>
                      <c:ptCount val="1"/>
                      <c:pt idx="0">
                        <c:v>Reste fin de mois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Bilan!$H$2:$H$14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224.59000000000015</c:v>
                      </c:pt>
                      <c:pt idx="5">
                        <c:v>-137.3149999999996</c:v>
                      </c:pt>
                      <c:pt idx="6">
                        <c:v>520.96500000000037</c:v>
                      </c:pt>
                      <c:pt idx="7">
                        <c:v>655.77500000000009</c:v>
                      </c:pt>
                      <c:pt idx="8">
                        <c:v>610.46499999999992</c:v>
                      </c:pt>
                      <c:pt idx="9">
                        <c:v>826.46499999999992</c:v>
                      </c:pt>
                      <c:pt idx="10">
                        <c:v>806.46499999999992</c:v>
                      </c:pt>
                      <c:pt idx="11">
                        <c:v>806.46499999999992</c:v>
                      </c:pt>
                      <c:pt idx="12">
                        <c:v>806.46499999999992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FC-4B21-8CF2-DFABF58C18B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Bilan!$I$1</c15:sqref>
                        </c15:formulaRef>
                      </c:ext>
                    </c:extLst>
                    <c:strCache>
                      <c:ptCount val="1"/>
                      <c:pt idx="0">
                        <c:v>Remboursement mutuels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Bilan!$I$2:$I$14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-99.99</c:v>
                      </c:pt>
                      <c:pt idx="4">
                        <c:v>-156.38499999999999</c:v>
                      </c:pt>
                      <c:pt idx="5">
                        <c:v>113.15</c:v>
                      </c:pt>
                      <c:pt idx="6">
                        <c:v>93.77000000000001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FC-4B21-8CF2-DFABF58C18B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Bilan!$K$1</c15:sqref>
                        </c15:formulaRef>
                      </c:ext>
                    </c:extLst>
                    <c:strCache>
                      <c:ptCount val="1"/>
                      <c:pt idx="0">
                        <c:v>Epargne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Bilan!$K$2:$K$14</c15:sqref>
                        </c15:formulaRef>
                      </c:ext>
                    </c:extLst>
                    <c:numCache>
                      <c:formatCode>"€"#,##0.00_);[Red]\("€"#,##0.00\)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-300</c:v>
                      </c:pt>
                      <c:pt idx="5">
                        <c:v>200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FC-4B21-8CF2-DFABF58C18B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Bilan!$L$1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Bilan!$A$2:$A$14</c15:sqref>
                        </c15:formulaRef>
                      </c:ext>
                    </c:extLst>
                    <c:numCache>
                      <c:formatCode>mmm\-yy</c:formatCode>
                      <c:ptCount val="13"/>
                      <c:pt idx="0">
                        <c:v>43891</c:v>
                      </c:pt>
                      <c:pt idx="1">
                        <c:v>43922</c:v>
                      </c:pt>
                      <c:pt idx="2">
                        <c:v>43952</c:v>
                      </c:pt>
                      <c:pt idx="3">
                        <c:v>43983</c:v>
                      </c:pt>
                      <c:pt idx="4">
                        <c:v>44013</c:v>
                      </c:pt>
                      <c:pt idx="5">
                        <c:v>44044</c:v>
                      </c:pt>
                      <c:pt idx="6">
                        <c:v>44075</c:v>
                      </c:pt>
                      <c:pt idx="7">
                        <c:v>44105</c:v>
                      </c:pt>
                      <c:pt idx="8">
                        <c:v>44136</c:v>
                      </c:pt>
                      <c:pt idx="9">
                        <c:v>44166</c:v>
                      </c:pt>
                      <c:pt idx="10">
                        <c:v>44197</c:v>
                      </c:pt>
                      <c:pt idx="11">
                        <c:v>44228</c:v>
                      </c:pt>
                      <c:pt idx="12">
                        <c:v>44256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Bilan!$L$2:$L$14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FC-4B21-8CF2-DFABF58C18B2}"/>
                  </c:ext>
                </c:extLst>
              </c15:ser>
            </c15:filteredLineSeries>
          </c:ext>
        </c:extLst>
      </c:lineChart>
      <c:dateAx>
        <c:axId val="253535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535664"/>
        <c:crosses val="autoZero"/>
        <c:auto val="1"/>
        <c:lblOffset val="100"/>
        <c:baseTimeUnit val="months"/>
      </c:dateAx>
      <c:valAx>
        <c:axId val="2535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&quot;€&quot;#,##0.00_);[Red]\(&quot;€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5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</xdr:row>
      <xdr:rowOff>85725</xdr:rowOff>
    </xdr:from>
    <xdr:to>
      <xdr:col>12</xdr:col>
      <xdr:colOff>28575</xdr:colOff>
      <xdr:row>39</xdr:row>
      <xdr:rowOff>76201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10557D-48A8-4084-A8B6-D23F3CEBA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3DB80-A4AC-48FC-B522-F2BB551FB7FF}" name="Tableau1" displayName="Tableau1" ref="A1:E15" totalsRowCount="1">
  <autoFilter ref="A1:E14" xr:uid="{1BACF8D5-37FD-4968-B2C0-6C9A34CAA4D4}"/>
  <tableColumns count="5">
    <tableColumn id="1" xr3:uid="{820D843F-0228-4C5C-9AB7-E9AC8061BC74}" name="Virement" totalsRowLabel="Total"/>
    <tableColumn id="2" xr3:uid="{22FAD48C-8328-4726-902A-91D6537A533E}" name="Débit" totalsRowFunction="sum" dataDxfId="53" totalsRowDxfId="52" dataCellStyle="Monétaire"/>
    <tableColumn id="3" xr3:uid="{DF2B271A-AF33-42AB-B099-D0A22AE42BAB}" name="Crédit" totalsRowFunction="sum" dataDxfId="51" totalsRowDxfId="50" dataCellStyle="Monétaire"/>
    <tableColumn id="4" xr3:uid="{A74C29E1-9FAE-4EA3-B924-426B7AB32390}" name="Promo" totalsRowFunction="sum" totalsRowDxfId="49" dataCellStyle="Monétaire"/>
    <tableColumn id="5" xr3:uid="{DAC8206E-745B-40EB-9EC7-3AAC6800DB7B}" name="Colonne1" totalsRowFunction="custom" totalsRowDxfId="48">
      <totalsRowFormula>Tableau1[[#Totals],[Crédit]]-Tableau1[[#Totals],[Débit]]</totalsRow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ACAFD7-1011-41CF-ADD2-651EB6EF36F5}" name="Tableau2" displayName="Tableau2" ref="A1:E18" totalsRowCount="1">
  <autoFilter ref="A1:E17" xr:uid="{1F45352F-48A9-462C-92AC-A6E607D43078}"/>
  <sortState xmlns:xlrd2="http://schemas.microsoft.com/office/spreadsheetml/2017/richdata2" ref="A2:E17">
    <sortCondition ref="A1:A17"/>
  </sortState>
  <tableColumns count="5">
    <tableColumn id="1" xr3:uid="{7064C887-FC70-4881-A588-834C07956512}" name="Date" totalsRowLabel="Reste" dataDxfId="47"/>
    <tableColumn id="2" xr3:uid="{C58F3C45-91D7-4013-B00F-BF5D27677AD4}" name="Nom"/>
    <tableColumn id="3" xr3:uid="{D89904B8-8693-42D7-8BD9-9841232946EA}" name="Montant" totalsRowFunction="sum" totalsRowDxfId="46" dataCellStyle="Monétaire"/>
    <tableColumn id="6" xr3:uid="{6565715B-65A7-4B75-B6B9-DDF329F95035}" name="Initié" totalsRowFunction="custom" dataDxfId="45" dataCellStyle="Monétaire">
      <totalsRowFormula>CONCATENATE(COUNTIF(Tableau2[Initié],"X"), "/", ROWS(Tableau2[Initié]))</totalsRowFormula>
    </tableColumn>
    <tableColumn id="4" xr3:uid="{3F77839F-16F0-49AB-B811-A79E8C11FF95}" name="Nouveau compte" totalsRowFunction="custom">
      <totalsRowFormula>CONCATENATE(COUNTIF(Tableau2[Nouveau compte],"X"), "/", ROWS(Tableau2[Nouveau compte]))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E4A428-070E-4A8D-A7A3-9D80CA392EF0}" name="Bilan" displayName="Bilan" ref="A1:L14" totalsRowShown="0">
  <autoFilter ref="A1:L14" xr:uid="{5B5D90D9-ED53-401E-A447-B736C6173554}"/>
  <tableColumns count="12">
    <tableColumn id="1" xr3:uid="{C9CB1A24-779E-4F57-AE3D-07B758BB70E3}" name="Mois" dataDxfId="44"/>
    <tableColumn id="2" xr3:uid="{AC912BC7-F2FE-43C5-95A5-D6A269EAD50D}" name="Dépense" dataDxfId="43" dataCellStyle="Monétaire">
      <calculatedColumnFormula>SUMIF(depense[Mois],Bilan[[#This Row],[Mois]],depense[Montant à payer])-SUMIFS(depense[Montant à payer],depense[Mois],Bilan[[#This Row],[Mois]],depense[Encours],"X")-SUMIFS(depense[Montant à payer],depense[Mois],Bilan[[#This Row],[Mois]],depense[Compte],"Commun")</calculatedColumnFormula>
    </tableColumn>
    <tableColumn id="6" xr3:uid="{ACE3C0AC-3432-4132-9419-1C4C1DD73384}" name="Récurrent" dataDxfId="42" dataCellStyle="Monétaire">
      <calculatedColumnFormula>SUMIFS(prelev[Montant],prelev[A partir du],CONCATENATE("&lt;=",Bilan[[#This Row],[Mois]]),prelev[Jusqu''au],CONCATENATE("&gt;=",Bilan[[#This Row],[Mois]]))</calculatedColumnFormula>
    </tableColumn>
    <tableColumn id="12" xr3:uid="{E27CAC91-F1E9-4DF9-A617-F6319F6A08B7}" name="Dépense totale" dataDxfId="41" dataCellStyle="Monétaire">
      <calculatedColumnFormula>Bilan[[#This Row],[Dépense]]+Bilan[[#This Row],[Récurrent]]</calculatedColumnFormula>
    </tableColumn>
    <tableColumn id="4" xr3:uid="{55DCED50-E295-4AE8-8063-C3D157B792F6}" name="Recette" dataDxfId="40" dataCellStyle="Monétaire">
      <calculatedColumnFormula>SUMIF(recette[Mois],Bilan[[#This Row],[Mois]],recette[Montant perçu])</calculatedColumnFormula>
    </tableColumn>
    <tableColumn id="10" xr3:uid="{B9691676-B48B-4FD4-87A7-2F39A5C4EBE2}" name="Remboursable A" dataDxfId="39" dataCellStyle="Monétaire">
      <calculatedColumnFormula>SUMIF(depense[Mois],Bilan[[#This Row],[Mois]],depense[Remboursable par A])</calculatedColumnFormula>
    </tableColumn>
    <tableColumn id="9" xr3:uid="{D4419435-16DF-4338-AD53-C071AAF9ED63}" name="Remboursable S" dataDxfId="38" dataCellStyle="Monétaire">
      <calculatedColumnFormula>SUMIF(depense[Mois],Bilan[[#This Row],[Mois]],depense[Remboursable par S])</calculatedColumnFormula>
    </tableColumn>
    <tableColumn id="11" xr3:uid="{EC419AA7-897E-4E06-89A5-FCC3A99CF7E1}" name="Reste fin de mois" dataDxfId="37" dataCellStyle="Monétaire">
      <calculatedColumnFormula>Bilan[[#This Row],[Recette]]-Bilan[[#This Row],[Dépense]]-Bilan[[#This Row],[Récurrent]]</calculatedColumnFormula>
    </tableColumn>
    <tableColumn id="3" xr3:uid="{3042554B-2028-4177-B395-3818646D9A8D}" name="Remboursement mutuels" dataDxfId="36" dataCellStyle="Monétaire">
      <calculatedColumnFormula>Bilan[[#This Row],[Remboursable A]]-Bilan[[#This Row],[Remboursable S]]</calculatedColumnFormula>
    </tableColumn>
    <tableColumn id="5" xr3:uid="{C65CB30E-D5BB-49B4-9249-3FEAEC75D960}" name="Tickets resto" dataDxfId="35" dataCellStyle="Monétaire">
      <calculatedColumnFormula>SUMIF(TicketResto[Date],CONCATENATE("&lt;",DATE(YEAR(Bilan[[#This Row],[Mois]]), MONTH(Bilan[[#This Row],[Mois]])+1, DAY(Bilan[[#This Row],[Mois]])-1)),TicketResto[Montant])</calculatedColumnFormula>
    </tableColumn>
    <tableColumn id="7" xr3:uid="{5FAEFE27-93E9-4CCB-BFA5-14354A0DACAA}" name="Epargne" dataDxfId="34" dataCellStyle="Monétaire">
      <calculatedColumnFormula>SUMIF(epargne[Colonne1],Bilan[[#This Row],[Mois]],epargne[Montant])</calculatedColumnFormula>
    </tableColumn>
    <tableColumn id="8" xr3:uid="{F77A3181-E85A-4ECC-807B-0F3A6D7A1EB0}" name="M" dataDxfId="33" dataCellStyle="Millier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0B39DC-E72F-4A5A-A0CF-F5326A79CC7C}" name="depense" displayName="depense" ref="A1:N34" totalsRowShown="0" tableBorderDxfId="32">
  <autoFilter ref="A1:N34" xr:uid="{BEEFB59B-902C-4546-A90E-478D6D81A184}"/>
  <sortState xmlns:xlrd2="http://schemas.microsoft.com/office/spreadsheetml/2017/richdata2" ref="A2:N34">
    <sortCondition ref="A1:A34"/>
  </sortState>
  <tableColumns count="14">
    <tableColumn id="1" xr3:uid="{220D6108-D130-47DE-ACBD-0D7F5CF9F84C}" name="Mois" dataDxfId="31">
      <calculatedColumnFormula>DATE(YEAR(depense[[#This Row],[Date]]),MONTH(depense[[#This Row],[Date]]),1)</calculatedColumnFormula>
    </tableColumn>
    <tableColumn id="2" xr3:uid="{67E5D38A-7E82-4353-B360-0AE9505818D5}" name="Date" dataDxfId="30"/>
    <tableColumn id="8" xr3:uid="{D0E48560-B82C-4E8D-93D7-611FD41F0304}" name="Compte" dataDxfId="29"/>
    <tableColumn id="7" xr3:uid="{AD86056D-C6FB-4ACD-888A-B5079E5BB736}" name="Bénéficiaire" dataDxfId="28" dataCellStyle="Monétaire"/>
    <tableColumn id="3" xr3:uid="{5D143A22-A934-40B0-8520-2BD7A3BA7759}" name="Objet" dataDxfId="27"/>
    <tableColumn id="4" xr3:uid="{8AF869A1-57AC-47F5-9BC9-B1428E80285F}" name="Montant" dataDxfId="26" dataCellStyle="Monétaire"/>
    <tableColumn id="14" xr3:uid="{BE12671F-3FB0-413F-8B86-514E0708261F}" name="Encours" dataDxfId="25" dataCellStyle="Monétaire"/>
    <tableColumn id="9" xr3:uid="{6E7511B6-BC21-4A70-815B-FC023341DD81}" name="Partagé" dataDxfId="24" dataCellStyle="Monétaire"/>
    <tableColumn id="10" xr3:uid="{FE68E590-0C6E-401C-B1B8-2F6AF869A9BA}" name="Montant à payer" dataDxfId="23" dataCellStyle="Monétaire">
      <calculatedColumnFormula>IF(depense[[#This Row],[Partagé]]&lt;&gt;"X",depense[[#This Row],[Montant]],depense[[#This Row],[Montant]]/2)</calculatedColumnFormula>
    </tableColumn>
    <tableColumn id="11" xr3:uid="{1085B6E0-1996-46B7-A716-ECF90AC9AF15}" name="Remboursable par A" dataDxfId="22" dataCellStyle="Monétaire">
      <calculatedColumnFormula>IF(AND(depense[[#This Row],[Partagé]]="X",depense[[#This Row],[Compte]]="Perso"),depense[[#This Row],[Montant à payer]],0)</calculatedColumnFormula>
    </tableColumn>
    <tableColumn id="13" xr3:uid="{624D279E-362D-43ED-8DA2-A45B6A923126}" name="Remboursable par S" dataDxfId="21" dataCellStyle="Monétaire">
      <calculatedColumnFormula>IF(OR(AND(depense[[#This Row],[Partagé]]="X",depense[[#This Row],[Compte]]&lt;&gt;"Perso"),depense[[#This Row],[Compte]]="Commun"),depense[[#This Row],[Montant à payer]],0)</calculatedColumnFormula>
    </tableColumn>
    <tableColumn id="12" xr3:uid="{8E3A05DC-638B-4954-B32E-35B112694103}" name="Remboursé" dataDxfId="20" dataCellStyle="Monétaire"/>
    <tableColumn id="5" xr3:uid="{C68A1CC7-4AF0-4919-B73E-69BF20934081}" name="Passé sur compte"/>
    <tableColumn id="6" xr3:uid="{1C677ED5-5825-4F33-8D9E-5E957A4B6A4E}" name="Evol/Remarqu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B1F766-C342-427D-B2B2-24EC469491A6}" name="prelev" displayName="prelev" ref="A1:G16" totalsRowShown="0">
  <autoFilter ref="A1:G16" xr:uid="{14C981B2-9836-4272-9091-21DD6F733493}"/>
  <sortState xmlns:xlrd2="http://schemas.microsoft.com/office/spreadsheetml/2017/richdata2" ref="A2:E15">
    <sortCondition ref="A1:A15"/>
  </sortState>
  <tableColumns count="7">
    <tableColumn id="1" xr3:uid="{B9BEDCD6-B0E1-46EB-90D2-D0B03FE7A597}" name="Nom"/>
    <tableColumn id="2" xr3:uid="{B5A4BB6D-1432-4653-AB93-8D3BC11843BB}" name="Montant" dataCellStyle="Monétaire"/>
    <tableColumn id="5" xr3:uid="{86E0C7DF-1276-4EAA-987A-2D432CB8EC70}" name="A partir du" dataDxfId="19"/>
    <tableColumn id="6" xr3:uid="{4645BB2D-DB37-435A-9C68-E32D3D86E7D1}" name="Jusqu'au" dataDxfId="18"/>
    <tableColumn id="3" xr3:uid="{721C3EDC-C81B-4C7E-B29A-55B876424DBD}" name="Inactif" dataDxfId="17">
      <calculatedColumnFormula>IF(OR(prelev[[#This Row],[A partir du]]&gt;TODAY(),prelev[[#This Row],[Jusqu''au]]&lt;TODAY()),"X","")</calculatedColumnFormula>
    </tableColumn>
    <tableColumn id="4" xr3:uid="{F5D56337-27F8-4989-B3E8-429E3240273C}" name="Jour"/>
    <tableColumn id="7" xr3:uid="{9F941334-7D25-42DB-8041-C08D02EB559A}" name="Jour ce mois" dataDxfId="16">
      <calculatedColumnFormula>DATE(YEAR(TODAY()),MONTH(TODAY()),prelev[[#This Row],[Jour]])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3E584-92A2-42CB-926F-453E36891C5A}" name="recette" displayName="recette" ref="A1:I22" totalsRowShown="0">
  <autoFilter ref="A1:I22" xr:uid="{FA13E025-2202-4701-A9EE-E88EAFE39D9A}"/>
  <sortState xmlns:xlrd2="http://schemas.microsoft.com/office/spreadsheetml/2017/richdata2" ref="A2:I20">
    <sortCondition ref="B1:B20"/>
  </sortState>
  <tableColumns count="9">
    <tableColumn id="1" xr3:uid="{FB3DF7CF-EE7D-4FAA-A651-DE1B66FFE577}" name="Mois" dataDxfId="15">
      <calculatedColumnFormula>DATE(YEAR(recette[[#This Row],[Date]]),MONTH(recette[[#This Row],[Date]]),1)</calculatedColumnFormula>
    </tableColumn>
    <tableColumn id="2" xr3:uid="{9250F191-2A00-44C4-BC04-BD76468E356C}" name="Date" dataDxfId="14"/>
    <tableColumn id="8" xr3:uid="{1210CD54-C94C-4AD7-BD6F-1F6691DCF05E}" name="Compte" dataDxfId="13"/>
    <tableColumn id="3" xr3:uid="{41026E7F-A885-4466-A09E-31E368B990E3}" name="Objet"/>
    <tableColumn id="4" xr3:uid="{81564C16-A927-4F99-91E5-757406F7AC34}" name="Montant" dataCellStyle="Monétaire"/>
    <tableColumn id="6" xr3:uid="{480CDB18-9DFB-498E-9AB0-8C0A1D4A3943}" name="Partagé" dataDxfId="12" dataCellStyle="Monétaire"/>
    <tableColumn id="7" xr3:uid="{86141AA5-C355-478F-A6A9-EC27CC407084}" name="Montant perçu" dataDxfId="11" dataCellStyle="Monétaire">
      <calculatedColumnFormula>IF(recette[[#This Row],[Partagé]]&lt;&gt;"X",recette[[#This Row],[Montant]],recette[[#This Row],[Montant]]/2)</calculatedColumnFormula>
    </tableColumn>
    <tableColumn id="9" xr3:uid="{BD983A52-3CE4-44BF-83A6-DE76EBE92BA7}" name="Récupéré" dataDxfId="10" dataCellStyle="Monétaire"/>
    <tableColumn id="5" xr3:uid="{B08425A8-5C85-4966-BB54-250B6482CDE9}" name="Attente" dataCellStyle="Monétaire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D6242D-D13F-4659-B70F-25C92431186A}" name="epargne" displayName="epargne" ref="A1:D4" totalsRowShown="0">
  <autoFilter ref="A1:D4" xr:uid="{66E54F53-3965-4604-A06C-071954FEDDD1}"/>
  <tableColumns count="4">
    <tableColumn id="1" xr3:uid="{F4BBC2F6-6EC2-44E9-B9F8-A833C966C195}" name="Colonne1" dataDxfId="9">
      <calculatedColumnFormula>DATE(YEAR(epargne[[#This Row],[Date]]),MONTH(epargne[[#This Row],[Date]]),1)</calculatedColumnFormula>
    </tableColumn>
    <tableColumn id="4" xr3:uid="{C7182875-5B4C-4912-8D6B-2BE0726658BC}" name="Date" dataDxfId="8"/>
    <tableColumn id="2" xr3:uid="{337BAF01-1EEB-4334-94CF-5ED76171C302}" name="Objet"/>
    <tableColumn id="3" xr3:uid="{F56ED4A2-CFB8-48C7-A9AB-59C21D628781}" name="Montant" dataDxfId="7" dataCellStyle="Monétaire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EB1E4-738F-4CCC-8221-00721EC7B1D1}" name="TicketResto" displayName="TicketResto" ref="A1:E46" totalsRowShown="0">
  <autoFilter ref="A1:E46" xr:uid="{575A5740-18DB-4169-9EC1-A901D1C29CCA}"/>
  <sortState xmlns:xlrd2="http://schemas.microsoft.com/office/spreadsheetml/2017/richdata2" ref="A2:E37">
    <sortCondition ref="A1:A37"/>
  </sortState>
  <tableColumns count="5">
    <tableColumn id="1" xr3:uid="{73D2F414-0BFC-429A-9EB1-52DF19D3871B}" name="Date" dataDxfId="6"/>
    <tableColumn id="2" xr3:uid="{50DA1789-23F5-4766-A0CC-D0627070B79E}" name="Type"/>
    <tableColumn id="3" xr3:uid="{CBBB858F-72C6-4460-A506-0753ECE39D63}" name="Statut"/>
    <tableColumn id="4" xr3:uid="{C1D6B631-FBB7-4AAD-9D45-0EA14087E43A}" name="Montant" dataDxfId="5" dataCellStyle="Monétaire"/>
    <tableColumn id="5" xr3:uid="{497CE908-A418-442B-88AD-0A6602246DE9}" name="Détail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EC51AE-5F8C-4B08-9FE2-F40D2FFD8C39}" name="Tableau4" displayName="Tableau4" ref="A1:K14" totalsRowShown="0">
  <autoFilter ref="A1:K14" xr:uid="{6416E98F-7B7C-44D9-BA0D-77C8BB44EA64}"/>
  <sortState xmlns:xlrd2="http://schemas.microsoft.com/office/spreadsheetml/2017/richdata2" ref="A2:J15">
    <sortCondition ref="A1:A15"/>
  </sortState>
  <tableColumns count="11">
    <tableColumn id="1" xr3:uid="{8ACC0DA9-B925-486A-A777-FD73DA30621E}" name="Date"/>
    <tableColumn id="2" xr3:uid="{1EB5C0B0-696D-48AA-BBFB-28FD0A8BF730}" name="Magasin"/>
    <tableColumn id="3" xr3:uid="{631DC046-CD46-4A0A-BAD2-11BE3E199881}" name="Total ticket" dataCellStyle="Monétaire"/>
    <tableColumn id="4" xr3:uid="{195E737C-E4A8-4FB5-8CEE-17A338293635}" name="Nourriture/vie maison" dataCellStyle="Monétaire"/>
    <tableColumn id="5" xr3:uid="{0FA92713-761E-4C37-85BD-ECF37E40A434}" name="Vêtements enfants" dataCellStyle="Monétaire"/>
    <tableColumn id="10" xr3:uid="{A4E28127-F423-4A9C-841C-5F9A5BE3F766}" name="Divers partagé" dataCellStyle="Monétaire"/>
    <tableColumn id="6" xr3:uid="{AEFA644F-47E4-4406-A419-E9664499287F}" name="Loisirs" dataCellStyle="Monétaire"/>
    <tableColumn id="7" xr3:uid="{2E0021FB-AFAD-4DDB-9D9D-CE47669E548F}" name="Perso Steph" dataCellStyle="Monétaire"/>
    <tableColumn id="8" xr3:uid="{3ED7193A-11FD-4031-B565-2D0BAD7F3D8D}" name="Checksum" dataDxfId="2">
      <calculatedColumnFormula>IF(Tableau4[[#This Row],[Total ticket]]&lt;&gt;0,IF(Tableau4[[#This Row],[Total ticket]]=SUM(Tableau4[[#This Row],[Nourriture/vie maison]:[Perso Steph]]),TRUE,FALSE),"")</calculatedColumnFormula>
    </tableColumn>
    <tableColumn id="9" xr3:uid="{A638F0F7-556B-496B-91E1-5B6F8B6E4987}" name="Remboursable par A." dataDxfId="1" dataCellStyle="Monétaire">
      <calculatedColumnFormula>SUM(Tableau4[[#This Row],[Nourriture/vie maison]:[Divers partagé]])/2</calculatedColumnFormula>
    </tableColumn>
    <tableColumn id="11" xr3:uid="{901AFDFC-0DC3-439A-8721-18432E4B27B5}" name="Remboursé" dataDxfId="0" dataCellStyle="Moné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6DC1-9B39-44E6-AA83-4EF513C261EC}">
  <dimension ref="A1:H40"/>
  <sheetViews>
    <sheetView workbookViewId="0">
      <selection activeCell="B2" sqref="B2:B14"/>
    </sheetView>
  </sheetViews>
  <sheetFormatPr baseColWidth="10" defaultRowHeight="15" x14ac:dyDescent="0.25"/>
  <cols>
    <col min="1" max="1" width="19.710937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17</v>
      </c>
      <c r="E1" t="s">
        <v>19</v>
      </c>
    </row>
    <row r="2" spans="1:8" x14ac:dyDescent="0.25">
      <c r="A2" t="s">
        <v>2</v>
      </c>
      <c r="B2" s="1">
        <v>453.87</v>
      </c>
      <c r="C2" s="1"/>
      <c r="D2" s="1"/>
    </row>
    <row r="3" spans="1:8" x14ac:dyDescent="0.25">
      <c r="A3" t="s">
        <v>3</v>
      </c>
      <c r="B3" s="1">
        <v>219.06</v>
      </c>
      <c r="C3" s="1"/>
      <c r="D3" s="1"/>
    </row>
    <row r="4" spans="1:8" x14ac:dyDescent="0.25">
      <c r="A4" t="s">
        <v>4</v>
      </c>
      <c r="B4" s="1">
        <v>148.57</v>
      </c>
      <c r="C4" s="1"/>
      <c r="D4" s="1"/>
    </row>
    <row r="5" spans="1:8" x14ac:dyDescent="0.25">
      <c r="A5" t="s">
        <v>12</v>
      </c>
      <c r="B5" s="1">
        <v>2</v>
      </c>
      <c r="C5" s="1"/>
      <c r="D5" s="1">
        <v>-2</v>
      </c>
    </row>
    <row r="6" spans="1:8" x14ac:dyDescent="0.25">
      <c r="A6" t="s">
        <v>5</v>
      </c>
      <c r="B6" s="1">
        <f>28+35</f>
        <v>63</v>
      </c>
      <c r="C6" s="1"/>
      <c r="D6" s="1"/>
    </row>
    <row r="7" spans="1:8" x14ac:dyDescent="0.25">
      <c r="A7" t="s">
        <v>6</v>
      </c>
      <c r="B7" s="1">
        <v>33.119999999999997</v>
      </c>
      <c r="C7" s="1"/>
      <c r="D7" s="1"/>
    </row>
    <row r="8" spans="1:8" x14ac:dyDescent="0.25">
      <c r="A8" t="s">
        <v>7</v>
      </c>
      <c r="B8" s="1">
        <v>29.99</v>
      </c>
      <c r="C8" s="1"/>
      <c r="D8" s="1">
        <v>-20</v>
      </c>
    </row>
    <row r="9" spans="1:8" x14ac:dyDescent="0.25">
      <c r="A9" t="s">
        <v>10</v>
      </c>
      <c r="B9" s="1"/>
      <c r="C9" s="1">
        <f>316.57/2</f>
        <v>158.285</v>
      </c>
      <c r="D9" s="1"/>
    </row>
    <row r="10" spans="1:8" x14ac:dyDescent="0.25">
      <c r="A10" t="s">
        <v>11</v>
      </c>
      <c r="B10" s="1"/>
      <c r="C10" s="1">
        <v>2020</v>
      </c>
      <c r="D10" s="1"/>
    </row>
    <row r="11" spans="1:8" x14ac:dyDescent="0.25">
      <c r="A11" t="s">
        <v>13</v>
      </c>
      <c r="B11" s="1">
        <v>43.05</v>
      </c>
      <c r="C11" s="1"/>
      <c r="D11" s="1"/>
    </row>
    <row r="12" spans="1:8" x14ac:dyDescent="0.25">
      <c r="A12" t="s">
        <v>14</v>
      </c>
      <c r="B12" s="1">
        <v>211.18</v>
      </c>
      <c r="C12" s="1"/>
      <c r="D12" s="1"/>
    </row>
    <row r="13" spans="1:8" x14ac:dyDescent="0.25">
      <c r="A13" t="s">
        <v>15</v>
      </c>
      <c r="B13" s="1">
        <v>24.05</v>
      </c>
      <c r="C13" s="1"/>
      <c r="D13" s="1"/>
      <c r="H13" s="4">
        <f>SUM(B2:B4)/(C10+C9+C11)</f>
        <v>0.37713155073831023</v>
      </c>
    </row>
    <row r="14" spans="1:8" x14ac:dyDescent="0.25">
      <c r="A14" t="s">
        <v>16</v>
      </c>
      <c r="B14" s="1">
        <f>461.31/12</f>
        <v>38.442500000000003</v>
      </c>
      <c r="C14" s="1"/>
      <c r="D14" s="1"/>
    </row>
    <row r="15" spans="1:8" x14ac:dyDescent="0.25">
      <c r="A15" t="s">
        <v>18</v>
      </c>
      <c r="B15" s="3">
        <f>SUBTOTAL(109,Tableau1[Débit])</f>
        <v>1266.3325</v>
      </c>
      <c r="C15" s="3">
        <f>SUBTOTAL(109,Tableau1[Crédit])</f>
        <v>2178.2849999999999</v>
      </c>
      <c r="D15" s="2">
        <f>SUBTOTAL(109,Tableau1[Promo])</f>
        <v>-22</v>
      </c>
      <c r="E15" s="2">
        <f>Tableau1[[#Totals],[Crédit]]-Tableau1[[#Totals],[Débit]]</f>
        <v>911.95249999999987</v>
      </c>
    </row>
    <row r="16" spans="1:8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92AD-358A-4FA2-827A-C638A3B2F91D}">
  <dimension ref="A1:E54"/>
  <sheetViews>
    <sheetView workbookViewId="0">
      <selection activeCell="C18" sqref="C18"/>
    </sheetView>
  </sheetViews>
  <sheetFormatPr baseColWidth="10" defaultRowHeight="15" x14ac:dyDescent="0.25"/>
  <cols>
    <col min="2" max="2" width="19.7109375" bestFit="1" customWidth="1"/>
    <col min="3" max="3" width="11.42578125" style="1"/>
    <col min="4" max="4" width="23.42578125" style="1" bestFit="1" customWidth="1"/>
    <col min="5" max="5" width="47.42578125" bestFit="1" customWidth="1"/>
    <col min="6" max="6" width="7" bestFit="1" customWidth="1"/>
    <col min="7" max="7" width="7.7109375" bestFit="1" customWidth="1"/>
    <col min="8" max="9" width="12.42578125" customWidth="1"/>
    <col min="10" max="10" width="19.85546875" customWidth="1"/>
    <col min="11" max="11" width="17.42578125" bestFit="1" customWidth="1"/>
  </cols>
  <sheetData>
    <row r="1" spans="1:5" x14ac:dyDescent="0.25">
      <c r="A1" t="s">
        <v>20</v>
      </c>
      <c r="B1" t="s">
        <v>21</v>
      </c>
      <c r="C1" s="1" t="s">
        <v>1</v>
      </c>
      <c r="D1" t="s">
        <v>34</v>
      </c>
      <c r="E1" t="s">
        <v>25</v>
      </c>
    </row>
    <row r="2" spans="1:5" x14ac:dyDescent="0.25">
      <c r="A2" s="5">
        <v>1</v>
      </c>
      <c r="B2" t="s">
        <v>12</v>
      </c>
      <c r="C2" s="1">
        <v>-2</v>
      </c>
      <c r="D2" s="1" t="s">
        <v>31</v>
      </c>
      <c r="E2" t="s">
        <v>31</v>
      </c>
    </row>
    <row r="3" spans="1:5" x14ac:dyDescent="0.25">
      <c r="A3" s="5">
        <v>3</v>
      </c>
      <c r="B3" t="s">
        <v>29</v>
      </c>
      <c r="C3" s="1">
        <v>-45</v>
      </c>
      <c r="E3" t="s">
        <v>35</v>
      </c>
    </row>
    <row r="4" spans="1:5" x14ac:dyDescent="0.25">
      <c r="A4" s="5">
        <v>4</v>
      </c>
      <c r="B4" t="s">
        <v>24</v>
      </c>
      <c r="C4" s="1">
        <v>-29.99</v>
      </c>
      <c r="E4" t="s">
        <v>41</v>
      </c>
    </row>
    <row r="5" spans="1:5" x14ac:dyDescent="0.25">
      <c r="A5" s="5">
        <v>4</v>
      </c>
      <c r="B5" t="s">
        <v>26</v>
      </c>
      <c r="D5" s="1" t="s">
        <v>31</v>
      </c>
      <c r="E5" t="s">
        <v>31</v>
      </c>
    </row>
    <row r="6" spans="1:5" x14ac:dyDescent="0.25">
      <c r="A6" s="5">
        <v>5</v>
      </c>
      <c r="B6" t="s">
        <v>6</v>
      </c>
      <c r="C6" s="1">
        <v>-33.119999999999997</v>
      </c>
      <c r="D6" s="1" t="s">
        <v>31</v>
      </c>
      <c r="E6" t="s">
        <v>31</v>
      </c>
    </row>
    <row r="7" spans="1:5" x14ac:dyDescent="0.25">
      <c r="A7" s="5">
        <v>5</v>
      </c>
      <c r="B7" t="s">
        <v>15</v>
      </c>
      <c r="C7" s="1">
        <f>-288.17/12</f>
        <v>-24.014166666666668</v>
      </c>
      <c r="D7" s="1" t="s">
        <v>31</v>
      </c>
      <c r="E7" t="s">
        <v>31</v>
      </c>
    </row>
    <row r="8" spans="1:5" x14ac:dyDescent="0.25">
      <c r="A8" s="5">
        <v>5</v>
      </c>
      <c r="B8" t="s">
        <v>16</v>
      </c>
      <c r="C8" s="1">
        <f>-452.52/12</f>
        <v>-37.71</v>
      </c>
      <c r="D8" s="1" t="s">
        <v>31</v>
      </c>
      <c r="E8" t="s">
        <v>31</v>
      </c>
    </row>
    <row r="9" spans="1:5" x14ac:dyDescent="0.25">
      <c r="A9" s="5">
        <v>5</v>
      </c>
      <c r="B9" t="s">
        <v>10</v>
      </c>
      <c r="C9" s="1">
        <f>316.57/2</f>
        <v>158.285</v>
      </c>
      <c r="D9" s="1" t="s">
        <v>31</v>
      </c>
      <c r="E9" t="s">
        <v>36</v>
      </c>
    </row>
    <row r="10" spans="1:5" x14ac:dyDescent="0.25">
      <c r="A10" s="5">
        <v>5</v>
      </c>
      <c r="B10" t="s">
        <v>28</v>
      </c>
      <c r="C10" s="1">
        <f>(219.06+453.87)*-1</f>
        <v>-672.93000000000006</v>
      </c>
      <c r="D10" s="1" t="s">
        <v>31</v>
      </c>
      <c r="E10" t="s">
        <v>69</v>
      </c>
    </row>
    <row r="11" spans="1:5" x14ac:dyDescent="0.25">
      <c r="A11" s="5">
        <v>5</v>
      </c>
      <c r="B11" t="s">
        <v>4</v>
      </c>
      <c r="C11" s="1">
        <v>-148.57</v>
      </c>
      <c r="D11" s="1" t="s">
        <v>31</v>
      </c>
      <c r="E11" t="s">
        <v>69</v>
      </c>
    </row>
    <row r="12" spans="1:5" x14ac:dyDescent="0.25">
      <c r="A12" s="5">
        <v>7</v>
      </c>
      <c r="B12" t="s">
        <v>30</v>
      </c>
      <c r="C12" s="1">
        <v>-13</v>
      </c>
      <c r="D12" s="1" t="s">
        <v>31</v>
      </c>
    </row>
    <row r="13" spans="1:5" x14ac:dyDescent="0.25">
      <c r="A13" s="5">
        <v>15</v>
      </c>
      <c r="B13" t="s">
        <v>22</v>
      </c>
      <c r="C13" s="1">
        <v>-28</v>
      </c>
      <c r="D13" s="1" t="s">
        <v>31</v>
      </c>
      <c r="E13" t="s">
        <v>31</v>
      </c>
    </row>
    <row r="14" spans="1:5" x14ac:dyDescent="0.25">
      <c r="A14" s="5">
        <v>16</v>
      </c>
      <c r="B14" t="s">
        <v>23</v>
      </c>
      <c r="C14" s="1">
        <v>-35</v>
      </c>
      <c r="D14" s="1" t="s">
        <v>31</v>
      </c>
      <c r="E14" t="s">
        <v>31</v>
      </c>
    </row>
    <row r="15" spans="1:5" x14ac:dyDescent="0.25">
      <c r="A15" s="5">
        <v>16</v>
      </c>
      <c r="B15" t="s">
        <v>14</v>
      </c>
      <c r="C15" s="1">
        <v>-211.18</v>
      </c>
      <c r="D15" s="1" t="s">
        <v>31</v>
      </c>
      <c r="E15" t="s">
        <v>31</v>
      </c>
    </row>
    <row r="16" spans="1:5" x14ac:dyDescent="0.25">
      <c r="A16" s="5">
        <v>25</v>
      </c>
      <c r="B16" t="s">
        <v>27</v>
      </c>
      <c r="C16" s="1">
        <v>2000</v>
      </c>
      <c r="D16" s="1" t="s">
        <v>31</v>
      </c>
      <c r="E16" t="s">
        <v>31</v>
      </c>
    </row>
    <row r="17" spans="1:5" x14ac:dyDescent="0.25">
      <c r="A17" s="5"/>
    </row>
    <row r="18" spans="1:5" x14ac:dyDescent="0.25">
      <c r="A18" t="s">
        <v>32</v>
      </c>
      <c r="C18" s="2">
        <f>SUBTOTAL(109,Tableau2[Montant])</f>
        <v>877.77083333333326</v>
      </c>
      <c r="D18" t="str">
        <f>CONCATENATE(COUNTIF(Tableau2[Initié],"X"), "/", ROWS(Tableau2[Initié]))</f>
        <v>13/16</v>
      </c>
      <c r="E18" t="str">
        <f>CONCATENATE(COUNTIF(Tableau2[Nouveau compte],"X"), "/", ROWS(Tableau2[Nouveau compte]))</f>
        <v>9/16</v>
      </c>
    </row>
    <row r="45" spans="2:5" x14ac:dyDescent="0.25">
      <c r="B45" s="8"/>
      <c r="C45" s="6"/>
      <c r="D45"/>
      <c r="E45" s="1"/>
    </row>
    <row r="46" spans="2:5" x14ac:dyDescent="0.25">
      <c r="B46" s="8"/>
      <c r="C46" s="6"/>
      <c r="D46"/>
      <c r="E46" s="1"/>
    </row>
    <row r="47" spans="2:5" x14ac:dyDescent="0.25">
      <c r="B47" s="8"/>
      <c r="C47" s="6"/>
      <c r="D47"/>
      <c r="E47" s="1"/>
    </row>
    <row r="48" spans="2:5" x14ac:dyDescent="0.25">
      <c r="B48" s="8"/>
      <c r="C48" s="6"/>
      <c r="D48"/>
      <c r="E48" s="1"/>
    </row>
    <row r="49" spans="2:5" x14ac:dyDescent="0.25">
      <c r="B49" s="8"/>
      <c r="C49" s="6"/>
      <c r="D49"/>
      <c r="E49" s="1"/>
    </row>
    <row r="50" spans="2:5" x14ac:dyDescent="0.25">
      <c r="B50" s="8"/>
      <c r="C50" s="6"/>
      <c r="D50"/>
      <c r="E50" s="1"/>
    </row>
    <row r="51" spans="2:5" x14ac:dyDescent="0.25">
      <c r="B51" s="8"/>
      <c r="C51" s="6"/>
      <c r="D51"/>
      <c r="E51" s="1"/>
    </row>
    <row r="52" spans="2:5" x14ac:dyDescent="0.25">
      <c r="B52" s="8"/>
      <c r="C52" s="6"/>
      <c r="D52"/>
      <c r="E52" s="1"/>
    </row>
    <row r="53" spans="2:5" x14ac:dyDescent="0.25">
      <c r="B53" s="8"/>
      <c r="C53" s="6"/>
      <c r="D53"/>
      <c r="E53" s="1"/>
    </row>
    <row r="54" spans="2:5" x14ac:dyDescent="0.25">
      <c r="B54" s="8"/>
      <c r="C54" s="6"/>
      <c r="D54"/>
      <c r="E54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504A-FB43-4B21-B7E6-2258DBD09D93}">
  <dimension ref="A1:L14"/>
  <sheetViews>
    <sheetView tabSelected="1" workbookViewId="0">
      <selection activeCell="H8" sqref="H8"/>
    </sheetView>
  </sheetViews>
  <sheetFormatPr baseColWidth="10" defaultRowHeight="15" x14ac:dyDescent="0.25"/>
  <cols>
    <col min="1" max="1" width="8" bestFit="1" customWidth="1"/>
    <col min="2" max="2" width="11.140625" style="15" bestFit="1" customWidth="1"/>
    <col min="3" max="3" width="12" style="22" bestFit="1" customWidth="1"/>
    <col min="4" max="4" width="16.85546875" style="22" bestFit="1" customWidth="1"/>
    <col min="5" max="5" width="10.140625" style="22" bestFit="1" customWidth="1"/>
    <col min="6" max="6" width="17.85546875" style="22" bestFit="1" customWidth="1"/>
    <col min="7" max="7" width="17.5703125" style="22" bestFit="1" customWidth="1"/>
    <col min="8" max="8" width="18.7109375" style="15" bestFit="1" customWidth="1"/>
    <col min="9" max="9" width="26.140625" style="15" bestFit="1" customWidth="1"/>
    <col min="10" max="10" width="14.42578125" style="22" bestFit="1" customWidth="1"/>
    <col min="11" max="11" width="10.42578125" style="22" bestFit="1" customWidth="1"/>
    <col min="12" max="12" width="5.140625" style="12" bestFit="1" customWidth="1"/>
  </cols>
  <sheetData>
    <row r="1" spans="1:12" x14ac:dyDescent="0.25">
      <c r="A1" t="s">
        <v>46</v>
      </c>
      <c r="B1" s="15" t="s">
        <v>47</v>
      </c>
      <c r="C1" s="15" t="s">
        <v>63</v>
      </c>
      <c r="D1" s="15" t="s">
        <v>164</v>
      </c>
      <c r="E1" s="15" t="s">
        <v>48</v>
      </c>
      <c r="F1" s="15" t="s">
        <v>113</v>
      </c>
      <c r="G1" s="15" t="s">
        <v>114</v>
      </c>
      <c r="H1" t="s">
        <v>45</v>
      </c>
      <c r="I1" t="s">
        <v>140</v>
      </c>
      <c r="J1" t="s">
        <v>82</v>
      </c>
      <c r="K1" t="s">
        <v>163</v>
      </c>
      <c r="L1" t="s">
        <v>109</v>
      </c>
    </row>
    <row r="2" spans="1:12" x14ac:dyDescent="0.25">
      <c r="A2" s="7">
        <f ca="1">DATE(YEAR(TODAY()),MONTH(TODAY())+Bilan[[#This Row],[M]],1)</f>
        <v>43891</v>
      </c>
      <c r="B2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2" s="15">
        <f ca="1">SUMIFS(prelev[Montant],prelev[A partir du],CONCATENATE("&lt;=",Bilan[[#This Row],[Mois]]),prelev[Jusqu''au],CONCATENATE("&gt;=",Bilan[[#This Row],[Mois]]))</f>
        <v>0</v>
      </c>
      <c r="D2" s="15">
        <f ca="1">Bilan[[#This Row],[Dépense]]+Bilan[[#This Row],[Récurrent]]</f>
        <v>0</v>
      </c>
      <c r="E2" s="15">
        <f ca="1">SUMIF(recette[Mois],Bilan[[#This Row],[Mois]],recette[Montant perçu])</f>
        <v>0</v>
      </c>
      <c r="F2" s="15">
        <f ca="1">SUMIF(depense[Mois],Bilan[[#This Row],[Mois]],depense[Remboursable par A])</f>
        <v>0</v>
      </c>
      <c r="G2" s="15">
        <f ca="1">SUMIF(depense[Mois],Bilan[[#This Row],[Mois]],depense[Remboursable par S])</f>
        <v>0</v>
      </c>
      <c r="H2" s="15">
        <f ca="1">Bilan[[#This Row],[Recette]]-Bilan[[#This Row],[Dépense]]-Bilan[[#This Row],[Récurrent]]</f>
        <v>0</v>
      </c>
      <c r="I2" s="15">
        <f ca="1">Bilan[[#This Row],[Remboursable A]]-Bilan[[#This Row],[Remboursable S]]</f>
        <v>0</v>
      </c>
      <c r="J2" s="15">
        <f ca="1">SUMIF(TicketResto[Date],CONCATENATE("&lt;",DATE(YEAR(Bilan[[#This Row],[Mois]]), MONTH(Bilan[[#This Row],[Mois]])+1, DAY(Bilan[[#This Row],[Mois]])-1)),TicketResto[Montant])</f>
        <v>0</v>
      </c>
      <c r="K2" s="15">
        <f ca="1">SUMIF(epargne[Colonne1],Bilan[[#This Row],[Mois]],epargne[Montant])</f>
        <v>0</v>
      </c>
      <c r="L2" s="12">
        <v>-6</v>
      </c>
    </row>
    <row r="3" spans="1:12" x14ac:dyDescent="0.25">
      <c r="A3" s="7">
        <f ca="1">DATE(YEAR(TODAY()),MONTH(TODAY())+Bilan[[#This Row],[M]],1)</f>
        <v>43922</v>
      </c>
      <c r="B3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3" s="15">
        <f ca="1">SUMIFS(prelev[Montant],prelev[A partir du],CONCATENATE("&lt;=",Bilan[[#This Row],[Mois]]),prelev[Jusqu''au],CONCATENATE("&gt;=",Bilan[[#This Row],[Mois]]))</f>
        <v>0</v>
      </c>
      <c r="D3" s="15">
        <f ca="1">Bilan[[#This Row],[Dépense]]+Bilan[[#This Row],[Récurrent]]</f>
        <v>0</v>
      </c>
      <c r="E3" s="15">
        <f ca="1">SUMIF(recette[Mois],Bilan[[#This Row],[Mois]],recette[Montant perçu])</f>
        <v>0</v>
      </c>
      <c r="F3" s="15">
        <f ca="1">SUMIF(depense[Mois],Bilan[[#This Row],[Mois]],depense[Remboursable par A])</f>
        <v>0</v>
      </c>
      <c r="G3" s="15">
        <f ca="1">SUMIF(depense[Mois],Bilan[[#This Row],[Mois]],depense[Remboursable par S])</f>
        <v>0</v>
      </c>
      <c r="H3" s="15">
        <f ca="1">Bilan[[#This Row],[Recette]]-Bilan[[#This Row],[Dépense]]-Bilan[[#This Row],[Récurrent]]</f>
        <v>0</v>
      </c>
      <c r="I3" s="15">
        <f ca="1">Bilan[[#This Row],[Remboursable A]]-Bilan[[#This Row],[Remboursable S]]</f>
        <v>0</v>
      </c>
      <c r="J3" s="15">
        <f ca="1">SUMIF(TicketResto[Date],CONCATENATE("&lt;",DATE(YEAR(Bilan[[#This Row],[Mois]]), MONTH(Bilan[[#This Row],[Mois]])+1, DAY(Bilan[[#This Row],[Mois]])-1)),TicketResto[Montant])</f>
        <v>0</v>
      </c>
      <c r="K3" s="15">
        <f ca="1">SUMIF(epargne[Colonne1],Bilan[[#This Row],[Mois]],epargne[Montant])</f>
        <v>0</v>
      </c>
      <c r="L3" s="12">
        <v>-5</v>
      </c>
    </row>
    <row r="4" spans="1:12" x14ac:dyDescent="0.25">
      <c r="A4" s="7">
        <f ca="1">DATE(YEAR(TODAY()),MONTH(TODAY())+Bilan[[#This Row],[M]],1)</f>
        <v>43952</v>
      </c>
      <c r="B4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4" s="15">
        <f ca="1">SUMIFS(prelev[Montant],prelev[A partir du],CONCATENATE("&lt;=",Bilan[[#This Row],[Mois]]),prelev[Jusqu''au],CONCATENATE("&gt;=",Bilan[[#This Row],[Mois]]))</f>
        <v>0</v>
      </c>
      <c r="D4" s="15">
        <f ca="1">Bilan[[#This Row],[Dépense]]+Bilan[[#This Row],[Récurrent]]</f>
        <v>0</v>
      </c>
      <c r="E4" s="15">
        <f ca="1">SUMIF(recette[Mois],Bilan[[#This Row],[Mois]],recette[Montant perçu])</f>
        <v>0</v>
      </c>
      <c r="F4" s="15">
        <f ca="1">SUMIF(depense[Mois],Bilan[[#This Row],[Mois]],depense[Remboursable par A])</f>
        <v>0</v>
      </c>
      <c r="G4" s="15">
        <f ca="1">SUMIF(depense[Mois],Bilan[[#This Row],[Mois]],depense[Remboursable par S])</f>
        <v>0</v>
      </c>
      <c r="H4" s="15">
        <f ca="1">Bilan[[#This Row],[Recette]]-Bilan[[#This Row],[Dépense]]-Bilan[[#This Row],[Récurrent]]</f>
        <v>0</v>
      </c>
      <c r="I4" s="15">
        <f ca="1">Bilan[[#This Row],[Remboursable A]]-Bilan[[#This Row],[Remboursable S]]</f>
        <v>0</v>
      </c>
      <c r="J4" s="15">
        <f ca="1">SUMIF(TicketResto[Date],CONCATENATE("&lt;",DATE(YEAR(Bilan[[#This Row],[Mois]]), MONTH(Bilan[[#This Row],[Mois]])+1, DAY(Bilan[[#This Row],[Mois]])-1)),TicketResto[Montant])</f>
        <v>255.5</v>
      </c>
      <c r="K4" s="15">
        <f ca="1">SUMIF(epargne[Colonne1],Bilan[[#This Row],[Mois]],epargne[Montant])</f>
        <v>0</v>
      </c>
      <c r="L4" s="12">
        <v>-4</v>
      </c>
    </row>
    <row r="5" spans="1:12" x14ac:dyDescent="0.25">
      <c r="A5" s="7">
        <f ca="1">DATE(YEAR(TODAY()),MONTH(TODAY())+Bilan[[#This Row],[M]],1)</f>
        <v>43983</v>
      </c>
      <c r="B5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5" s="15">
        <f ca="1">SUMIFS(prelev[Montant],prelev[A partir du],CONCATENATE("&lt;=",Bilan[[#This Row],[Mois]]),prelev[Jusqu''au],CONCATENATE("&gt;=",Bilan[[#This Row],[Mois]]))</f>
        <v>0</v>
      </c>
      <c r="D5" s="15">
        <f ca="1">Bilan[[#This Row],[Dépense]]+Bilan[[#This Row],[Récurrent]]</f>
        <v>0</v>
      </c>
      <c r="E5" s="15">
        <f ca="1">SUMIF(recette[Mois],Bilan[[#This Row],[Mois]],recette[Montant perçu])</f>
        <v>0</v>
      </c>
      <c r="F5" s="15">
        <f ca="1">SUMIF(depense[Mois],Bilan[[#This Row],[Mois]],depense[Remboursable par A])</f>
        <v>0</v>
      </c>
      <c r="G5" s="15">
        <f ca="1">SUMIF(depense[Mois],Bilan[[#This Row],[Mois]],depense[Remboursable par S])</f>
        <v>99.99</v>
      </c>
      <c r="H5" s="15">
        <f ca="1">Bilan[[#This Row],[Recette]]-Bilan[[#This Row],[Dépense]]-Bilan[[#This Row],[Récurrent]]</f>
        <v>0</v>
      </c>
      <c r="I5" s="15">
        <f ca="1">Bilan[[#This Row],[Remboursable A]]-Bilan[[#This Row],[Remboursable S]]</f>
        <v>-99.99</v>
      </c>
      <c r="J5" s="15">
        <f ca="1">SUMIF(TicketResto[Date],CONCATENATE("&lt;",DATE(YEAR(Bilan[[#This Row],[Mois]]), MONTH(Bilan[[#This Row],[Mois]])+1, DAY(Bilan[[#This Row],[Mois]])-1)),TicketResto[Montant])</f>
        <v>283.94000000000005</v>
      </c>
      <c r="K5" s="15">
        <f ca="1">SUMIF(epargne[Colonne1],Bilan[[#This Row],[Mois]],epargne[Montant])</f>
        <v>0</v>
      </c>
      <c r="L5" s="12">
        <v>-3</v>
      </c>
    </row>
    <row r="6" spans="1:12" x14ac:dyDescent="0.25">
      <c r="A6" s="7">
        <f ca="1">DATE(YEAR(TODAY()),MONTH(TODAY())+Bilan[[#This Row],[M]],1)</f>
        <v>44013</v>
      </c>
      <c r="B6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864.1</v>
      </c>
      <c r="C6" s="15">
        <f ca="1">SUMIFS(prelev[Montant],prelev[A partir du],CONCATENATE("&lt;=",Bilan[[#This Row],[Mois]]),prelev[Jusqu''au],CONCATENATE("&gt;=",Bilan[[#This Row],[Mois]]))</f>
        <v>1276.5099999999998</v>
      </c>
      <c r="D6" s="15">
        <f ca="1">Bilan[[#This Row],[Dépense]]+Bilan[[#This Row],[Récurrent]]</f>
        <v>2140.6099999999997</v>
      </c>
      <c r="E6" s="15">
        <f ca="1">SUMIF(recette[Mois],Bilan[[#This Row],[Mois]],recette[Montant perçu])</f>
        <v>2365.1999999999998</v>
      </c>
      <c r="F6" s="15">
        <f ca="1">SUMIF(depense[Mois],Bilan[[#This Row],[Mois]],depense[Remboursable par A])</f>
        <v>115.995</v>
      </c>
      <c r="G6" s="15">
        <f ca="1">SUMIF(depense[Mois],Bilan[[#This Row],[Mois]],depense[Remboursable par S])</f>
        <v>272.38</v>
      </c>
      <c r="H6" s="15">
        <f ca="1">Bilan[[#This Row],[Recette]]-Bilan[[#This Row],[Dépense]]-Bilan[[#This Row],[Récurrent]]</f>
        <v>224.59000000000015</v>
      </c>
      <c r="I6" s="15">
        <f ca="1">Bilan[[#This Row],[Remboursable A]]-Bilan[[#This Row],[Remboursable S]]</f>
        <v>-156.38499999999999</v>
      </c>
      <c r="J6" s="15">
        <f ca="1">SUMIF(TicketResto[Date],CONCATENATE("&lt;",DATE(YEAR(Bilan[[#This Row],[Mois]]), MONTH(Bilan[[#This Row],[Mois]])+1, DAY(Bilan[[#This Row],[Mois]])-1)),TicketResto[Montant])</f>
        <v>263.32000000000005</v>
      </c>
      <c r="K6" s="15">
        <f ca="1">SUMIF(epargne[Colonne1],Bilan[[#This Row],[Mois]],epargne[Montant])</f>
        <v>-300</v>
      </c>
      <c r="L6" s="12">
        <v>-2</v>
      </c>
    </row>
    <row r="7" spans="1:12" x14ac:dyDescent="0.25">
      <c r="A7" s="7">
        <f ca="1">DATE(YEAR(TODAY()),MONTH(TODAY())+Bilan[[#This Row],[M]],1)</f>
        <v>44044</v>
      </c>
      <c r="B7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1046.8699999999999</v>
      </c>
      <c r="C7" s="15">
        <f ca="1">SUMIFS(prelev[Montant],prelev[A partir du],CONCATENATE("&lt;=",Bilan[[#This Row],[Mois]]),prelev[Jusqu''au],CONCATENATE("&gt;=",Bilan[[#This Row],[Mois]]))</f>
        <v>1276.5099999999998</v>
      </c>
      <c r="D7" s="15">
        <f ca="1">Bilan[[#This Row],[Dépense]]+Bilan[[#This Row],[Récurrent]]</f>
        <v>2323.3799999999997</v>
      </c>
      <c r="E7" s="15">
        <f ca="1">SUMIF(recette[Mois],Bilan[[#This Row],[Mois]],recette[Montant perçu])</f>
        <v>2186.0650000000001</v>
      </c>
      <c r="F7" s="15">
        <f ca="1">SUMIF(depense[Mois],Bilan[[#This Row],[Mois]],depense[Remboursable par A])</f>
        <v>113.15</v>
      </c>
      <c r="G7" s="15">
        <f ca="1">SUMIF(depense[Mois],Bilan[[#This Row],[Mois]],depense[Remboursable par S])</f>
        <v>0</v>
      </c>
      <c r="H7" s="15">
        <f ca="1">Bilan[[#This Row],[Recette]]-Bilan[[#This Row],[Dépense]]-Bilan[[#This Row],[Récurrent]]</f>
        <v>-137.3149999999996</v>
      </c>
      <c r="I7" s="15">
        <f ca="1">Bilan[[#This Row],[Remboursable A]]-Bilan[[#This Row],[Remboursable S]]</f>
        <v>113.15</v>
      </c>
      <c r="J7" s="15">
        <f ca="1">SUMIF(TicketResto[Date],CONCATENATE("&lt;",DATE(YEAR(Bilan[[#This Row],[Mois]]), MONTH(Bilan[[#This Row],[Mois]])+1, DAY(Bilan[[#This Row],[Mois]])-1)),TicketResto[Montant])</f>
        <v>232.91000000000008</v>
      </c>
      <c r="K7" s="15">
        <f ca="1">SUMIF(epargne[Colonne1],Bilan[[#This Row],[Mois]],epargne[Montant])</f>
        <v>200</v>
      </c>
      <c r="L7" s="12">
        <v>-1</v>
      </c>
    </row>
    <row r="8" spans="1:12" x14ac:dyDescent="0.25">
      <c r="A8" s="13">
        <f ca="1">DATE(YEAR(TODAY()),MONTH(TODAY())+Bilan[[#This Row],[M]],1)</f>
        <v>44075</v>
      </c>
      <c r="B8" s="16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388.59</v>
      </c>
      <c r="C8" s="16">
        <f ca="1">SUMIFS(prelev[Montant],prelev[A partir du],CONCATENATE("&lt;=",Bilan[[#This Row],[Mois]]),prelev[Jusqu''au],CONCATENATE("&gt;=",Bilan[[#This Row],[Mois]]))</f>
        <v>1276.5099999999998</v>
      </c>
      <c r="D8" s="16">
        <f ca="1">Bilan[[#This Row],[Dépense]]+Bilan[[#This Row],[Récurrent]]</f>
        <v>1665.0999999999997</v>
      </c>
      <c r="E8" s="16">
        <f ca="1">SUMIF(recette[Mois],Bilan[[#This Row],[Mois]],recette[Montant perçu])</f>
        <v>2186.0650000000001</v>
      </c>
      <c r="F8" s="16">
        <f ca="1">SUMIF(depense[Mois],Bilan[[#This Row],[Mois]],depense[Remboursable par A])</f>
        <v>158.77000000000001</v>
      </c>
      <c r="G8" s="16">
        <f ca="1">SUMIF(depense[Mois],Bilan[[#This Row],[Mois]],depense[Remboursable par S])</f>
        <v>65</v>
      </c>
      <c r="H8" s="16">
        <f ca="1">Bilan[[#This Row],[Recette]]-Bilan[[#This Row],[Dépense]]-Bilan[[#This Row],[Récurrent]]</f>
        <v>520.96500000000037</v>
      </c>
      <c r="I8" s="16">
        <f ca="1">Bilan[[#This Row],[Remboursable A]]-Bilan[[#This Row],[Remboursable S]]</f>
        <v>93.77000000000001</v>
      </c>
      <c r="J8" s="16">
        <f ca="1">SUMIF(TicketResto[Date],CONCATENATE("&lt;",DATE(YEAR(Bilan[[#This Row],[Mois]]), MONTH(Bilan[[#This Row],[Mois]])+1, DAY(Bilan[[#This Row],[Mois]])-1)),TicketResto[Montant])</f>
        <v>265.2600000000001</v>
      </c>
      <c r="K8" s="16">
        <f ca="1">SUMIF(epargne[Colonne1],Bilan[[#This Row],[Mois]],epargne[Montant])</f>
        <v>0</v>
      </c>
      <c r="L8" s="14">
        <v>0</v>
      </c>
    </row>
    <row r="9" spans="1:12" x14ac:dyDescent="0.25">
      <c r="A9" s="7">
        <f ca="1">DATE(YEAR(TODAY()),MONTH(TODAY())+Bilan[[#This Row],[M]],1)</f>
        <v>44105</v>
      </c>
      <c r="B9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226</v>
      </c>
      <c r="C9" s="15">
        <f ca="1">SUMIFS(prelev[Montant],prelev[A partir du],CONCATENATE("&lt;=",Bilan[[#This Row],[Mois]]),prelev[Jusqu''au],CONCATENATE("&gt;=",Bilan[[#This Row],[Mois]]))</f>
        <v>1276.5099999999998</v>
      </c>
      <c r="D9" s="15">
        <f ca="1">Bilan[[#This Row],[Dépense]]+Bilan[[#This Row],[Récurrent]]</f>
        <v>1502.5099999999998</v>
      </c>
      <c r="E9" s="15">
        <f ca="1">SUMIF(recette[Mois],Bilan[[#This Row],[Mois]],recette[Montant perçu])</f>
        <v>2158.2849999999999</v>
      </c>
      <c r="F9" s="15">
        <f ca="1">SUMIF(depense[Mois],Bilan[[#This Row],[Mois]],depense[Remboursable par A])</f>
        <v>10</v>
      </c>
      <c r="G9" s="15">
        <f ca="1">SUMIF(depense[Mois],Bilan[[#This Row],[Mois]],depense[Remboursable par S])</f>
        <v>0</v>
      </c>
      <c r="H9" s="15">
        <f ca="1">Bilan[[#This Row],[Recette]]-Bilan[[#This Row],[Dépense]]-Bilan[[#This Row],[Récurrent]]</f>
        <v>655.77500000000009</v>
      </c>
      <c r="I9" s="15">
        <f ca="1">Bilan[[#This Row],[Remboursable A]]-Bilan[[#This Row],[Remboursable S]]</f>
        <v>10</v>
      </c>
      <c r="J9" s="15">
        <f ca="1">SUMIF(TicketResto[Date],CONCATENATE("&lt;",DATE(YEAR(Bilan[[#This Row],[Mois]]), MONTH(Bilan[[#This Row],[Mois]])+1, DAY(Bilan[[#This Row],[Mois]])-1)),TicketResto[Montant])</f>
        <v>265.2600000000001</v>
      </c>
      <c r="K9" s="15">
        <f ca="1">SUMIF(epargne[Colonne1],Bilan[[#This Row],[Mois]],epargne[Montant])</f>
        <v>0</v>
      </c>
      <c r="L9" s="12">
        <v>1</v>
      </c>
    </row>
    <row r="10" spans="1:12" x14ac:dyDescent="0.25">
      <c r="A10" s="7">
        <f ca="1">DATE(YEAR(TODAY()),MONTH(TODAY())+Bilan[[#This Row],[M]],1)</f>
        <v>44136</v>
      </c>
      <c r="B10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226</v>
      </c>
      <c r="C10" s="15">
        <f ca="1">SUMIFS(prelev[Montant],prelev[A partir du],CONCATENATE("&lt;=",Bilan[[#This Row],[Mois]]),prelev[Jusqu''au],CONCATENATE("&gt;=",Bilan[[#This Row],[Mois]]))</f>
        <v>1229.51</v>
      </c>
      <c r="D10" s="15">
        <f ca="1">Bilan[[#This Row],[Dépense]]+Bilan[[#This Row],[Récurrent]]</f>
        <v>1455.51</v>
      </c>
      <c r="E10" s="15">
        <f ca="1">SUMIF(recette[Mois],Bilan[[#This Row],[Mois]],recette[Montant perçu])</f>
        <v>2065.9749999999999</v>
      </c>
      <c r="F10" s="15">
        <f ca="1">SUMIF(depense[Mois],Bilan[[#This Row],[Mois]],depense[Remboursable par A])</f>
        <v>10</v>
      </c>
      <c r="G10" s="15">
        <f ca="1">SUMIF(depense[Mois],Bilan[[#This Row],[Mois]],depense[Remboursable par S])</f>
        <v>0</v>
      </c>
      <c r="H10" s="15">
        <f ca="1">Bilan[[#This Row],[Recette]]-Bilan[[#This Row],[Dépense]]-Bilan[[#This Row],[Récurrent]]</f>
        <v>610.46499999999992</v>
      </c>
      <c r="I10" s="15">
        <f ca="1">Bilan[[#This Row],[Remboursable A]]-Bilan[[#This Row],[Remboursable S]]</f>
        <v>10</v>
      </c>
      <c r="J10" s="15">
        <f ca="1">SUMIF(TicketResto[Date],CONCATENATE("&lt;",DATE(YEAR(Bilan[[#This Row],[Mois]]), MONTH(Bilan[[#This Row],[Mois]])+1, DAY(Bilan[[#This Row],[Mois]])-1)),TicketResto[Montant])</f>
        <v>265.2600000000001</v>
      </c>
      <c r="K10" s="15">
        <f ca="1">SUMIF(epargne[Colonne1],Bilan[[#This Row],[Mois]],epargne[Montant])</f>
        <v>0</v>
      </c>
      <c r="L10" s="12">
        <v>2</v>
      </c>
    </row>
    <row r="11" spans="1:12" x14ac:dyDescent="0.25">
      <c r="A11" s="7">
        <f ca="1">DATE(YEAR(TODAY()),MONTH(TODAY())+Bilan[[#This Row],[M]],1)</f>
        <v>44166</v>
      </c>
      <c r="B11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10</v>
      </c>
      <c r="C11" s="15">
        <f ca="1">SUMIFS(prelev[Montant],prelev[A partir du],CONCATENATE("&lt;=",Bilan[[#This Row],[Mois]]),prelev[Jusqu''au],CONCATENATE("&gt;=",Bilan[[#This Row],[Mois]]))</f>
        <v>1229.51</v>
      </c>
      <c r="D11" s="15">
        <f ca="1">Bilan[[#This Row],[Dépense]]+Bilan[[#This Row],[Récurrent]]</f>
        <v>1239.51</v>
      </c>
      <c r="E11" s="15">
        <f ca="1">SUMIF(recette[Mois],Bilan[[#This Row],[Mois]],recette[Montant perçu])</f>
        <v>2065.9749999999999</v>
      </c>
      <c r="F11" s="15">
        <f ca="1">SUMIF(depense[Mois],Bilan[[#This Row],[Mois]],depense[Remboursable par A])</f>
        <v>10</v>
      </c>
      <c r="G11" s="15">
        <f ca="1">SUMIF(depense[Mois],Bilan[[#This Row],[Mois]],depense[Remboursable par S])</f>
        <v>0</v>
      </c>
      <c r="H11" s="15">
        <f ca="1">Bilan[[#This Row],[Recette]]-Bilan[[#This Row],[Dépense]]-Bilan[[#This Row],[Récurrent]]</f>
        <v>826.46499999999992</v>
      </c>
      <c r="I11" s="15">
        <f ca="1">Bilan[[#This Row],[Remboursable A]]-Bilan[[#This Row],[Remboursable S]]</f>
        <v>10</v>
      </c>
      <c r="J11" s="15">
        <f ca="1">SUMIF(TicketResto[Date],CONCATENATE("&lt;",DATE(YEAR(Bilan[[#This Row],[Mois]]), MONTH(Bilan[[#This Row],[Mois]])+1, DAY(Bilan[[#This Row],[Mois]])-1)),TicketResto[Montant])</f>
        <v>265.2600000000001</v>
      </c>
      <c r="K11" s="15">
        <f ca="1">SUMIF(epargne[Colonne1],Bilan[[#This Row],[Mois]],epargne[Montant])</f>
        <v>0</v>
      </c>
      <c r="L11" s="12">
        <v>3</v>
      </c>
    </row>
    <row r="12" spans="1:12" x14ac:dyDescent="0.25">
      <c r="A12" s="7">
        <f ca="1">DATE(YEAR(TODAY()),MONTH(TODAY())+Bilan[[#This Row],[M]],1)</f>
        <v>44197</v>
      </c>
      <c r="B12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12" s="15">
        <f ca="1">SUMIFS(prelev[Montant],prelev[A partir du],CONCATENATE("&lt;=",Bilan[[#This Row],[Mois]]),prelev[Jusqu''au],CONCATENATE("&gt;=",Bilan[[#This Row],[Mois]]))</f>
        <v>1259.51</v>
      </c>
      <c r="D12" s="15">
        <f ca="1">Bilan[[#This Row],[Dépense]]+Bilan[[#This Row],[Récurrent]]</f>
        <v>1259.51</v>
      </c>
      <c r="E12" s="15">
        <f ca="1">SUMIF(recette[Mois],Bilan[[#This Row],[Mois]],recette[Montant perçu])</f>
        <v>2065.9749999999999</v>
      </c>
      <c r="F12" s="15">
        <f ca="1">SUMIF(depense[Mois],Bilan[[#This Row],[Mois]],depense[Remboursable par A])</f>
        <v>0</v>
      </c>
      <c r="G12" s="15">
        <f ca="1">SUMIF(depense[Mois],Bilan[[#This Row],[Mois]],depense[Remboursable par S])</f>
        <v>0</v>
      </c>
      <c r="H12" s="15">
        <f ca="1">Bilan[[#This Row],[Recette]]-Bilan[[#This Row],[Dépense]]-Bilan[[#This Row],[Récurrent]]</f>
        <v>806.46499999999992</v>
      </c>
      <c r="I12" s="15">
        <f ca="1">Bilan[[#This Row],[Remboursable A]]-Bilan[[#This Row],[Remboursable S]]</f>
        <v>0</v>
      </c>
      <c r="J12" s="15">
        <f ca="1">SUMIF(TicketResto[Date],CONCATENATE("&lt;",DATE(YEAR(Bilan[[#This Row],[Mois]]), MONTH(Bilan[[#This Row],[Mois]])+1, DAY(Bilan[[#This Row],[Mois]])-1)),TicketResto[Montant])</f>
        <v>265.2600000000001</v>
      </c>
      <c r="K12" s="15">
        <f ca="1">SUMIF(epargne[Colonne1],Bilan[[#This Row],[Mois]],epargne[Montant])</f>
        <v>0</v>
      </c>
      <c r="L12" s="12">
        <v>4</v>
      </c>
    </row>
    <row r="13" spans="1:12" x14ac:dyDescent="0.25">
      <c r="A13" s="7">
        <f ca="1">DATE(YEAR(TODAY()),MONTH(TODAY())+Bilan[[#This Row],[M]],1)</f>
        <v>44228</v>
      </c>
      <c r="B13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13" s="15">
        <f ca="1">SUMIFS(prelev[Montant],prelev[A partir du],CONCATENATE("&lt;=",Bilan[[#This Row],[Mois]]),prelev[Jusqu''au],CONCATENATE("&gt;=",Bilan[[#This Row],[Mois]]))</f>
        <v>1259.51</v>
      </c>
      <c r="D13" s="15">
        <f ca="1">Bilan[[#This Row],[Dépense]]+Bilan[[#This Row],[Récurrent]]</f>
        <v>1259.51</v>
      </c>
      <c r="E13" s="15">
        <f ca="1">SUMIF(recette[Mois],Bilan[[#This Row],[Mois]],recette[Montant perçu])</f>
        <v>2065.9749999999999</v>
      </c>
      <c r="F13" s="15">
        <f ca="1">SUMIF(depense[Mois],Bilan[[#This Row],[Mois]],depense[Remboursable par A])</f>
        <v>0</v>
      </c>
      <c r="G13" s="15">
        <f ca="1">SUMIF(depense[Mois],Bilan[[#This Row],[Mois]],depense[Remboursable par S])</f>
        <v>0</v>
      </c>
      <c r="H13" s="15">
        <f ca="1">Bilan[[#This Row],[Recette]]-Bilan[[#This Row],[Dépense]]-Bilan[[#This Row],[Récurrent]]</f>
        <v>806.46499999999992</v>
      </c>
      <c r="I13" s="15">
        <f ca="1">Bilan[[#This Row],[Remboursable A]]-Bilan[[#This Row],[Remboursable S]]</f>
        <v>0</v>
      </c>
      <c r="J13" s="15">
        <f ca="1">SUMIF(TicketResto[Date],CONCATENATE("&lt;",DATE(YEAR(Bilan[[#This Row],[Mois]]), MONTH(Bilan[[#This Row],[Mois]])+1, DAY(Bilan[[#This Row],[Mois]])-1)),TicketResto[Montant])</f>
        <v>265.2600000000001</v>
      </c>
      <c r="K13" s="15">
        <f ca="1">SUMIF(epargne[Colonne1],Bilan[[#This Row],[Mois]],epargne[Montant])</f>
        <v>0</v>
      </c>
      <c r="L13" s="12">
        <v>5</v>
      </c>
    </row>
    <row r="14" spans="1:12" x14ac:dyDescent="0.25">
      <c r="A14" s="7">
        <f ca="1">DATE(YEAR(TODAY()),MONTH(TODAY())+Bilan[[#This Row],[M]],1)</f>
        <v>44256</v>
      </c>
      <c r="B14" s="15">
        <f ca="1">SUMIF(depense[Mois],Bilan[[#This Row],[Mois]],depense[Montant à payer])-SUMIFS(depense[Montant à payer],depense[Mois],Bilan[[#This Row],[Mois]],depense[Encours],"X")-SUMIFS(depense[Montant à payer],depense[Mois],Bilan[[#This Row],[Mois]],depense[Compte],"Commun")</f>
        <v>0</v>
      </c>
      <c r="C14" s="15">
        <f ca="1">SUMIFS(prelev[Montant],prelev[A partir du],CONCATENATE("&lt;=",Bilan[[#This Row],[Mois]]),prelev[Jusqu''au],CONCATENATE("&gt;=",Bilan[[#This Row],[Mois]]))</f>
        <v>1259.51</v>
      </c>
      <c r="D14" s="15">
        <f ca="1">Bilan[[#This Row],[Dépense]]+Bilan[[#This Row],[Récurrent]]</f>
        <v>1259.51</v>
      </c>
      <c r="E14" s="15">
        <f ca="1">SUMIF(recette[Mois],Bilan[[#This Row],[Mois]],recette[Montant perçu])</f>
        <v>2065.9749999999999</v>
      </c>
      <c r="F14" s="15">
        <f ca="1">SUMIF(depense[Mois],Bilan[[#This Row],[Mois]],depense[Remboursable par A])</f>
        <v>0</v>
      </c>
      <c r="G14" s="15">
        <f ca="1">SUMIF(depense[Mois],Bilan[[#This Row],[Mois]],depense[Remboursable par S])</f>
        <v>0</v>
      </c>
      <c r="H14" s="15">
        <f ca="1">Bilan[[#This Row],[Recette]]-Bilan[[#This Row],[Dépense]]-Bilan[[#This Row],[Récurrent]]</f>
        <v>806.46499999999992</v>
      </c>
      <c r="I14" s="15">
        <f ca="1">Bilan[[#This Row],[Remboursable A]]-Bilan[[#This Row],[Remboursable S]]</f>
        <v>0</v>
      </c>
      <c r="J14" s="15">
        <f ca="1">SUMIF(TicketResto[Date],CONCATENATE("&lt;",DATE(YEAR(Bilan[[#This Row],[Mois]]), MONTH(Bilan[[#This Row],[Mois]])+1, DAY(Bilan[[#This Row],[Mois]])-1)),TicketResto[Montant])</f>
        <v>265.2600000000001</v>
      </c>
      <c r="K14" s="15">
        <f ca="1">SUMIF(epargne[Colonne1],Bilan[[#This Row],[Mois]],epargne[Montant])</f>
        <v>0</v>
      </c>
      <c r="L14" s="12">
        <v>6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4156-15B0-4181-8260-1AE0D1292FD2}">
  <dimension ref="A1:S180"/>
  <sheetViews>
    <sheetView topLeftCell="A4" workbookViewId="0">
      <selection activeCell="L22" sqref="L22"/>
    </sheetView>
  </sheetViews>
  <sheetFormatPr baseColWidth="10" defaultRowHeight="15" x14ac:dyDescent="0.25"/>
  <cols>
    <col min="1" max="1" width="9.7109375" bestFit="1" customWidth="1"/>
    <col min="2" max="2" width="10.7109375" bestFit="1" customWidth="1"/>
    <col min="3" max="3" width="10.7109375" customWidth="1"/>
    <col min="4" max="4" width="14" bestFit="1" customWidth="1"/>
    <col min="5" max="5" width="34.5703125" style="21" customWidth="1"/>
    <col min="6" max="6" width="11" bestFit="1" customWidth="1"/>
    <col min="7" max="8" width="11" customWidth="1"/>
    <col min="9" max="9" width="17.85546875" bestFit="1" customWidth="1"/>
    <col min="10" max="10" width="21.28515625" bestFit="1" customWidth="1"/>
    <col min="11" max="11" width="21.28515625" customWidth="1"/>
    <col min="12" max="12" width="13.42578125" bestFit="1" customWidth="1"/>
    <col min="13" max="13" width="18.7109375" bestFit="1" customWidth="1"/>
    <col min="14" max="14" width="18.85546875" bestFit="1" customWidth="1"/>
    <col min="16" max="16" width="21.5703125" bestFit="1" customWidth="1"/>
    <col min="18" max="18" width="12.5703125" bestFit="1" customWidth="1"/>
  </cols>
  <sheetData>
    <row r="1" spans="1:19" x14ac:dyDescent="0.25">
      <c r="A1" t="s">
        <v>46</v>
      </c>
      <c r="B1" t="s">
        <v>20</v>
      </c>
      <c r="C1" t="s">
        <v>99</v>
      </c>
      <c r="D1" t="s">
        <v>64</v>
      </c>
      <c r="E1" s="21" t="s">
        <v>37</v>
      </c>
      <c r="F1" t="s">
        <v>1</v>
      </c>
      <c r="G1" t="s">
        <v>96</v>
      </c>
      <c r="H1" t="s">
        <v>105</v>
      </c>
      <c r="I1" t="s">
        <v>106</v>
      </c>
      <c r="J1" t="s">
        <v>111</v>
      </c>
      <c r="K1" t="s">
        <v>112</v>
      </c>
      <c r="L1" t="s">
        <v>110</v>
      </c>
      <c r="M1" t="s">
        <v>98</v>
      </c>
      <c r="N1" t="s">
        <v>97</v>
      </c>
    </row>
    <row r="2" spans="1:19" x14ac:dyDescent="0.25">
      <c r="A2" s="9">
        <f>DATE(YEAR(depense[[#This Row],[Date]]),MONTH(depense[[#This Row],[Date]]),1)</f>
        <v>43983</v>
      </c>
      <c r="B2" s="6">
        <v>44009</v>
      </c>
      <c r="C2" s="6" t="s">
        <v>100</v>
      </c>
      <c r="E2" s="21" t="s">
        <v>115</v>
      </c>
      <c r="F2" s="10">
        <v>99.99</v>
      </c>
      <c r="G2" s="10"/>
      <c r="H2" s="10"/>
      <c r="I2" s="10">
        <f>IF(depense[[#This Row],[Partagé]]&lt;&gt;"X",depense[[#This Row],[Montant]],depense[[#This Row],[Montant]]/2)</f>
        <v>99.99</v>
      </c>
      <c r="J2" s="10">
        <f>IF(AND(depense[[#This Row],[Partagé]]="X",depense[[#This Row],[Compte]]="Perso"),depense[[#This Row],[Montant à payer]],0)</f>
        <v>0</v>
      </c>
      <c r="K2" s="10">
        <f>IF(OR(AND(depense[[#This Row],[Partagé]]="X",depense[[#This Row],[Compte]]&lt;&gt;"Perso"),depense[[#This Row],[Compte]]="Commun"),depense[[#This Row],[Montant à payer]],0)</f>
        <v>99.99</v>
      </c>
      <c r="L2" s="10" t="s">
        <v>31</v>
      </c>
      <c r="M2" t="s">
        <v>31</v>
      </c>
    </row>
    <row r="3" spans="1:19" x14ac:dyDescent="0.25">
      <c r="A3" s="9">
        <f>DATE(YEAR(depense[[#This Row],[Date]]),MONTH(depense[[#This Row],[Date]]),1)</f>
        <v>44013</v>
      </c>
      <c r="B3" s="6">
        <v>44016</v>
      </c>
      <c r="C3" s="6" t="s">
        <v>100</v>
      </c>
      <c r="E3" s="21" t="s">
        <v>44</v>
      </c>
      <c r="F3" s="10">
        <v>70</v>
      </c>
      <c r="G3" s="10"/>
      <c r="H3" s="10"/>
      <c r="I3" s="10">
        <f>IF(depense[[#This Row],[Partagé]]&lt;&gt;"X",depense[[#This Row],[Montant]],depense[[#This Row],[Montant]]/2)</f>
        <v>70</v>
      </c>
      <c r="J3" s="10">
        <f>IF(AND(depense[[#This Row],[Partagé]]="X",depense[[#This Row],[Compte]]="Perso"),depense[[#This Row],[Montant à payer]],0)</f>
        <v>0</v>
      </c>
      <c r="K3" s="10">
        <f>IF(OR(AND(depense[[#This Row],[Partagé]]="X",depense[[#This Row],[Compte]]&lt;&gt;"Perso"),depense[[#This Row],[Compte]]="Commun"),depense[[#This Row],[Montant à payer]],0)</f>
        <v>70</v>
      </c>
      <c r="L3" s="10" t="s">
        <v>31</v>
      </c>
      <c r="M3" t="s">
        <v>31</v>
      </c>
    </row>
    <row r="4" spans="1:19" x14ac:dyDescent="0.25">
      <c r="A4" s="9">
        <f>DATE(YEAR(depense[[#This Row],[Date]]),MONTH(depense[[#This Row],[Date]]),1)</f>
        <v>44013</v>
      </c>
      <c r="B4" s="6">
        <v>44023</v>
      </c>
      <c r="C4" s="6" t="s">
        <v>101</v>
      </c>
      <c r="D4" t="s">
        <v>66</v>
      </c>
      <c r="E4" s="21" t="s">
        <v>38</v>
      </c>
      <c r="F4" s="1">
        <v>101.99</v>
      </c>
      <c r="G4" t="s">
        <v>31</v>
      </c>
      <c r="H4" s="10" t="s">
        <v>31</v>
      </c>
      <c r="I4" s="10">
        <f>IF(depense[[#This Row],[Partagé]]&lt;&gt;"X",depense[[#This Row],[Montant]],depense[[#This Row],[Montant]]/2)</f>
        <v>50.994999999999997</v>
      </c>
      <c r="J4" s="10">
        <f>IF(AND(depense[[#This Row],[Partagé]]="X",depense[[#This Row],[Compte]]="Perso"),depense[[#This Row],[Montant à payer]],0)</f>
        <v>50.994999999999997</v>
      </c>
      <c r="K4" s="10">
        <f>IF(OR(AND(depense[[#This Row],[Partagé]]="X",depense[[#This Row],[Compte]]&lt;&gt;"Perso"),depense[[#This Row],[Compte]]="Commun"),depense[[#This Row],[Montant à payer]],0)</f>
        <v>0</v>
      </c>
      <c r="L4" s="10"/>
      <c r="M4" t="s">
        <v>31</v>
      </c>
    </row>
    <row r="5" spans="1:19" x14ac:dyDescent="0.25">
      <c r="A5" s="9">
        <f>DATE(YEAR(depense[[#This Row],[Date]]),MONTH(depense[[#This Row],[Date]]),1)</f>
        <v>44013</v>
      </c>
      <c r="B5" s="6">
        <v>44032</v>
      </c>
      <c r="C5" s="6" t="s">
        <v>101</v>
      </c>
      <c r="D5" t="s">
        <v>65</v>
      </c>
      <c r="E5" s="21" t="s">
        <v>83</v>
      </c>
      <c r="F5" s="10">
        <v>216</v>
      </c>
      <c r="G5" s="10"/>
      <c r="H5" s="10"/>
      <c r="I5" s="10">
        <f>IF(depense[[#This Row],[Partagé]]&lt;&gt;"X",depense[[#This Row],[Montant]],depense[[#This Row],[Montant]]/2)</f>
        <v>216</v>
      </c>
      <c r="J5" s="10">
        <f>IF(AND(depense[[#This Row],[Partagé]]="X",depense[[#This Row],[Compte]]="Perso"),depense[[#This Row],[Montant à payer]],0)</f>
        <v>0</v>
      </c>
      <c r="K5" s="10">
        <f>IF(OR(AND(depense[[#This Row],[Partagé]]="X",depense[[#This Row],[Compte]]&lt;&gt;"Perso"),depense[[#This Row],[Compte]]="Commun"),depense[[#This Row],[Montant à payer]],0)</f>
        <v>0</v>
      </c>
      <c r="L5" s="10"/>
      <c r="M5" t="s">
        <v>31</v>
      </c>
    </row>
    <row r="6" spans="1:19" x14ac:dyDescent="0.25">
      <c r="A6" s="9">
        <f>DATE(YEAR(depense[[#This Row],[Date]]),MONTH(depense[[#This Row],[Date]]),1)</f>
        <v>44013</v>
      </c>
      <c r="B6" s="6">
        <v>44034</v>
      </c>
      <c r="C6" s="6" t="s">
        <v>101</v>
      </c>
      <c r="D6" t="s">
        <v>67</v>
      </c>
      <c r="E6" s="21" t="s">
        <v>104</v>
      </c>
      <c r="F6" s="10">
        <v>130</v>
      </c>
      <c r="G6" s="10"/>
      <c r="H6" s="10" t="s">
        <v>31</v>
      </c>
      <c r="I6" s="10">
        <f>IF(depense[[#This Row],[Partagé]]&lt;&gt;"X",depense[[#This Row],[Montant]],depense[[#This Row],[Montant]]/2)</f>
        <v>65</v>
      </c>
      <c r="J6" s="10">
        <f>IF(AND(depense[[#This Row],[Partagé]]="X",depense[[#This Row],[Compte]]="Perso"),depense[[#This Row],[Montant à payer]],0)</f>
        <v>65</v>
      </c>
      <c r="K6" s="10">
        <f>IF(OR(AND(depense[[#This Row],[Partagé]]="X",depense[[#This Row],[Compte]]&lt;&gt;"Perso"),depense[[#This Row],[Compte]]="Commun"),depense[[#This Row],[Montant à payer]],0)</f>
        <v>0</v>
      </c>
      <c r="L6" s="10"/>
      <c r="M6" t="s">
        <v>31</v>
      </c>
    </row>
    <row r="7" spans="1:19" x14ac:dyDescent="0.25">
      <c r="A7" s="9">
        <f>DATE(YEAR(depense[[#This Row],[Date]]),MONTH(depense[[#This Row],[Date]]),1)</f>
        <v>44013</v>
      </c>
      <c r="B7" s="6">
        <v>44035</v>
      </c>
      <c r="C7" s="6" t="s">
        <v>100</v>
      </c>
      <c r="D7" t="s">
        <v>65</v>
      </c>
      <c r="E7" s="21" t="s">
        <v>43</v>
      </c>
      <c r="F7" s="10">
        <v>75</v>
      </c>
      <c r="G7" s="10"/>
      <c r="H7" s="10"/>
      <c r="I7" s="10">
        <f>IF(depense[[#This Row],[Partagé]]&lt;&gt;"X",depense[[#This Row],[Montant]],depense[[#This Row],[Montant]]/2)</f>
        <v>75</v>
      </c>
      <c r="J7" s="10">
        <f>IF(AND(depense[[#This Row],[Partagé]]="X",depense[[#This Row],[Compte]]="Perso"),depense[[#This Row],[Montant à payer]],0)</f>
        <v>0</v>
      </c>
      <c r="K7" s="10">
        <f>IF(OR(AND(depense[[#This Row],[Partagé]]="X",depense[[#This Row],[Compte]]&lt;&gt;"Perso"),depense[[#This Row],[Compte]]="Commun"),depense[[#This Row],[Montant à payer]],0)</f>
        <v>75</v>
      </c>
      <c r="L7" s="10" t="s">
        <v>31</v>
      </c>
      <c r="M7" t="s">
        <v>31</v>
      </c>
    </row>
    <row r="8" spans="1:19" x14ac:dyDescent="0.25">
      <c r="A8" s="18">
        <f>DATE(YEAR(depense[[#This Row],[Date]]),MONTH(depense[[#This Row],[Date]]),1)</f>
        <v>44013</v>
      </c>
      <c r="B8" s="6">
        <v>44039</v>
      </c>
      <c r="C8" s="6" t="s">
        <v>101</v>
      </c>
      <c r="D8" t="s">
        <v>133</v>
      </c>
      <c r="E8" s="21" t="s">
        <v>134</v>
      </c>
      <c r="F8" s="10">
        <v>5.47</v>
      </c>
      <c r="G8" s="10"/>
      <c r="H8" s="10"/>
      <c r="I8" s="10">
        <f>IF(depense[[#This Row],[Partagé]]&lt;&gt;"X",depense[[#This Row],[Montant]],depense[[#This Row],[Montant]]/2)</f>
        <v>5.47</v>
      </c>
      <c r="J8" s="10">
        <f>IF(AND(depense[[#This Row],[Partagé]]="X",depense[[#This Row],[Compte]]="Perso"),depense[[#This Row],[Montant à payer]],0)</f>
        <v>0</v>
      </c>
      <c r="K8" s="10">
        <f>IF(OR(AND(depense[[#This Row],[Partagé]]="X",depense[[#This Row],[Compte]]&lt;&gt;"Perso"),depense[[#This Row],[Compte]]="Commun"),depense[[#This Row],[Montant à payer]],0)</f>
        <v>0</v>
      </c>
      <c r="L8" s="10"/>
      <c r="M8" t="s">
        <v>31</v>
      </c>
      <c r="N8" t="s">
        <v>135</v>
      </c>
    </row>
    <row r="9" spans="1:19" x14ac:dyDescent="0.25">
      <c r="A9" s="9">
        <f>DATE(YEAR(depense[[#This Row],[Date]]),MONTH(depense[[#This Row],[Date]]),1)</f>
        <v>44013</v>
      </c>
      <c r="B9" s="6">
        <v>44043</v>
      </c>
      <c r="C9" s="6" t="s">
        <v>100</v>
      </c>
      <c r="E9" s="21" t="s">
        <v>39</v>
      </c>
      <c r="F9" s="10">
        <v>127.38</v>
      </c>
      <c r="G9" s="10"/>
      <c r="H9" s="10"/>
      <c r="I9" s="10">
        <f>IF(depense[[#This Row],[Partagé]]&lt;&gt;"X",depense[[#This Row],[Montant]],depense[[#This Row],[Montant]]/2)</f>
        <v>127.38</v>
      </c>
      <c r="J9" s="10">
        <f>IF(AND(depense[[#This Row],[Partagé]]="X",depense[[#This Row],[Compte]]="Perso"),depense[[#This Row],[Montant à payer]],0)</f>
        <v>0</v>
      </c>
      <c r="K9" s="10">
        <f>IF(OR(AND(depense[[#This Row],[Partagé]]="X",depense[[#This Row],[Compte]]&lt;&gt;"Perso"),depense[[#This Row],[Compte]]="Commun"),depense[[#This Row],[Montant à payer]],0)</f>
        <v>127.38</v>
      </c>
      <c r="L9" s="10" t="s">
        <v>31</v>
      </c>
      <c r="M9" t="s">
        <v>31</v>
      </c>
      <c r="N9" t="s">
        <v>31</v>
      </c>
    </row>
    <row r="10" spans="1:19" x14ac:dyDescent="0.25">
      <c r="A10" s="9">
        <f>DATE(YEAR(depense[[#This Row],[Date]]),MONTH(depense[[#This Row],[Date]]),1)</f>
        <v>44013</v>
      </c>
      <c r="B10" s="6">
        <v>44043</v>
      </c>
      <c r="C10" s="6" t="s">
        <v>101</v>
      </c>
      <c r="E10" s="21" t="s">
        <v>40</v>
      </c>
      <c r="F10" s="10">
        <v>577.63</v>
      </c>
      <c r="G10" s="10"/>
      <c r="H10" s="10"/>
      <c r="I10" s="10">
        <f>IF(depense[[#This Row],[Partagé]]&lt;&gt;"X",depense[[#This Row],[Montant]],depense[[#This Row],[Montant]]/2)</f>
        <v>577.63</v>
      </c>
      <c r="J10" s="10">
        <f>IF(AND(depense[[#This Row],[Partagé]]="X",depense[[#This Row],[Compte]]="Perso"),depense[[#This Row],[Montant à payer]],0)</f>
        <v>0</v>
      </c>
      <c r="K10" s="10">
        <f>IF(OR(AND(depense[[#This Row],[Partagé]]="X",depense[[#This Row],[Compte]]&lt;&gt;"Perso"),depense[[#This Row],[Compte]]="Commun"),depense[[#This Row],[Montant à payer]],0)</f>
        <v>0</v>
      </c>
      <c r="L10" s="10"/>
      <c r="M10" t="s">
        <v>31</v>
      </c>
      <c r="N10" s="6" t="s">
        <v>132</v>
      </c>
    </row>
    <row r="11" spans="1:19" x14ac:dyDescent="0.25">
      <c r="A11" s="9">
        <f>DATE(YEAR(depense[[#This Row],[Date]]),MONTH(depense[[#This Row],[Date]]),1)</f>
        <v>44044</v>
      </c>
      <c r="B11" s="6">
        <v>44047</v>
      </c>
      <c r="C11" s="6" t="s">
        <v>101</v>
      </c>
      <c r="D11" t="s">
        <v>67</v>
      </c>
      <c r="E11" s="21" t="s">
        <v>107</v>
      </c>
      <c r="F11" s="10">
        <v>127.3</v>
      </c>
      <c r="G11" s="10" t="s">
        <v>31</v>
      </c>
      <c r="H11" s="10" t="s">
        <v>31</v>
      </c>
      <c r="I11" s="10">
        <f>IF(depense[[#This Row],[Partagé]]&lt;&gt;"X",depense[[#This Row],[Montant]],depense[[#This Row],[Montant]]/2)</f>
        <v>63.65</v>
      </c>
      <c r="J11" s="10">
        <f>IF(AND(depense[[#This Row],[Partagé]]="X",depense[[#This Row],[Compte]]="Perso"),depense[[#This Row],[Montant à payer]],0)</f>
        <v>63.65</v>
      </c>
      <c r="K11" s="10">
        <f>IF(OR(AND(depense[[#This Row],[Partagé]]="X",depense[[#This Row],[Compte]]&lt;&gt;"Perso"),depense[[#This Row],[Compte]]="Commun"),depense[[#This Row],[Montant à payer]],0)</f>
        <v>0</v>
      </c>
      <c r="L11" s="10"/>
      <c r="M11" t="s">
        <v>31</v>
      </c>
    </row>
    <row r="12" spans="1:19" ht="45" x14ac:dyDescent="0.25">
      <c r="A12" s="9">
        <f>DATE(YEAR(depense[[#This Row],[Date]]),MONTH(depense[[#This Row],[Date]]),1)</f>
        <v>44044</v>
      </c>
      <c r="B12" s="6">
        <v>44047</v>
      </c>
      <c r="C12" s="6" t="s">
        <v>101</v>
      </c>
      <c r="D12" t="s">
        <v>141</v>
      </c>
      <c r="E12" s="21" t="s">
        <v>142</v>
      </c>
      <c r="F12" s="10">
        <v>375</v>
      </c>
      <c r="G12" s="10" t="s">
        <v>31</v>
      </c>
      <c r="H12" s="10"/>
      <c r="I12" s="10">
        <f>IF(depense[[#This Row],[Partagé]]&lt;&gt;"X",depense[[#This Row],[Montant]],depense[[#This Row],[Montant]]/2)</f>
        <v>375</v>
      </c>
      <c r="J12" s="10">
        <f>IF(AND(depense[[#This Row],[Partagé]]="X",depense[[#This Row],[Compte]]="Perso"),depense[[#This Row],[Montant à payer]],0)</f>
        <v>0</v>
      </c>
      <c r="K12" s="10">
        <f>IF(OR(AND(depense[[#This Row],[Partagé]]="X",depense[[#This Row],[Compte]]&lt;&gt;"Perso"),depense[[#This Row],[Compte]]="Commun"),depense[[#This Row],[Montant à payer]],0)</f>
        <v>0</v>
      </c>
      <c r="L12" s="10"/>
      <c r="M12" t="s">
        <v>31</v>
      </c>
    </row>
    <row r="13" spans="1:19" x14ac:dyDescent="0.25">
      <c r="A13" s="9">
        <f>DATE(YEAR(depense[[#This Row],[Date]]),MONTH(depense[[#This Row],[Date]]),1)</f>
        <v>44044</v>
      </c>
      <c r="B13" s="6">
        <v>44054</v>
      </c>
      <c r="C13" s="6" t="s">
        <v>101</v>
      </c>
      <c r="D13" t="s">
        <v>66</v>
      </c>
      <c r="E13" s="21" t="s">
        <v>38</v>
      </c>
      <c r="F13" s="10">
        <v>99</v>
      </c>
      <c r="G13" s="10" t="s">
        <v>31</v>
      </c>
      <c r="H13" s="10" t="s">
        <v>31</v>
      </c>
      <c r="I13" s="10">
        <f>IF(depense[[#This Row],[Partagé]]&lt;&gt;"X",depense[[#This Row],[Montant]],depense[[#This Row],[Montant]]/2)</f>
        <v>49.5</v>
      </c>
      <c r="J13" s="10">
        <f>IF(AND(depense[[#This Row],[Partagé]]="X",depense[[#This Row],[Compte]]="Perso"),depense[[#This Row],[Montant à payer]],0)</f>
        <v>49.5</v>
      </c>
      <c r="K13" s="10">
        <f>IF(OR(AND(depense[[#This Row],[Partagé]]="X",depense[[#This Row],[Compte]]&lt;&gt;"Perso"),depense[[#This Row],[Compte]]="Commun"),depense[[#This Row],[Montant à payer]],0)</f>
        <v>0</v>
      </c>
      <c r="L13" s="10"/>
      <c r="M13" t="s">
        <v>31</v>
      </c>
      <c r="N13" t="s">
        <v>33</v>
      </c>
    </row>
    <row r="14" spans="1:19" x14ac:dyDescent="0.25">
      <c r="A14" s="9">
        <f>DATE(YEAR(depense[[#This Row],[Date]]),MONTH(depense[[#This Row],[Date]]),1)</f>
        <v>44044</v>
      </c>
      <c r="B14" s="6">
        <v>44063</v>
      </c>
      <c r="C14" s="6" t="s">
        <v>101</v>
      </c>
      <c r="D14" t="s">
        <v>65</v>
      </c>
      <c r="E14" s="21" t="s">
        <v>84</v>
      </c>
      <c r="F14" s="10">
        <v>216</v>
      </c>
      <c r="G14" s="10"/>
      <c r="H14" s="10"/>
      <c r="I14" s="10">
        <f>IF(depense[[#This Row],[Partagé]]&lt;&gt;"X",depense[[#This Row],[Montant]],depense[[#This Row],[Montant]]/2)</f>
        <v>216</v>
      </c>
      <c r="J14" s="10">
        <f>IF(AND(depense[[#This Row],[Partagé]]="X",depense[[#This Row],[Compte]]="Perso"),depense[[#This Row],[Montant à payer]],0)</f>
        <v>0</v>
      </c>
      <c r="K14" s="10">
        <f>IF(OR(AND(depense[[#This Row],[Partagé]]="X",depense[[#This Row],[Compte]]&lt;&gt;"Perso"),depense[[#This Row],[Compte]]="Commun"),depense[[#This Row],[Montant à payer]],0)</f>
        <v>0</v>
      </c>
      <c r="L14" s="10"/>
      <c r="M14" t="s">
        <v>31</v>
      </c>
    </row>
    <row r="15" spans="1:19" x14ac:dyDescent="0.25">
      <c r="A15" s="9">
        <f>DATE(YEAR(depense[[#This Row],[Date]]),MONTH(depense[[#This Row],[Date]]),1)</f>
        <v>44044</v>
      </c>
      <c r="B15" s="6">
        <v>44073</v>
      </c>
      <c r="C15" s="6" t="s">
        <v>101</v>
      </c>
      <c r="E15" s="21" t="s">
        <v>165</v>
      </c>
      <c r="F15" s="10">
        <v>20</v>
      </c>
      <c r="G15" s="10"/>
      <c r="H15" s="10"/>
      <c r="I15" s="10">
        <f>IF(depense[[#This Row],[Partagé]]&lt;&gt;"X",depense[[#This Row],[Montant]],depense[[#This Row],[Montant]]/2)</f>
        <v>20</v>
      </c>
      <c r="J15" s="10">
        <f>IF(AND(depense[[#This Row],[Partagé]]="X",depense[[#This Row],[Compte]]="Perso"),depense[[#This Row],[Montant à payer]],0)</f>
        <v>0</v>
      </c>
      <c r="K15" s="10">
        <f>IF(OR(AND(depense[[#This Row],[Partagé]]="X",depense[[#This Row],[Compte]]&lt;&gt;"Perso"),depense[[#This Row],[Compte]]="Commun"),depense[[#This Row],[Montant à payer]],0)</f>
        <v>0</v>
      </c>
      <c r="L15" s="10"/>
      <c r="M15" t="s">
        <v>31</v>
      </c>
    </row>
    <row r="16" spans="1:19" x14ac:dyDescent="0.25">
      <c r="A16" s="9">
        <f>DATE(YEAR(depense[[#This Row],[Date]]),MONTH(depense[[#This Row],[Date]]),1)</f>
        <v>44044</v>
      </c>
      <c r="B16" s="6">
        <v>44074</v>
      </c>
      <c r="C16" s="6" t="s">
        <v>101</v>
      </c>
      <c r="E16" s="21" t="s">
        <v>26</v>
      </c>
      <c r="F16" s="10">
        <v>810.87</v>
      </c>
      <c r="G16" s="10"/>
      <c r="H16" s="10"/>
      <c r="I16" s="10">
        <f>IF(depense[[#This Row],[Partagé]]&lt;&gt;"X",depense[[#This Row],[Montant]],depense[[#This Row],[Montant]]/2)</f>
        <v>810.87</v>
      </c>
      <c r="J16" s="10">
        <f>IF(AND(depense[[#This Row],[Partagé]]="X",depense[[#This Row],[Compte]]="Perso"),depense[[#This Row],[Montant à payer]],0)</f>
        <v>0</v>
      </c>
      <c r="K16" s="10">
        <f>IF(OR(AND(depense[[#This Row],[Partagé]]="X",depense[[#This Row],[Compte]]&lt;&gt;"Perso"),depense[[#This Row],[Compte]]="Commun"),depense[[#This Row],[Montant à payer]],0)</f>
        <v>0</v>
      </c>
      <c r="L16" s="10"/>
      <c r="M16" t="s">
        <v>31</v>
      </c>
      <c r="N16" t="s">
        <v>31</v>
      </c>
      <c r="Q16" s="1"/>
      <c r="R16" s="6"/>
      <c r="S16" s="6"/>
    </row>
    <row r="17" spans="1:14" x14ac:dyDescent="0.25">
      <c r="A17" s="9">
        <f>DATE(YEAR(depense[[#This Row],[Date]]),MONTH(depense[[#This Row],[Date]]),1)</f>
        <v>44075</v>
      </c>
      <c r="B17" s="6">
        <v>44084</v>
      </c>
      <c r="C17" s="6" t="s">
        <v>101</v>
      </c>
      <c r="D17" t="s">
        <v>68</v>
      </c>
      <c r="E17" s="21" t="s">
        <v>42</v>
      </c>
      <c r="F17" s="10">
        <v>83.54</v>
      </c>
      <c r="G17" s="10"/>
      <c r="H17" s="10" t="s">
        <v>31</v>
      </c>
      <c r="I17" s="10">
        <f>IF(depense[[#This Row],[Partagé]]&lt;&gt;"X",depense[[#This Row],[Montant]],depense[[#This Row],[Montant]]/2)</f>
        <v>41.77</v>
      </c>
      <c r="J17" s="10">
        <f>IF(AND(depense[[#This Row],[Partagé]]="X",depense[[#This Row],[Compte]]="Perso"),depense[[#This Row],[Montant à payer]],0)</f>
        <v>41.77</v>
      </c>
      <c r="K17" s="10">
        <f>IF(OR(AND(depense[[#This Row],[Partagé]]="X",depense[[#This Row],[Compte]]&lt;&gt;"Perso"),depense[[#This Row],[Compte]]="Commun"),depense[[#This Row],[Montant à payer]],0)</f>
        <v>0</v>
      </c>
      <c r="L17" s="10"/>
    </row>
    <row r="18" spans="1:14" x14ac:dyDescent="0.25">
      <c r="A18" s="9">
        <f>DATE(YEAR(depense[[#This Row],[Date]]),MONTH(depense[[#This Row],[Date]]),1)</f>
        <v>44075</v>
      </c>
      <c r="B18" s="6">
        <v>44085</v>
      </c>
      <c r="C18" s="6" t="s">
        <v>101</v>
      </c>
      <c r="D18" t="s">
        <v>66</v>
      </c>
      <c r="E18" s="21" t="s">
        <v>38</v>
      </c>
      <c r="F18" s="10">
        <v>99</v>
      </c>
      <c r="G18" s="10" t="s">
        <v>31</v>
      </c>
      <c r="H18" s="10" t="s">
        <v>31</v>
      </c>
      <c r="I18" s="10">
        <f>IF(depense[[#This Row],[Partagé]]&lt;&gt;"X",depense[[#This Row],[Montant]],depense[[#This Row],[Montant]]/2)</f>
        <v>49.5</v>
      </c>
      <c r="J18" s="10">
        <f>IF(AND(depense[[#This Row],[Partagé]]="X",depense[[#This Row],[Compte]]="Perso"),depense[[#This Row],[Montant à payer]],0)</f>
        <v>49.5</v>
      </c>
      <c r="K18" s="10">
        <f>IF(OR(AND(depense[[#This Row],[Partagé]]="X",depense[[#This Row],[Compte]]&lt;&gt;"Perso"),depense[[#This Row],[Compte]]="Commun"),depense[[#This Row],[Montant à payer]],0)</f>
        <v>0</v>
      </c>
      <c r="L18" s="10"/>
      <c r="N18" t="s">
        <v>33</v>
      </c>
    </row>
    <row r="19" spans="1:14" x14ac:dyDescent="0.25">
      <c r="A19" s="9">
        <f>DATE(YEAR(depense[[#This Row],[Date]]),MONTH(depense[[#This Row],[Date]]),1)</f>
        <v>44075</v>
      </c>
      <c r="B19" s="6">
        <v>44089</v>
      </c>
      <c r="C19" s="6" t="s">
        <v>101</v>
      </c>
      <c r="E19" s="21" t="s">
        <v>93</v>
      </c>
      <c r="F19" s="10">
        <v>135</v>
      </c>
      <c r="G19" s="10"/>
      <c r="H19" s="10" t="s">
        <v>31</v>
      </c>
      <c r="I19" s="10">
        <f>IF(depense[[#This Row],[Partagé]]&lt;&gt;"X",depense[[#This Row],[Montant]],depense[[#This Row],[Montant]]/2)</f>
        <v>67.5</v>
      </c>
      <c r="J19" s="10">
        <f>IF(AND(depense[[#This Row],[Partagé]]="X",depense[[#This Row],[Compte]]="Perso"),depense[[#This Row],[Montant à payer]],0)</f>
        <v>67.5</v>
      </c>
      <c r="K19" s="10">
        <f>IF(OR(AND(depense[[#This Row],[Partagé]]="X",depense[[#This Row],[Compte]]&lt;&gt;"Perso"),depense[[#This Row],[Compte]]="Commun"),depense[[#This Row],[Montant à payer]],0)</f>
        <v>0</v>
      </c>
      <c r="L19" s="10"/>
      <c r="N19" t="s">
        <v>94</v>
      </c>
    </row>
    <row r="20" spans="1:14" x14ac:dyDescent="0.25">
      <c r="A20" s="9">
        <f>DATE(YEAR(depense[[#This Row],[Date]]),MONTH(depense[[#This Row],[Date]]),1)</f>
        <v>44075</v>
      </c>
      <c r="B20" s="6">
        <v>44090</v>
      </c>
      <c r="C20" s="6" t="s">
        <v>101</v>
      </c>
      <c r="D20" t="s">
        <v>65</v>
      </c>
      <c r="E20" s="21" t="s">
        <v>85</v>
      </c>
      <c r="F20" s="10">
        <v>216</v>
      </c>
      <c r="G20" s="10"/>
      <c r="H20" s="10"/>
      <c r="I20" s="10">
        <f>IF(depense[[#This Row],[Partagé]]&lt;&gt;"X",depense[[#This Row],[Montant]],depense[[#This Row],[Montant]]/2)</f>
        <v>216</v>
      </c>
      <c r="J20" s="10">
        <f>IF(AND(depense[[#This Row],[Partagé]]="X",depense[[#This Row],[Compte]]="Perso"),depense[[#This Row],[Montant à payer]],0)</f>
        <v>0</v>
      </c>
      <c r="K20" s="10">
        <f>IF(OR(AND(depense[[#This Row],[Partagé]]="X",depense[[#This Row],[Compte]]&lt;&gt;"Perso"),depense[[#This Row],[Compte]]="Commun"),depense[[#This Row],[Montant à payer]],0)</f>
        <v>0</v>
      </c>
      <c r="L20" s="10"/>
      <c r="M20" t="s">
        <v>31</v>
      </c>
    </row>
    <row r="21" spans="1:14" x14ac:dyDescent="0.25">
      <c r="A21" s="9">
        <f>DATE(YEAR(depense[[#This Row],[Date]]),MONTH(depense[[#This Row],[Date]]),1)</f>
        <v>44075</v>
      </c>
      <c r="B21" s="6">
        <v>44104</v>
      </c>
      <c r="C21" s="6" t="s">
        <v>101</v>
      </c>
      <c r="E21" s="21" t="s">
        <v>26</v>
      </c>
      <c r="F21" s="10">
        <v>63.32</v>
      </c>
      <c r="G21" s="10"/>
      <c r="H21" s="10"/>
      <c r="I21" s="10">
        <f>IF(depense[[#This Row],[Partagé]]&lt;&gt;"X",depense[[#This Row],[Montant]],depense[[#This Row],[Montant]]/2)</f>
        <v>63.32</v>
      </c>
      <c r="J21" s="10">
        <f>IF(AND(depense[[#This Row],[Partagé]]="X",depense[[#This Row],[Compte]]="Perso"),depense[[#This Row],[Montant à payer]],0)</f>
        <v>0</v>
      </c>
      <c r="K21" s="10">
        <f>IF(OR(AND(depense[[#This Row],[Partagé]]="X",depense[[#This Row],[Compte]]&lt;&gt;"Perso"),depense[[#This Row],[Compte]]="Commun"),depense[[#This Row],[Montant à payer]],0)</f>
        <v>0</v>
      </c>
      <c r="L21" s="10"/>
      <c r="N21" t="s">
        <v>31</v>
      </c>
    </row>
    <row r="22" spans="1:14" x14ac:dyDescent="0.25">
      <c r="A22" s="9">
        <f>DATE(YEAR(depense[[#This Row],[Date]]),MONTH(depense[[#This Row],[Date]]),1)</f>
        <v>44075</v>
      </c>
      <c r="B22" s="6">
        <v>44079</v>
      </c>
      <c r="C22" s="6" t="s">
        <v>100</v>
      </c>
      <c r="E22" s="21" t="s">
        <v>177</v>
      </c>
      <c r="F22" s="10">
        <v>65</v>
      </c>
      <c r="G22" s="10"/>
      <c r="H22" s="10"/>
      <c r="I22" s="10">
        <f>IF(depense[[#This Row],[Partagé]]&lt;&gt;"X",depense[[#This Row],[Montant]],depense[[#This Row],[Montant]]/2)</f>
        <v>65</v>
      </c>
      <c r="J22" s="10">
        <f>IF(AND(depense[[#This Row],[Partagé]]="X",depense[[#This Row],[Compte]]="Perso"),depense[[#This Row],[Montant à payer]],0)</f>
        <v>0</v>
      </c>
      <c r="K22" s="10">
        <f>IF(OR(AND(depense[[#This Row],[Partagé]]="X",depense[[#This Row],[Compte]]&lt;&gt;"Perso"),depense[[#This Row],[Compte]]="Commun"),depense[[#This Row],[Montant à payer]],0)</f>
        <v>65</v>
      </c>
      <c r="L22" s="10"/>
    </row>
    <row r="23" spans="1:14" x14ac:dyDescent="0.25">
      <c r="A23" s="9">
        <f>DATE(YEAR(depense[[#This Row],[Date]]),MONTH(depense[[#This Row],[Date]]),1)</f>
        <v>44105</v>
      </c>
      <c r="B23" s="6">
        <v>44105</v>
      </c>
      <c r="C23" s="6" t="s">
        <v>101</v>
      </c>
      <c r="D23" t="s">
        <v>137</v>
      </c>
      <c r="E23" s="21" t="s">
        <v>145</v>
      </c>
      <c r="F23" s="10">
        <v>20</v>
      </c>
      <c r="G23" s="10"/>
      <c r="H23" s="10" t="s">
        <v>31</v>
      </c>
      <c r="I23" s="10">
        <f>IF(depense[[#This Row],[Partagé]]&lt;&gt;"X",depense[[#This Row],[Montant]],depense[[#This Row],[Montant]]/2)</f>
        <v>10</v>
      </c>
      <c r="J23" s="10">
        <f>IF(AND(depense[[#This Row],[Partagé]]="X",depense[[#This Row],[Compte]]="Perso"),depense[[#This Row],[Montant à payer]],0)</f>
        <v>10</v>
      </c>
      <c r="K23" s="10">
        <f>IF(OR(AND(depense[[#This Row],[Partagé]]="X",depense[[#This Row],[Compte]]&lt;&gt;"Perso"),depense[[#This Row],[Compte]]="Commun"),depense[[#This Row],[Montant à payer]],0)</f>
        <v>0</v>
      </c>
      <c r="L23" s="10"/>
      <c r="N23" t="s">
        <v>158</v>
      </c>
    </row>
    <row r="24" spans="1:14" x14ac:dyDescent="0.25">
      <c r="A24" s="9">
        <f>DATE(YEAR(depense[[#This Row],[Date]]),MONTH(depense[[#This Row],[Date]]),1)</f>
        <v>44105</v>
      </c>
      <c r="B24" s="6">
        <v>44105</v>
      </c>
      <c r="C24" s="6" t="s">
        <v>101</v>
      </c>
      <c r="D24" t="s">
        <v>138</v>
      </c>
      <c r="E24" s="21" t="s">
        <v>139</v>
      </c>
      <c r="F24" s="10">
        <v>0</v>
      </c>
      <c r="G24" s="10"/>
      <c r="H24" s="10" t="s">
        <v>31</v>
      </c>
      <c r="I24" s="10">
        <f>IF(depense[[#This Row],[Partagé]]&lt;&gt;"X",depense[[#This Row],[Montant]],depense[[#This Row],[Montant]]/2)</f>
        <v>0</v>
      </c>
      <c r="J24" s="10">
        <f>IF(AND(depense[[#This Row],[Partagé]]="X",depense[[#This Row],[Compte]]="Perso"),depense[[#This Row],[Montant à payer]],0)</f>
        <v>0</v>
      </c>
      <c r="K24" s="10">
        <f>IF(OR(AND(depense[[#This Row],[Partagé]]="X",depense[[#This Row],[Compte]]&lt;&gt;"Perso"),depense[[#This Row],[Compte]]="Commun"),depense[[#This Row],[Montant à payer]],0)</f>
        <v>0</v>
      </c>
      <c r="L24" s="10"/>
      <c r="N24" t="s">
        <v>158</v>
      </c>
    </row>
    <row r="25" spans="1:14" x14ac:dyDescent="0.25">
      <c r="A25" s="9">
        <f>DATE(YEAR(depense[[#This Row],[Date]]),MONTH(depense[[#This Row],[Date]]),1)</f>
        <v>44105</v>
      </c>
      <c r="B25" s="6">
        <v>44120</v>
      </c>
      <c r="C25" s="6" t="s">
        <v>101</v>
      </c>
      <c r="D25" t="s">
        <v>65</v>
      </c>
      <c r="E25" s="21" t="s">
        <v>86</v>
      </c>
      <c r="F25" s="10">
        <v>216</v>
      </c>
      <c r="G25" s="10"/>
      <c r="H25" s="10"/>
      <c r="I25" s="10">
        <f>IF(depense[[#This Row],[Partagé]]&lt;&gt;"X",depense[[#This Row],[Montant]],depense[[#This Row],[Montant]]/2)</f>
        <v>216</v>
      </c>
      <c r="J25" s="10">
        <f>IF(AND(depense[[#This Row],[Partagé]]="X",depense[[#This Row],[Compte]]="Perso"),depense[[#This Row],[Montant à payer]],0)</f>
        <v>0</v>
      </c>
      <c r="K25" s="10">
        <f>IF(OR(AND(depense[[#This Row],[Partagé]]="X",depense[[#This Row],[Compte]]&lt;&gt;"Perso"),depense[[#This Row],[Compte]]="Commun"),depense[[#This Row],[Montant à payer]],0)</f>
        <v>0</v>
      </c>
      <c r="L25" s="10"/>
    </row>
    <row r="26" spans="1:14" x14ac:dyDescent="0.25">
      <c r="A26" s="9">
        <f>DATE(YEAR(depense[[#This Row],[Date]]),MONTH(depense[[#This Row],[Date]]),1)</f>
        <v>44105</v>
      </c>
      <c r="B26" s="6">
        <v>44135</v>
      </c>
      <c r="C26" s="6" t="s">
        <v>101</v>
      </c>
      <c r="E26" s="21" t="s">
        <v>26</v>
      </c>
      <c r="F26" s="10"/>
      <c r="G26" s="10"/>
      <c r="H26" s="10"/>
      <c r="I26" s="10">
        <f>IF(depense[[#This Row],[Partagé]]&lt;&gt;"X",depense[[#This Row],[Montant]],depense[[#This Row],[Montant]]/2)</f>
        <v>0</v>
      </c>
      <c r="J26" s="10">
        <f>IF(AND(depense[[#This Row],[Partagé]]="X",depense[[#This Row],[Compte]]="Perso"),depense[[#This Row],[Montant à payer]],0)</f>
        <v>0</v>
      </c>
      <c r="K26" s="10">
        <f>IF(OR(AND(depense[[#This Row],[Partagé]]="X",depense[[#This Row],[Compte]]&lt;&gt;"Perso"),depense[[#This Row],[Compte]]="Commun"),depense[[#This Row],[Montant à payer]],0)</f>
        <v>0</v>
      </c>
      <c r="L26" s="10"/>
      <c r="N26" t="s">
        <v>31</v>
      </c>
    </row>
    <row r="27" spans="1:14" x14ac:dyDescent="0.25">
      <c r="A27" s="9">
        <f>DATE(YEAR(depense[[#This Row],[Date]]),MONTH(depense[[#This Row],[Date]]),1)</f>
        <v>44136</v>
      </c>
      <c r="B27" s="6">
        <v>44136</v>
      </c>
      <c r="C27" s="6" t="s">
        <v>101</v>
      </c>
      <c r="D27" t="s">
        <v>137</v>
      </c>
      <c r="E27" s="21" t="s">
        <v>145</v>
      </c>
      <c r="F27" s="10">
        <v>20</v>
      </c>
      <c r="G27" s="10"/>
      <c r="H27" s="10" t="s">
        <v>31</v>
      </c>
      <c r="I27" s="10">
        <f>IF(depense[[#This Row],[Partagé]]&lt;&gt;"X",depense[[#This Row],[Montant]],depense[[#This Row],[Montant]]/2)</f>
        <v>10</v>
      </c>
      <c r="J27" s="10">
        <f>IF(AND(depense[[#This Row],[Partagé]]="X",depense[[#This Row],[Compte]]="Perso"),depense[[#This Row],[Montant à payer]],0)</f>
        <v>10</v>
      </c>
      <c r="K27" s="10">
        <f>IF(OR(AND(depense[[#This Row],[Partagé]]="X",depense[[#This Row],[Compte]]&lt;&gt;"Perso"),depense[[#This Row],[Compte]]="Commun"),depense[[#This Row],[Montant à payer]],0)</f>
        <v>0</v>
      </c>
      <c r="L27" s="10"/>
      <c r="N27" t="s">
        <v>158</v>
      </c>
    </row>
    <row r="28" spans="1:14" x14ac:dyDescent="0.25">
      <c r="A28" s="9">
        <f>DATE(YEAR(depense[[#This Row],[Date]]),MONTH(depense[[#This Row],[Date]]),1)</f>
        <v>44136</v>
      </c>
      <c r="B28" s="6">
        <v>44136</v>
      </c>
      <c r="C28" s="6" t="s">
        <v>101</v>
      </c>
      <c r="D28" t="s">
        <v>138</v>
      </c>
      <c r="E28" s="21" t="s">
        <v>139</v>
      </c>
      <c r="F28" s="10">
        <v>0</v>
      </c>
      <c r="G28" s="10"/>
      <c r="H28" s="10" t="s">
        <v>31</v>
      </c>
      <c r="I28" s="10">
        <f>IF(depense[[#This Row],[Partagé]]&lt;&gt;"X",depense[[#This Row],[Montant]],depense[[#This Row],[Montant]]/2)</f>
        <v>0</v>
      </c>
      <c r="J28" s="10">
        <f>IF(AND(depense[[#This Row],[Partagé]]="X",depense[[#This Row],[Compte]]="Perso"),depense[[#This Row],[Montant à payer]],0)</f>
        <v>0</v>
      </c>
      <c r="K28" s="10">
        <f>IF(OR(AND(depense[[#This Row],[Partagé]]="X",depense[[#This Row],[Compte]]&lt;&gt;"Perso"),depense[[#This Row],[Compte]]="Commun"),depense[[#This Row],[Montant à payer]],0)</f>
        <v>0</v>
      </c>
      <c r="L28" s="10"/>
      <c r="N28" t="s">
        <v>158</v>
      </c>
    </row>
    <row r="29" spans="1:14" x14ac:dyDescent="0.25">
      <c r="A29" s="9">
        <f>DATE(YEAR(depense[[#This Row],[Date]]),MONTH(depense[[#This Row],[Date]]),1)</f>
        <v>44136</v>
      </c>
      <c r="B29" s="6">
        <v>44151</v>
      </c>
      <c r="C29" s="6" t="s">
        <v>101</v>
      </c>
      <c r="D29" t="s">
        <v>65</v>
      </c>
      <c r="E29" s="21" t="s">
        <v>88</v>
      </c>
      <c r="F29" s="10">
        <v>216</v>
      </c>
      <c r="G29" s="10"/>
      <c r="H29" s="10"/>
      <c r="I29" s="10">
        <f>IF(depense[[#This Row],[Partagé]]&lt;&gt;"X",depense[[#This Row],[Montant]],depense[[#This Row],[Montant]]/2)</f>
        <v>216</v>
      </c>
      <c r="J29" s="10">
        <f>IF(AND(depense[[#This Row],[Partagé]]="X",depense[[#This Row],[Compte]]="Perso"),depense[[#This Row],[Montant à payer]],0)</f>
        <v>0</v>
      </c>
      <c r="K29" s="10">
        <f>IF(OR(AND(depense[[#This Row],[Partagé]]="X",depense[[#This Row],[Compte]]&lt;&gt;"Perso"),depense[[#This Row],[Compte]]="Commun"),depense[[#This Row],[Montant à payer]],0)</f>
        <v>0</v>
      </c>
      <c r="L29" s="10"/>
    </row>
    <row r="30" spans="1:14" x14ac:dyDescent="0.25">
      <c r="A30" s="9">
        <f>DATE(YEAR(depense[[#This Row],[Date]]),MONTH(depense[[#This Row],[Date]]),1)</f>
        <v>44136</v>
      </c>
      <c r="B30" s="6">
        <v>44165</v>
      </c>
      <c r="C30" s="6" t="s">
        <v>101</v>
      </c>
      <c r="E30" s="21" t="s">
        <v>26</v>
      </c>
      <c r="F30" s="10"/>
      <c r="G30" s="10"/>
      <c r="H30" s="10"/>
      <c r="I30" s="10">
        <f>IF(depense[[#This Row],[Partagé]]&lt;&gt;"X",depense[[#This Row],[Montant]],depense[[#This Row],[Montant]]/2)</f>
        <v>0</v>
      </c>
      <c r="J30" s="10">
        <f>IF(AND(depense[[#This Row],[Partagé]]="X",depense[[#This Row],[Compte]]="Perso"),depense[[#This Row],[Montant à payer]],0)</f>
        <v>0</v>
      </c>
      <c r="K30" s="10">
        <f>IF(OR(AND(depense[[#This Row],[Partagé]]="X",depense[[#This Row],[Compte]]&lt;&gt;"Perso"),depense[[#This Row],[Compte]]="Commun"),depense[[#This Row],[Montant à payer]],0)</f>
        <v>0</v>
      </c>
      <c r="L30" s="10"/>
      <c r="N30" t="s">
        <v>31</v>
      </c>
    </row>
    <row r="31" spans="1:14" x14ac:dyDescent="0.25">
      <c r="A31" s="9">
        <f>DATE(YEAR(depense[[#This Row],[Date]]),MONTH(depense[[#This Row],[Date]]),1)</f>
        <v>44166</v>
      </c>
      <c r="B31" s="6">
        <v>44166</v>
      </c>
      <c r="C31" s="6" t="s">
        <v>101</v>
      </c>
      <c r="D31" t="s">
        <v>137</v>
      </c>
      <c r="E31" s="21" t="s">
        <v>145</v>
      </c>
      <c r="F31" s="10">
        <v>20</v>
      </c>
      <c r="G31" s="10"/>
      <c r="H31" s="10" t="s">
        <v>31</v>
      </c>
      <c r="I31" s="10">
        <f>IF(depense[[#This Row],[Partagé]]&lt;&gt;"X",depense[[#This Row],[Montant]],depense[[#This Row],[Montant]]/2)</f>
        <v>10</v>
      </c>
      <c r="J31" s="10">
        <f>IF(AND(depense[[#This Row],[Partagé]]="X",depense[[#This Row],[Compte]]="Perso"),depense[[#This Row],[Montant à payer]],0)</f>
        <v>10</v>
      </c>
      <c r="K31" s="10">
        <f>IF(OR(AND(depense[[#This Row],[Partagé]]="X",depense[[#This Row],[Compte]]&lt;&gt;"Perso"),depense[[#This Row],[Compte]]="Commun"),depense[[#This Row],[Montant à payer]],0)</f>
        <v>0</v>
      </c>
      <c r="L31" s="10"/>
      <c r="N31" t="s">
        <v>158</v>
      </c>
    </row>
    <row r="32" spans="1:14" x14ac:dyDescent="0.25">
      <c r="A32" s="9">
        <f>DATE(YEAR(depense[[#This Row],[Date]]),MONTH(depense[[#This Row],[Date]]),1)</f>
        <v>44166</v>
      </c>
      <c r="B32" s="6">
        <v>44166</v>
      </c>
      <c r="C32" s="6" t="s">
        <v>101</v>
      </c>
      <c r="D32" t="s">
        <v>138</v>
      </c>
      <c r="E32" s="21" t="s">
        <v>139</v>
      </c>
      <c r="F32" s="10">
        <v>0</v>
      </c>
      <c r="G32" s="10"/>
      <c r="H32" s="10" t="s">
        <v>31</v>
      </c>
      <c r="I32" s="10">
        <f>IF(depense[[#This Row],[Partagé]]&lt;&gt;"X",depense[[#This Row],[Montant]],depense[[#This Row],[Montant]]/2)</f>
        <v>0</v>
      </c>
      <c r="J32" s="10">
        <f>IF(AND(depense[[#This Row],[Partagé]]="X",depense[[#This Row],[Compte]]="Perso"),depense[[#This Row],[Montant à payer]],0)</f>
        <v>0</v>
      </c>
      <c r="K32" s="10">
        <f>IF(OR(AND(depense[[#This Row],[Partagé]]="X",depense[[#This Row],[Compte]]&lt;&gt;"Perso"),depense[[#This Row],[Compte]]="Commun"),depense[[#This Row],[Montant à payer]],0)</f>
        <v>0</v>
      </c>
      <c r="L32" s="10"/>
      <c r="N32" t="s">
        <v>158</v>
      </c>
    </row>
    <row r="33" spans="1:14" x14ac:dyDescent="0.25">
      <c r="A33" s="9">
        <f>DATE(YEAR(depense[[#This Row],[Date]]),MONTH(depense[[#This Row],[Date]]),1)</f>
        <v>44166</v>
      </c>
      <c r="B33" s="6">
        <v>44196</v>
      </c>
      <c r="C33" s="6" t="s">
        <v>101</v>
      </c>
      <c r="E33" s="21" t="s">
        <v>26</v>
      </c>
      <c r="F33" s="10"/>
      <c r="G33" s="10"/>
      <c r="H33" s="10"/>
      <c r="I33" s="10">
        <f>IF(depense[[#This Row],[Partagé]]&lt;&gt;"X",depense[[#This Row],[Montant]],depense[[#This Row],[Montant]]/2)</f>
        <v>0</v>
      </c>
      <c r="J33" s="10">
        <f>IF(AND(depense[[#This Row],[Partagé]]="X",depense[[#This Row],[Compte]]="Perso"),depense[[#This Row],[Montant à payer]],0)</f>
        <v>0</v>
      </c>
      <c r="K33" s="10">
        <f>IF(OR(AND(depense[[#This Row],[Partagé]]="X",depense[[#This Row],[Compte]]&lt;&gt;"Perso"),depense[[#This Row],[Compte]]="Commun"),depense[[#This Row],[Montant à payer]],0)</f>
        <v>0</v>
      </c>
      <c r="L33" s="10"/>
      <c r="N33" t="s">
        <v>31</v>
      </c>
    </row>
    <row r="34" spans="1:14" x14ac:dyDescent="0.25">
      <c r="A34" s="9">
        <f>DATE(YEAR(depense[[#This Row],[Date]]),MONTH(depense[[#This Row],[Date]]),1)</f>
        <v>44287</v>
      </c>
      <c r="B34" s="6">
        <v>44287</v>
      </c>
      <c r="C34" s="6" t="s">
        <v>101</v>
      </c>
      <c r="D34" t="s">
        <v>67</v>
      </c>
      <c r="E34" s="21" t="s">
        <v>136</v>
      </c>
      <c r="F34" s="10">
        <v>100</v>
      </c>
      <c r="G34" s="10"/>
      <c r="H34" s="10"/>
      <c r="I34" s="10">
        <f>IF(depense[[#This Row],[Partagé]]&lt;&gt;"X",depense[[#This Row],[Montant]],depense[[#This Row],[Montant]]/2)</f>
        <v>100</v>
      </c>
      <c r="J34" s="10">
        <f>IF(AND(depense[[#This Row],[Partagé]]="X",depense[[#This Row],[Compte]]="Perso"),depense[[#This Row],[Montant à payer]],0)</f>
        <v>0</v>
      </c>
      <c r="K34" s="10">
        <f>IF(OR(AND(depense[[#This Row],[Partagé]]="X",depense[[#This Row],[Compte]]&lt;&gt;"Perso"),depense[[#This Row],[Compte]]="Commun"),depense[[#This Row],[Montant à payer]],0)</f>
        <v>0</v>
      </c>
      <c r="L34" s="10"/>
    </row>
    <row r="35" spans="1:14" x14ac:dyDescent="0.25">
      <c r="A35" s="9"/>
      <c r="B35" s="6"/>
      <c r="C35" s="6"/>
      <c r="F35" s="10"/>
      <c r="G35" s="10"/>
      <c r="H35" s="10"/>
      <c r="I35" s="10"/>
      <c r="J35" s="10"/>
      <c r="K35" s="10"/>
      <c r="L35" s="10"/>
    </row>
    <row r="36" spans="1:14" x14ac:dyDescent="0.25">
      <c r="A36" s="9"/>
      <c r="B36" s="6"/>
      <c r="C36" s="6"/>
      <c r="F36" s="10"/>
      <c r="G36" s="10"/>
      <c r="H36" s="10"/>
      <c r="I36" s="10"/>
      <c r="J36" s="10"/>
      <c r="K36" s="10"/>
      <c r="L36" s="10"/>
    </row>
    <row r="37" spans="1:14" x14ac:dyDescent="0.25">
      <c r="A37" s="9"/>
      <c r="B37" s="6"/>
      <c r="C37" s="6"/>
      <c r="F37" s="10"/>
      <c r="G37" s="10"/>
      <c r="H37" s="10"/>
      <c r="I37" s="10"/>
      <c r="J37" s="10"/>
      <c r="K37" s="10"/>
      <c r="L37" s="10"/>
    </row>
    <row r="38" spans="1:14" x14ac:dyDescent="0.25">
      <c r="A38" s="9"/>
      <c r="B38" s="6"/>
      <c r="C38" s="6"/>
      <c r="F38" s="10"/>
      <c r="G38" s="10"/>
      <c r="H38" s="10"/>
      <c r="I38" s="10"/>
      <c r="J38" s="10"/>
      <c r="K38" s="10"/>
      <c r="L38" s="10"/>
    </row>
    <row r="39" spans="1:14" x14ac:dyDescent="0.25">
      <c r="A39" s="9"/>
      <c r="B39" s="6"/>
      <c r="C39" s="6"/>
      <c r="F39" s="10"/>
      <c r="G39" s="10"/>
      <c r="H39" s="10"/>
      <c r="I39" s="10"/>
      <c r="J39" s="10"/>
      <c r="K39" s="10"/>
      <c r="L39" s="10"/>
    </row>
    <row r="40" spans="1:14" x14ac:dyDescent="0.25">
      <c r="A40" s="9"/>
      <c r="B40" s="6"/>
      <c r="C40" s="6"/>
      <c r="F40" s="10"/>
      <c r="G40" s="10"/>
      <c r="H40" s="10"/>
      <c r="I40" s="10"/>
      <c r="J40" s="10"/>
      <c r="K40" s="10"/>
      <c r="L40" s="10"/>
    </row>
    <row r="41" spans="1:14" x14ac:dyDescent="0.25">
      <c r="A41" s="9"/>
      <c r="B41" s="6"/>
      <c r="C41" s="6"/>
      <c r="F41" s="10"/>
      <c r="G41" s="10"/>
      <c r="H41" s="10"/>
      <c r="I41" s="10"/>
      <c r="J41" s="10"/>
      <c r="K41" s="10"/>
      <c r="L41" s="10"/>
    </row>
    <row r="42" spans="1:14" x14ac:dyDescent="0.25">
      <c r="A42" s="9"/>
      <c r="B42" s="6"/>
      <c r="C42" s="6"/>
      <c r="F42" s="10"/>
      <c r="G42" s="10"/>
      <c r="H42" s="10"/>
      <c r="I42" s="10"/>
      <c r="J42" s="10"/>
      <c r="K42" s="10"/>
      <c r="L42" s="10"/>
    </row>
    <row r="43" spans="1:14" x14ac:dyDescent="0.25">
      <c r="A43" s="9"/>
      <c r="B43" s="6"/>
      <c r="C43" s="6"/>
      <c r="F43" s="10"/>
      <c r="G43" s="10"/>
      <c r="H43" s="10"/>
      <c r="I43" s="10"/>
      <c r="J43" s="10"/>
      <c r="K43" s="10"/>
      <c r="L43" s="10"/>
    </row>
    <row r="44" spans="1:14" x14ac:dyDescent="0.25">
      <c r="A44" s="9"/>
      <c r="B44" s="6"/>
      <c r="C44" s="6"/>
      <c r="F44" s="10"/>
      <c r="G44" s="10"/>
      <c r="H44" s="10"/>
      <c r="I44" s="10"/>
      <c r="J44" s="10"/>
      <c r="K44" s="10"/>
      <c r="L44" s="10"/>
    </row>
    <row r="45" spans="1:14" x14ac:dyDescent="0.25">
      <c r="A45" s="9"/>
      <c r="B45" s="6"/>
      <c r="C45" s="6"/>
      <c r="F45" s="10"/>
      <c r="G45" s="10"/>
      <c r="H45" s="10"/>
      <c r="I45" s="10"/>
      <c r="J45" s="10"/>
      <c r="K45" s="10"/>
      <c r="L45" s="10"/>
    </row>
    <row r="46" spans="1:14" x14ac:dyDescent="0.25">
      <c r="A46" s="9"/>
      <c r="B46" s="6"/>
      <c r="C46" s="6"/>
      <c r="F46" s="10"/>
      <c r="G46" s="10"/>
      <c r="H46" s="10"/>
      <c r="I46" s="10"/>
      <c r="J46" s="10"/>
      <c r="K46" s="10"/>
      <c r="L46" s="10"/>
    </row>
    <row r="47" spans="1:14" x14ac:dyDescent="0.25">
      <c r="A47" s="9"/>
      <c r="B47" s="6"/>
      <c r="C47" s="6"/>
      <c r="F47" s="10"/>
      <c r="G47" s="10"/>
      <c r="H47" s="10"/>
      <c r="I47" s="10"/>
      <c r="J47" s="10"/>
      <c r="K47" s="10"/>
      <c r="L47" s="10"/>
    </row>
    <row r="48" spans="1:14" x14ac:dyDescent="0.25">
      <c r="A48" s="9"/>
      <c r="B48" s="6"/>
      <c r="C48" s="6"/>
      <c r="F48" s="10"/>
      <c r="G48" s="10"/>
      <c r="H48" s="10"/>
      <c r="I48" s="10"/>
      <c r="J48" s="10"/>
      <c r="K48" s="10"/>
      <c r="L48" s="10"/>
    </row>
    <row r="49" spans="1:12" x14ac:dyDescent="0.25">
      <c r="A49" s="9"/>
      <c r="B49" s="6"/>
      <c r="C49" s="6"/>
      <c r="F49" s="10"/>
      <c r="G49" s="10"/>
      <c r="H49" s="10"/>
      <c r="I49" s="10"/>
      <c r="J49" s="10"/>
      <c r="K49" s="10"/>
      <c r="L49" s="10"/>
    </row>
    <row r="50" spans="1:12" x14ac:dyDescent="0.25">
      <c r="A50" s="9"/>
      <c r="B50" s="6"/>
      <c r="C50" s="6"/>
      <c r="F50" s="10"/>
      <c r="G50" s="10"/>
      <c r="H50" s="10"/>
      <c r="I50" s="10"/>
      <c r="J50" s="10"/>
      <c r="K50" s="10"/>
      <c r="L50" s="10"/>
    </row>
    <row r="51" spans="1:12" x14ac:dyDescent="0.25">
      <c r="A51" s="9"/>
      <c r="B51" s="6"/>
      <c r="C51" s="6"/>
      <c r="F51" s="10"/>
      <c r="G51" s="10"/>
      <c r="H51" s="10"/>
      <c r="I51" s="10"/>
      <c r="J51" s="10"/>
      <c r="K51" s="10"/>
      <c r="L51" s="10"/>
    </row>
    <row r="52" spans="1:12" x14ac:dyDescent="0.25">
      <c r="A52" s="9"/>
      <c r="B52" s="6"/>
      <c r="C52" s="6"/>
      <c r="F52" s="10"/>
      <c r="G52" s="10"/>
      <c r="H52" s="10"/>
      <c r="I52" s="10"/>
      <c r="J52" s="10"/>
      <c r="K52" s="10"/>
      <c r="L52" s="10"/>
    </row>
    <row r="53" spans="1:12" x14ac:dyDescent="0.25">
      <c r="A53" s="9"/>
      <c r="B53" s="6"/>
      <c r="C53" s="6"/>
      <c r="F53" s="10"/>
      <c r="G53" s="10"/>
      <c r="H53" s="10"/>
      <c r="I53" s="10"/>
      <c r="J53" s="10"/>
      <c r="K53" s="10"/>
      <c r="L53" s="10"/>
    </row>
    <row r="54" spans="1:12" x14ac:dyDescent="0.25">
      <c r="A54" s="9"/>
      <c r="B54" s="6"/>
      <c r="C54" s="6"/>
      <c r="F54" s="10"/>
      <c r="G54" s="10"/>
      <c r="H54" s="10"/>
      <c r="I54" s="10"/>
      <c r="J54" s="10"/>
      <c r="K54" s="10"/>
      <c r="L54" s="10"/>
    </row>
    <row r="55" spans="1:12" x14ac:dyDescent="0.25">
      <c r="A55" s="9"/>
      <c r="B55" s="6"/>
      <c r="C55" s="6"/>
      <c r="F55" s="10"/>
      <c r="G55" s="10"/>
      <c r="H55" s="10"/>
      <c r="I55" s="10"/>
      <c r="J55" s="10"/>
      <c r="K55" s="10"/>
      <c r="L55" s="10"/>
    </row>
    <row r="56" spans="1:12" x14ac:dyDescent="0.25">
      <c r="A56" s="9"/>
      <c r="B56" s="6"/>
      <c r="C56" s="6"/>
      <c r="F56" s="10"/>
      <c r="G56" s="10"/>
      <c r="H56" s="10"/>
      <c r="I56" s="10"/>
      <c r="J56" s="10"/>
      <c r="K56" s="10"/>
      <c r="L56" s="10"/>
    </row>
    <row r="57" spans="1:12" x14ac:dyDescent="0.25">
      <c r="A57" s="9"/>
      <c r="B57" s="6"/>
      <c r="C57" s="6"/>
      <c r="F57" s="10"/>
      <c r="G57" s="10"/>
      <c r="H57" s="10"/>
      <c r="I57" s="10"/>
      <c r="J57" s="10"/>
      <c r="K57" s="10"/>
      <c r="L57" s="10"/>
    </row>
    <row r="58" spans="1:12" x14ac:dyDescent="0.25">
      <c r="A58" s="9"/>
      <c r="B58" s="6"/>
      <c r="C58" s="6"/>
      <c r="F58" s="10"/>
      <c r="G58" s="10"/>
      <c r="H58" s="10"/>
      <c r="I58" s="10"/>
      <c r="J58" s="10"/>
      <c r="K58" s="10"/>
      <c r="L58" s="10"/>
    </row>
    <row r="59" spans="1:12" x14ac:dyDescent="0.25">
      <c r="A59" s="9"/>
      <c r="B59" s="6"/>
      <c r="C59" s="6"/>
      <c r="F59" s="10"/>
      <c r="G59" s="10"/>
      <c r="H59" s="10"/>
      <c r="I59" s="10"/>
      <c r="J59" s="10"/>
      <c r="K59" s="10"/>
      <c r="L59" s="10"/>
    </row>
    <row r="60" spans="1:12" x14ac:dyDescent="0.25">
      <c r="A60" s="9"/>
      <c r="B60" s="6"/>
      <c r="C60" s="6"/>
      <c r="F60" s="10"/>
      <c r="G60" s="10"/>
      <c r="H60" s="10"/>
      <c r="I60" s="10"/>
      <c r="J60" s="10"/>
      <c r="K60" s="10"/>
      <c r="L60" s="10"/>
    </row>
    <row r="61" spans="1:12" x14ac:dyDescent="0.25">
      <c r="A61" s="9"/>
      <c r="B61" s="6"/>
      <c r="C61" s="6"/>
      <c r="F61" s="10"/>
      <c r="G61" s="10"/>
      <c r="H61" s="10"/>
      <c r="I61" s="10"/>
      <c r="J61" s="10"/>
      <c r="K61" s="10"/>
      <c r="L61" s="10"/>
    </row>
    <row r="62" spans="1:12" x14ac:dyDescent="0.25">
      <c r="A62" s="9"/>
      <c r="B62" s="6"/>
      <c r="C62" s="6"/>
      <c r="F62" s="10"/>
      <c r="G62" s="10"/>
      <c r="H62" s="10"/>
      <c r="I62" s="10"/>
      <c r="J62" s="10"/>
      <c r="K62" s="10"/>
      <c r="L62" s="10"/>
    </row>
    <row r="63" spans="1:12" x14ac:dyDescent="0.25">
      <c r="A63" s="9"/>
      <c r="B63" s="6"/>
      <c r="C63" s="6"/>
      <c r="F63" s="10"/>
      <c r="G63" s="10"/>
      <c r="H63" s="10"/>
      <c r="I63" s="10"/>
      <c r="J63" s="10"/>
      <c r="K63" s="10"/>
      <c r="L63" s="10"/>
    </row>
    <row r="64" spans="1:12" x14ac:dyDescent="0.25">
      <c r="A64" s="9"/>
      <c r="B64" s="6"/>
      <c r="C64" s="6"/>
      <c r="F64" s="10"/>
      <c r="G64" s="10"/>
      <c r="H64" s="10"/>
      <c r="I64" s="10"/>
      <c r="J64" s="10"/>
      <c r="K64" s="10"/>
      <c r="L64" s="10"/>
    </row>
    <row r="65" spans="1:12" x14ac:dyDescent="0.25">
      <c r="A65" s="9"/>
      <c r="B65" s="6"/>
      <c r="C65" s="6"/>
      <c r="F65" s="10"/>
      <c r="G65" s="10"/>
      <c r="H65" s="10"/>
      <c r="I65" s="10"/>
      <c r="J65" s="10"/>
      <c r="K65" s="10"/>
      <c r="L65" s="10"/>
    </row>
    <row r="66" spans="1:12" x14ac:dyDescent="0.25">
      <c r="A66" s="9"/>
      <c r="B66" s="6"/>
      <c r="C66" s="6"/>
      <c r="F66" s="10"/>
      <c r="G66" s="10"/>
      <c r="H66" s="10"/>
      <c r="I66" s="10"/>
      <c r="J66" s="10"/>
      <c r="K66" s="10"/>
      <c r="L66" s="10"/>
    </row>
    <row r="67" spans="1:12" x14ac:dyDescent="0.25">
      <c r="A67" s="9"/>
      <c r="B67" s="6"/>
      <c r="C67" s="6"/>
      <c r="F67" s="10"/>
      <c r="G67" s="10"/>
      <c r="H67" s="10"/>
      <c r="I67" s="10"/>
      <c r="J67" s="10"/>
      <c r="K67" s="10"/>
      <c r="L67" s="10"/>
    </row>
    <row r="68" spans="1:12" x14ac:dyDescent="0.25">
      <c r="A68" s="9"/>
      <c r="B68" s="6"/>
      <c r="C68" s="6"/>
      <c r="F68" s="10"/>
      <c r="G68" s="10"/>
      <c r="H68" s="10"/>
      <c r="I68" s="10"/>
      <c r="J68" s="10"/>
      <c r="K68" s="10"/>
      <c r="L68" s="10"/>
    </row>
    <row r="69" spans="1:12" x14ac:dyDescent="0.25">
      <c r="A69" s="9"/>
      <c r="B69" s="6"/>
      <c r="C69" s="6"/>
      <c r="F69" s="10"/>
      <c r="G69" s="10"/>
      <c r="H69" s="10"/>
      <c r="I69" s="10"/>
      <c r="J69" s="10"/>
      <c r="K69" s="10"/>
      <c r="L69" s="10"/>
    </row>
    <row r="70" spans="1:12" x14ac:dyDescent="0.25">
      <c r="A70" s="9"/>
      <c r="B70" s="6"/>
      <c r="C70" s="6"/>
      <c r="F70" s="10"/>
      <c r="G70" s="10"/>
      <c r="H70" s="10"/>
      <c r="I70" s="10"/>
      <c r="J70" s="10"/>
      <c r="K70" s="10"/>
      <c r="L70" s="10"/>
    </row>
    <row r="71" spans="1:12" x14ac:dyDescent="0.25">
      <c r="A71" s="9"/>
      <c r="B71" s="6"/>
      <c r="C71" s="6"/>
      <c r="F71" s="10"/>
      <c r="G71" s="10"/>
      <c r="H71" s="10"/>
      <c r="I71" s="10"/>
      <c r="J71" s="10"/>
      <c r="K71" s="10"/>
      <c r="L71" s="10"/>
    </row>
    <row r="72" spans="1:12" x14ac:dyDescent="0.25">
      <c r="A72" s="9"/>
      <c r="B72" s="6"/>
      <c r="C72" s="6"/>
      <c r="F72" s="10"/>
      <c r="G72" s="10"/>
      <c r="H72" s="10"/>
      <c r="I72" s="10"/>
      <c r="J72" s="10"/>
      <c r="K72" s="10"/>
      <c r="L72" s="10"/>
    </row>
    <row r="73" spans="1:12" x14ac:dyDescent="0.25">
      <c r="A73" s="9"/>
      <c r="B73" s="6"/>
      <c r="C73" s="6"/>
      <c r="F73" s="10"/>
      <c r="G73" s="10"/>
      <c r="H73" s="10"/>
      <c r="I73" s="10"/>
      <c r="J73" s="10"/>
      <c r="K73" s="10"/>
      <c r="L73" s="10"/>
    </row>
    <row r="74" spans="1:12" x14ac:dyDescent="0.25">
      <c r="A74" s="9"/>
      <c r="B74" s="6"/>
      <c r="C74" s="6"/>
      <c r="F74" s="10"/>
      <c r="G74" s="10"/>
      <c r="H74" s="10"/>
      <c r="I74" s="10"/>
      <c r="J74" s="10"/>
      <c r="K74" s="10"/>
      <c r="L74" s="10"/>
    </row>
    <row r="75" spans="1:12" x14ac:dyDescent="0.25">
      <c r="A75" s="9"/>
      <c r="B75" s="6"/>
      <c r="C75" s="6"/>
      <c r="F75" s="10"/>
      <c r="G75" s="10"/>
      <c r="H75" s="10"/>
      <c r="I75" s="10"/>
      <c r="J75" s="10"/>
      <c r="K75" s="10"/>
      <c r="L75" s="10"/>
    </row>
    <row r="76" spans="1:12" x14ac:dyDescent="0.25">
      <c r="A76" s="9"/>
      <c r="B76" s="6"/>
      <c r="C76" s="6"/>
      <c r="F76" s="10"/>
      <c r="G76" s="10"/>
      <c r="H76" s="10"/>
      <c r="I76" s="10"/>
      <c r="J76" s="10"/>
      <c r="K76" s="10"/>
      <c r="L76" s="10"/>
    </row>
    <row r="77" spans="1:12" x14ac:dyDescent="0.25">
      <c r="A77" s="9"/>
      <c r="B77" s="6"/>
      <c r="C77" s="6"/>
      <c r="F77" s="10"/>
      <c r="G77" s="10"/>
      <c r="H77" s="10"/>
      <c r="I77" s="10"/>
      <c r="J77" s="10"/>
      <c r="K77" s="10"/>
      <c r="L77" s="10"/>
    </row>
    <row r="78" spans="1:12" x14ac:dyDescent="0.25">
      <c r="A78" s="9"/>
      <c r="B78" s="6"/>
      <c r="C78" s="6"/>
      <c r="F78" s="10"/>
      <c r="G78" s="10"/>
      <c r="H78" s="10"/>
      <c r="I78" s="10"/>
      <c r="J78" s="10"/>
      <c r="K78" s="10"/>
      <c r="L78" s="10"/>
    </row>
    <row r="79" spans="1:12" x14ac:dyDescent="0.25">
      <c r="A79" s="9"/>
      <c r="B79" s="6"/>
      <c r="C79" s="6"/>
      <c r="F79" s="10"/>
      <c r="G79" s="10"/>
      <c r="H79" s="10"/>
      <c r="I79" s="10"/>
      <c r="J79" s="10"/>
      <c r="K79" s="10"/>
      <c r="L79" s="10"/>
    </row>
    <row r="80" spans="1:12" x14ac:dyDescent="0.25">
      <c r="A80" s="9"/>
      <c r="B80" s="6"/>
      <c r="C80" s="6"/>
      <c r="F80" s="10"/>
      <c r="G80" s="10"/>
      <c r="H80" s="10"/>
      <c r="I80" s="10"/>
      <c r="J80" s="10"/>
      <c r="K80" s="10"/>
      <c r="L80" s="10"/>
    </row>
    <row r="81" spans="1:12" x14ac:dyDescent="0.25">
      <c r="A81" s="9"/>
      <c r="B81" s="6"/>
      <c r="C81" s="6"/>
      <c r="F81" s="10"/>
      <c r="G81" s="10"/>
      <c r="H81" s="10"/>
      <c r="I81" s="10"/>
      <c r="J81" s="10"/>
      <c r="K81" s="10"/>
      <c r="L81" s="10"/>
    </row>
    <row r="82" spans="1:12" x14ac:dyDescent="0.25">
      <c r="A82" s="9"/>
      <c r="B82" s="6"/>
      <c r="C82" s="6"/>
      <c r="F82" s="10"/>
      <c r="G82" s="10"/>
      <c r="H82" s="10"/>
      <c r="I82" s="10"/>
      <c r="J82" s="10"/>
      <c r="K82" s="10"/>
      <c r="L82" s="10"/>
    </row>
    <row r="83" spans="1:12" x14ac:dyDescent="0.25">
      <c r="A83" s="9"/>
      <c r="B83" s="6"/>
      <c r="C83" s="6"/>
      <c r="F83" s="10"/>
      <c r="G83" s="10"/>
      <c r="H83" s="10"/>
      <c r="I83" s="10"/>
      <c r="J83" s="10"/>
      <c r="K83" s="10"/>
      <c r="L83" s="10"/>
    </row>
    <row r="84" spans="1:12" x14ac:dyDescent="0.25">
      <c r="A84" s="9"/>
      <c r="B84" s="6"/>
      <c r="C84" s="6"/>
      <c r="F84" s="10"/>
      <c r="G84" s="10"/>
      <c r="H84" s="10"/>
      <c r="I84" s="10"/>
      <c r="J84" s="10"/>
      <c r="K84" s="10"/>
      <c r="L84" s="10"/>
    </row>
    <row r="85" spans="1:12" x14ac:dyDescent="0.25">
      <c r="A85" s="9"/>
      <c r="B85" s="6"/>
      <c r="C85" s="6"/>
      <c r="F85" s="10"/>
      <c r="G85" s="10"/>
      <c r="H85" s="10"/>
      <c r="I85" s="10"/>
      <c r="J85" s="10"/>
      <c r="K85" s="10"/>
      <c r="L85" s="10"/>
    </row>
    <row r="86" spans="1:12" x14ac:dyDescent="0.25">
      <c r="A86" s="9"/>
      <c r="B86" s="6"/>
      <c r="C86" s="6"/>
      <c r="F86" s="10"/>
      <c r="G86" s="10"/>
      <c r="H86" s="10"/>
      <c r="I86" s="10"/>
      <c r="J86" s="10"/>
      <c r="K86" s="10"/>
      <c r="L86" s="10"/>
    </row>
    <row r="87" spans="1:12" x14ac:dyDescent="0.25">
      <c r="A87" s="9"/>
      <c r="B87" s="6"/>
      <c r="C87" s="6"/>
      <c r="F87" s="10"/>
      <c r="G87" s="10"/>
      <c r="H87" s="10"/>
      <c r="I87" s="10"/>
      <c r="J87" s="10"/>
      <c r="K87" s="10"/>
      <c r="L87" s="10"/>
    </row>
    <row r="88" spans="1:12" x14ac:dyDescent="0.25">
      <c r="A88" s="9"/>
      <c r="B88" s="6"/>
      <c r="C88" s="6"/>
      <c r="F88" s="10"/>
      <c r="G88" s="10"/>
      <c r="H88" s="10"/>
      <c r="I88" s="10"/>
      <c r="J88" s="10"/>
      <c r="K88" s="10"/>
      <c r="L88" s="10"/>
    </row>
    <row r="89" spans="1:12" x14ac:dyDescent="0.25">
      <c r="A89" s="9"/>
      <c r="B89" s="6"/>
      <c r="C89" s="6"/>
      <c r="F89" s="10"/>
      <c r="G89" s="10"/>
      <c r="H89" s="10"/>
      <c r="I89" s="10"/>
      <c r="J89" s="10"/>
      <c r="K89" s="10"/>
      <c r="L89" s="10"/>
    </row>
    <row r="90" spans="1:12" x14ac:dyDescent="0.25">
      <c r="A90" s="9"/>
      <c r="B90" s="6"/>
      <c r="C90" s="6"/>
      <c r="F90" s="10"/>
      <c r="G90" s="10"/>
      <c r="H90" s="10"/>
      <c r="I90" s="10"/>
      <c r="J90" s="10"/>
      <c r="K90" s="10"/>
      <c r="L90" s="10"/>
    </row>
    <row r="91" spans="1:12" x14ac:dyDescent="0.25">
      <c r="A91" s="9"/>
      <c r="B91" s="6"/>
      <c r="C91" s="6"/>
      <c r="F91" s="10"/>
      <c r="G91" s="10"/>
      <c r="H91" s="10"/>
      <c r="I91" s="10"/>
      <c r="J91" s="10"/>
      <c r="K91" s="10"/>
      <c r="L91" s="10"/>
    </row>
    <row r="92" spans="1:12" x14ac:dyDescent="0.25">
      <c r="A92" s="9"/>
      <c r="B92" s="6"/>
      <c r="C92" s="6"/>
      <c r="F92" s="10"/>
      <c r="G92" s="10"/>
      <c r="H92" s="10"/>
      <c r="I92" s="10"/>
      <c r="J92" s="10"/>
      <c r="K92" s="10"/>
      <c r="L92" s="10"/>
    </row>
    <row r="93" spans="1:12" x14ac:dyDescent="0.25">
      <c r="A93" s="9"/>
      <c r="B93" s="6"/>
      <c r="C93" s="6"/>
      <c r="F93" s="10"/>
      <c r="G93" s="10"/>
      <c r="H93" s="10"/>
      <c r="I93" s="10"/>
      <c r="J93" s="10"/>
      <c r="K93" s="10"/>
      <c r="L93" s="10"/>
    </row>
    <row r="94" spans="1:12" x14ac:dyDescent="0.25">
      <c r="A94" s="9"/>
      <c r="B94" s="6"/>
      <c r="C94" s="6"/>
      <c r="F94" s="10"/>
      <c r="G94" s="10"/>
      <c r="H94" s="10"/>
      <c r="I94" s="10"/>
      <c r="J94" s="10"/>
      <c r="K94" s="10"/>
      <c r="L94" s="10"/>
    </row>
    <row r="95" spans="1:12" x14ac:dyDescent="0.25">
      <c r="A95" s="9"/>
      <c r="B95" s="6"/>
      <c r="C95" s="6"/>
      <c r="F95" s="10"/>
      <c r="G95" s="10"/>
      <c r="H95" s="10"/>
      <c r="I95" s="10"/>
      <c r="J95" s="10"/>
      <c r="K95" s="10"/>
      <c r="L95" s="10"/>
    </row>
    <row r="96" spans="1:12" x14ac:dyDescent="0.25">
      <c r="A96" s="9"/>
      <c r="B96" s="6"/>
      <c r="C96" s="6"/>
      <c r="F96" s="10"/>
      <c r="G96" s="10"/>
      <c r="H96" s="10"/>
      <c r="I96" s="10"/>
      <c r="J96" s="10"/>
      <c r="K96" s="10"/>
      <c r="L96" s="10"/>
    </row>
    <row r="97" spans="1:12" x14ac:dyDescent="0.25">
      <c r="A97" s="9"/>
      <c r="B97" s="6"/>
      <c r="C97" s="6"/>
      <c r="F97" s="10"/>
      <c r="G97" s="10"/>
      <c r="H97" s="10"/>
      <c r="I97" s="10"/>
      <c r="J97" s="10"/>
      <c r="K97" s="10"/>
      <c r="L97" s="10"/>
    </row>
    <row r="98" spans="1:12" x14ac:dyDescent="0.25">
      <c r="A98" s="9"/>
      <c r="B98" s="6"/>
      <c r="C98" s="6"/>
      <c r="F98" s="10"/>
      <c r="G98" s="10"/>
      <c r="H98" s="10"/>
      <c r="I98" s="10"/>
      <c r="J98" s="10"/>
      <c r="K98" s="10"/>
      <c r="L98" s="10"/>
    </row>
    <row r="99" spans="1:12" x14ac:dyDescent="0.25">
      <c r="A99" s="9"/>
      <c r="B99" s="6"/>
      <c r="C99" s="6"/>
      <c r="F99" s="10"/>
      <c r="G99" s="10"/>
      <c r="H99" s="10"/>
      <c r="I99" s="10"/>
      <c r="J99" s="10"/>
      <c r="K99" s="10"/>
      <c r="L99" s="10"/>
    </row>
    <row r="100" spans="1:12" x14ac:dyDescent="0.25">
      <c r="A100" s="9"/>
      <c r="B100" s="6"/>
      <c r="C100" s="6"/>
      <c r="F100" s="10"/>
      <c r="G100" s="10"/>
      <c r="H100" s="10"/>
      <c r="I100" s="10"/>
      <c r="J100" s="10"/>
      <c r="K100" s="10"/>
      <c r="L100" s="10"/>
    </row>
    <row r="101" spans="1:12" x14ac:dyDescent="0.25">
      <c r="A101" s="9"/>
      <c r="B101" s="6"/>
      <c r="C101" s="6"/>
      <c r="F101" s="10"/>
      <c r="G101" s="10"/>
      <c r="H101" s="10"/>
      <c r="I101" s="10"/>
      <c r="J101" s="10"/>
      <c r="K101" s="10"/>
      <c r="L101" s="10"/>
    </row>
    <row r="102" spans="1:12" x14ac:dyDescent="0.25">
      <c r="A102" s="9"/>
      <c r="B102" s="6"/>
      <c r="C102" s="6"/>
      <c r="F102" s="10"/>
      <c r="G102" s="10"/>
      <c r="H102" s="10"/>
      <c r="I102" s="10"/>
      <c r="J102" s="10"/>
      <c r="K102" s="10"/>
      <c r="L102" s="10"/>
    </row>
    <row r="103" spans="1:12" x14ac:dyDescent="0.25">
      <c r="A103" s="9"/>
      <c r="B103" s="6"/>
      <c r="C103" s="6"/>
      <c r="F103" s="10"/>
      <c r="G103" s="10"/>
      <c r="H103" s="10"/>
      <c r="I103" s="10"/>
      <c r="J103" s="10"/>
      <c r="K103" s="10"/>
      <c r="L103" s="10"/>
    </row>
    <row r="104" spans="1:12" x14ac:dyDescent="0.25">
      <c r="A104" s="9"/>
      <c r="B104" s="6"/>
      <c r="C104" s="6"/>
      <c r="F104" s="10"/>
      <c r="G104" s="10"/>
      <c r="H104" s="10"/>
      <c r="I104" s="10"/>
      <c r="J104" s="10"/>
      <c r="K104" s="10"/>
      <c r="L104" s="10"/>
    </row>
    <row r="105" spans="1:12" x14ac:dyDescent="0.25">
      <c r="A105" s="9"/>
      <c r="B105" s="6"/>
      <c r="C105" s="6"/>
      <c r="F105" s="10"/>
      <c r="G105" s="10"/>
      <c r="H105" s="10"/>
      <c r="I105" s="10"/>
      <c r="J105" s="10"/>
      <c r="K105" s="10"/>
      <c r="L105" s="10"/>
    </row>
    <row r="106" spans="1:12" x14ac:dyDescent="0.25">
      <c r="A106" s="9"/>
      <c r="B106" s="6"/>
      <c r="C106" s="6"/>
      <c r="F106" s="10"/>
      <c r="G106" s="10"/>
      <c r="H106" s="10"/>
      <c r="I106" s="10"/>
      <c r="J106" s="10"/>
      <c r="K106" s="10"/>
      <c r="L106" s="10"/>
    </row>
    <row r="107" spans="1:12" x14ac:dyDescent="0.25">
      <c r="A107" s="9"/>
      <c r="B107" s="6"/>
      <c r="C107" s="6"/>
      <c r="F107" s="10"/>
      <c r="G107" s="10"/>
      <c r="H107" s="10"/>
      <c r="I107" s="10"/>
      <c r="J107" s="10"/>
      <c r="K107" s="10"/>
      <c r="L107" s="10"/>
    </row>
    <row r="108" spans="1:12" x14ac:dyDescent="0.25">
      <c r="A108" s="9"/>
      <c r="B108" s="6"/>
      <c r="C108" s="6"/>
      <c r="F108" s="10"/>
      <c r="G108" s="10"/>
      <c r="H108" s="10"/>
      <c r="I108" s="10"/>
      <c r="J108" s="10"/>
      <c r="K108" s="10"/>
      <c r="L108" s="10"/>
    </row>
    <row r="109" spans="1:12" x14ac:dyDescent="0.25">
      <c r="A109" s="9"/>
      <c r="B109" s="6"/>
      <c r="C109" s="6"/>
      <c r="F109" s="10"/>
      <c r="G109" s="10"/>
      <c r="H109" s="10"/>
      <c r="I109" s="10"/>
      <c r="J109" s="10"/>
      <c r="K109" s="10"/>
      <c r="L109" s="10"/>
    </row>
    <row r="110" spans="1:12" x14ac:dyDescent="0.25">
      <c r="A110" s="9"/>
      <c r="B110" s="6"/>
      <c r="C110" s="6"/>
      <c r="F110" s="10"/>
      <c r="G110" s="10"/>
      <c r="H110" s="10"/>
      <c r="I110" s="10"/>
      <c r="J110" s="10"/>
      <c r="K110" s="10"/>
      <c r="L110" s="10"/>
    </row>
    <row r="111" spans="1:12" x14ac:dyDescent="0.25">
      <c r="A111" s="9"/>
      <c r="B111" s="6"/>
      <c r="C111" s="6"/>
      <c r="F111" s="10"/>
      <c r="G111" s="10"/>
      <c r="H111" s="10"/>
      <c r="I111" s="10"/>
      <c r="J111" s="10"/>
      <c r="K111" s="10"/>
      <c r="L111" s="10"/>
    </row>
    <row r="112" spans="1:12" x14ac:dyDescent="0.25">
      <c r="A112" s="9"/>
      <c r="B112" s="6"/>
      <c r="C112" s="6"/>
      <c r="F112" s="10"/>
      <c r="G112" s="10"/>
      <c r="H112" s="10"/>
      <c r="I112" s="10"/>
      <c r="J112" s="10"/>
      <c r="K112" s="10"/>
      <c r="L112" s="10"/>
    </row>
    <row r="113" spans="1:12" x14ac:dyDescent="0.25">
      <c r="A113" s="9"/>
      <c r="B113" s="6"/>
      <c r="C113" s="6"/>
      <c r="F113" s="10"/>
      <c r="G113" s="10"/>
      <c r="H113" s="10"/>
      <c r="I113" s="10"/>
      <c r="J113" s="10"/>
      <c r="K113" s="10"/>
      <c r="L113" s="10"/>
    </row>
    <row r="114" spans="1:12" x14ac:dyDescent="0.25">
      <c r="A114" s="9"/>
      <c r="B114" s="6"/>
      <c r="C114" s="6"/>
      <c r="F114" s="10"/>
      <c r="G114" s="10"/>
      <c r="H114" s="10"/>
      <c r="I114" s="10"/>
      <c r="J114" s="10"/>
      <c r="K114" s="10"/>
      <c r="L114" s="10"/>
    </row>
    <row r="115" spans="1:12" x14ac:dyDescent="0.25">
      <c r="A115" s="9"/>
      <c r="B115" s="6"/>
      <c r="C115" s="6"/>
      <c r="F115" s="10"/>
      <c r="G115" s="10"/>
      <c r="H115" s="10"/>
      <c r="I115" s="10"/>
      <c r="J115" s="10"/>
      <c r="K115" s="10"/>
      <c r="L115" s="10"/>
    </row>
    <row r="116" spans="1:12" x14ac:dyDescent="0.25">
      <c r="A116" s="9"/>
      <c r="B116" s="6"/>
      <c r="C116" s="6"/>
      <c r="F116" s="10"/>
      <c r="G116" s="10"/>
      <c r="H116" s="10"/>
      <c r="I116" s="10"/>
      <c r="J116" s="10"/>
      <c r="K116" s="10"/>
      <c r="L116" s="10"/>
    </row>
    <row r="117" spans="1:12" x14ac:dyDescent="0.25">
      <c r="A117" s="9"/>
      <c r="B117" s="6"/>
      <c r="C117" s="6"/>
      <c r="F117" s="10"/>
      <c r="G117" s="10"/>
      <c r="H117" s="10"/>
      <c r="I117" s="10"/>
      <c r="J117" s="10"/>
      <c r="K117" s="10"/>
      <c r="L117" s="10"/>
    </row>
    <row r="118" spans="1:12" x14ac:dyDescent="0.25">
      <c r="A118" s="9"/>
      <c r="B118" s="6"/>
      <c r="C118" s="6"/>
      <c r="F118" s="10"/>
      <c r="G118" s="10"/>
      <c r="H118" s="10"/>
      <c r="I118" s="10"/>
      <c r="J118" s="10"/>
      <c r="K118" s="10"/>
      <c r="L118" s="10"/>
    </row>
    <row r="119" spans="1:12" x14ac:dyDescent="0.25">
      <c r="A119" s="9"/>
      <c r="B119" s="6"/>
      <c r="C119" s="6"/>
      <c r="F119" s="10"/>
      <c r="G119" s="10"/>
      <c r="H119" s="10"/>
      <c r="I119" s="10"/>
      <c r="J119" s="10"/>
      <c r="K119" s="10"/>
      <c r="L119" s="10"/>
    </row>
    <row r="120" spans="1:12" x14ac:dyDescent="0.25">
      <c r="A120" s="9"/>
      <c r="B120" s="6"/>
      <c r="C120" s="6"/>
      <c r="F120" s="10"/>
      <c r="G120" s="10"/>
      <c r="H120" s="10"/>
      <c r="I120" s="10"/>
      <c r="J120" s="10"/>
      <c r="K120" s="10"/>
      <c r="L120" s="10"/>
    </row>
    <row r="121" spans="1:12" x14ac:dyDescent="0.25">
      <c r="A121" s="9"/>
      <c r="B121" s="6"/>
      <c r="C121" s="6"/>
      <c r="F121" s="10"/>
      <c r="G121" s="10"/>
      <c r="H121" s="10"/>
      <c r="I121" s="10"/>
      <c r="J121" s="10"/>
      <c r="K121" s="10"/>
      <c r="L121" s="10"/>
    </row>
    <row r="122" spans="1:12" x14ac:dyDescent="0.25">
      <c r="A122" s="9"/>
      <c r="B122" s="6"/>
      <c r="C122" s="6"/>
      <c r="F122" s="10"/>
      <c r="G122" s="10"/>
      <c r="H122" s="10"/>
      <c r="I122" s="10"/>
      <c r="J122" s="10"/>
      <c r="K122" s="10"/>
      <c r="L122" s="10"/>
    </row>
    <row r="123" spans="1:12" x14ac:dyDescent="0.25">
      <c r="A123" s="9"/>
      <c r="B123" s="6"/>
      <c r="C123" s="6"/>
      <c r="F123" s="10"/>
      <c r="G123" s="10"/>
      <c r="H123" s="10"/>
      <c r="I123" s="10"/>
      <c r="J123" s="10"/>
      <c r="K123" s="10"/>
      <c r="L123" s="10"/>
    </row>
    <row r="124" spans="1:12" x14ac:dyDescent="0.25">
      <c r="A124" s="9"/>
      <c r="B124" s="6"/>
      <c r="C124" s="6"/>
      <c r="F124" s="10"/>
      <c r="G124" s="10"/>
      <c r="H124" s="10"/>
      <c r="I124" s="10"/>
      <c r="J124" s="10"/>
      <c r="K124" s="10"/>
      <c r="L124" s="10"/>
    </row>
    <row r="125" spans="1:12" x14ac:dyDescent="0.25">
      <c r="A125" s="9"/>
      <c r="B125" s="6"/>
      <c r="C125" s="6"/>
      <c r="F125" s="10"/>
      <c r="G125" s="10"/>
      <c r="H125" s="10"/>
      <c r="I125" s="10"/>
      <c r="J125" s="10"/>
      <c r="K125" s="10"/>
      <c r="L125" s="10"/>
    </row>
    <row r="126" spans="1:12" x14ac:dyDescent="0.25">
      <c r="A126" s="9"/>
      <c r="B126" s="6"/>
      <c r="C126" s="6"/>
      <c r="F126" s="10"/>
      <c r="G126" s="10"/>
      <c r="H126" s="10"/>
      <c r="I126" s="10"/>
      <c r="J126" s="10"/>
      <c r="K126" s="10"/>
      <c r="L126" s="10"/>
    </row>
    <row r="127" spans="1:12" x14ac:dyDescent="0.25">
      <c r="A127" s="9"/>
      <c r="B127" s="6"/>
      <c r="C127" s="6"/>
      <c r="F127" s="10"/>
      <c r="G127" s="10"/>
      <c r="H127" s="10"/>
      <c r="I127" s="10"/>
      <c r="J127" s="10"/>
      <c r="K127" s="10"/>
      <c r="L127" s="10"/>
    </row>
    <row r="128" spans="1:12" x14ac:dyDescent="0.25">
      <c r="A128" s="9"/>
      <c r="B128" s="6"/>
      <c r="C128" s="6"/>
      <c r="F128" s="10"/>
      <c r="G128" s="10"/>
      <c r="H128" s="10"/>
      <c r="I128" s="10"/>
      <c r="J128" s="10"/>
      <c r="K128" s="10"/>
      <c r="L128" s="10"/>
    </row>
    <row r="129" spans="1:12" x14ac:dyDescent="0.25">
      <c r="A129" s="9"/>
      <c r="B129" s="6"/>
      <c r="C129" s="6"/>
      <c r="F129" s="10"/>
      <c r="G129" s="10"/>
      <c r="H129" s="10"/>
      <c r="I129" s="10"/>
      <c r="J129" s="10"/>
      <c r="K129" s="10"/>
      <c r="L129" s="10"/>
    </row>
    <row r="130" spans="1:12" x14ac:dyDescent="0.25">
      <c r="A130" s="9"/>
      <c r="B130" s="6"/>
      <c r="C130" s="6"/>
      <c r="F130" s="10"/>
      <c r="G130" s="10"/>
      <c r="H130" s="10"/>
      <c r="I130" s="10"/>
      <c r="J130" s="10"/>
      <c r="K130" s="10"/>
      <c r="L130" s="10"/>
    </row>
    <row r="131" spans="1:12" x14ac:dyDescent="0.25">
      <c r="A131" s="9"/>
      <c r="B131" s="6"/>
      <c r="C131" s="6"/>
      <c r="F131" s="10"/>
      <c r="G131" s="10"/>
      <c r="H131" s="10"/>
      <c r="I131" s="10"/>
      <c r="J131" s="10"/>
      <c r="K131" s="10"/>
      <c r="L131" s="10"/>
    </row>
    <row r="132" spans="1:12" x14ac:dyDescent="0.25">
      <c r="A132" s="9"/>
      <c r="B132" s="6"/>
      <c r="C132" s="6"/>
      <c r="F132" s="10"/>
      <c r="G132" s="10"/>
      <c r="H132" s="10"/>
      <c r="I132" s="10"/>
      <c r="J132" s="10"/>
      <c r="K132" s="10"/>
      <c r="L132" s="10"/>
    </row>
    <row r="133" spans="1:12" x14ac:dyDescent="0.25">
      <c r="A133" s="9"/>
      <c r="B133" s="6"/>
      <c r="C133" s="6"/>
      <c r="F133" s="10"/>
      <c r="G133" s="10"/>
      <c r="H133" s="10"/>
      <c r="I133" s="10"/>
      <c r="J133" s="10"/>
      <c r="K133" s="10"/>
      <c r="L133" s="10"/>
    </row>
    <row r="134" spans="1:12" x14ac:dyDescent="0.25">
      <c r="A134" s="9"/>
      <c r="B134" s="6"/>
      <c r="C134" s="6"/>
      <c r="F134" s="10"/>
      <c r="G134" s="10"/>
      <c r="H134" s="10"/>
      <c r="I134" s="10"/>
      <c r="J134" s="10"/>
      <c r="K134" s="10"/>
      <c r="L134" s="10"/>
    </row>
    <row r="135" spans="1:12" x14ac:dyDescent="0.25">
      <c r="A135" s="9"/>
      <c r="B135" s="6"/>
      <c r="C135" s="6"/>
      <c r="F135" s="10"/>
      <c r="G135" s="10"/>
      <c r="H135" s="10"/>
      <c r="I135" s="10"/>
      <c r="J135" s="10"/>
      <c r="K135" s="10"/>
      <c r="L135" s="10"/>
    </row>
    <row r="136" spans="1:12" x14ac:dyDescent="0.25">
      <c r="A136" s="9"/>
      <c r="B136" s="6"/>
      <c r="C136" s="6"/>
      <c r="F136" s="10"/>
      <c r="G136" s="10"/>
      <c r="H136" s="10"/>
      <c r="I136" s="10"/>
      <c r="J136" s="10"/>
      <c r="K136" s="10"/>
      <c r="L136" s="10"/>
    </row>
    <row r="137" spans="1:12" x14ac:dyDescent="0.25">
      <c r="A137" s="9"/>
      <c r="B137" s="6"/>
      <c r="C137" s="6"/>
      <c r="F137" s="10"/>
      <c r="G137" s="10"/>
      <c r="H137" s="10"/>
      <c r="I137" s="10"/>
      <c r="J137" s="10"/>
      <c r="K137" s="10"/>
      <c r="L137" s="10"/>
    </row>
    <row r="138" spans="1:12" x14ac:dyDescent="0.25">
      <c r="A138" s="9"/>
      <c r="B138" s="6"/>
      <c r="C138" s="6"/>
      <c r="F138" s="10"/>
      <c r="G138" s="10"/>
      <c r="H138" s="10"/>
      <c r="I138" s="10"/>
      <c r="J138" s="10"/>
      <c r="K138" s="10"/>
      <c r="L138" s="10"/>
    </row>
    <row r="139" spans="1:12" x14ac:dyDescent="0.25">
      <c r="A139" s="9"/>
      <c r="B139" s="6"/>
      <c r="C139" s="6"/>
      <c r="F139" s="10"/>
      <c r="G139" s="10"/>
      <c r="H139" s="10"/>
      <c r="I139" s="10"/>
      <c r="J139" s="10"/>
      <c r="K139" s="10"/>
      <c r="L139" s="10"/>
    </row>
    <row r="140" spans="1:12" x14ac:dyDescent="0.25">
      <c r="A140" s="9"/>
      <c r="B140" s="6"/>
      <c r="C140" s="6"/>
      <c r="F140" s="10"/>
      <c r="G140" s="10"/>
      <c r="H140" s="10"/>
      <c r="I140" s="10"/>
      <c r="J140" s="10"/>
      <c r="K140" s="10"/>
      <c r="L140" s="10"/>
    </row>
    <row r="141" spans="1:12" x14ac:dyDescent="0.25">
      <c r="A141" s="9"/>
      <c r="B141" s="6"/>
      <c r="C141" s="6"/>
      <c r="F141" s="10"/>
      <c r="G141" s="10"/>
      <c r="H141" s="10"/>
      <c r="I141" s="10"/>
      <c r="J141" s="10"/>
      <c r="K141" s="10"/>
      <c r="L141" s="10"/>
    </row>
    <row r="142" spans="1:12" x14ac:dyDescent="0.25">
      <c r="A142" s="9"/>
      <c r="B142" s="6"/>
      <c r="C142" s="6"/>
      <c r="F142" s="10"/>
      <c r="G142" s="10"/>
      <c r="H142" s="10"/>
      <c r="I142" s="10"/>
      <c r="J142" s="10"/>
      <c r="K142" s="10"/>
      <c r="L142" s="10"/>
    </row>
    <row r="143" spans="1:12" x14ac:dyDescent="0.25">
      <c r="A143" s="9"/>
      <c r="B143" s="6"/>
      <c r="C143" s="6"/>
      <c r="F143" s="10"/>
      <c r="G143" s="10"/>
      <c r="H143" s="10"/>
      <c r="I143" s="10"/>
      <c r="J143" s="10"/>
      <c r="K143" s="10"/>
      <c r="L143" s="10"/>
    </row>
    <row r="144" spans="1:12" x14ac:dyDescent="0.25">
      <c r="A144" s="9"/>
      <c r="B144" s="6"/>
      <c r="C144" s="6"/>
      <c r="F144" s="10"/>
      <c r="G144" s="10"/>
      <c r="H144" s="10"/>
      <c r="I144" s="10"/>
      <c r="J144" s="10"/>
      <c r="K144" s="10"/>
      <c r="L144" s="10"/>
    </row>
    <row r="145" spans="1:12" x14ac:dyDescent="0.25">
      <c r="A145" s="9"/>
      <c r="B145" s="6"/>
      <c r="C145" s="6"/>
      <c r="F145" s="10"/>
      <c r="G145" s="10"/>
      <c r="H145" s="10"/>
      <c r="I145" s="10"/>
      <c r="J145" s="10"/>
      <c r="K145" s="10"/>
      <c r="L145" s="10"/>
    </row>
    <row r="146" spans="1:12" x14ac:dyDescent="0.25">
      <c r="A146" s="9"/>
      <c r="B146" s="6"/>
      <c r="C146" s="6"/>
      <c r="F146" s="10"/>
      <c r="G146" s="10"/>
      <c r="H146" s="10"/>
      <c r="I146" s="10"/>
      <c r="J146" s="10"/>
      <c r="K146" s="10"/>
      <c r="L146" s="10"/>
    </row>
    <row r="147" spans="1:12" x14ac:dyDescent="0.25">
      <c r="A147" s="9"/>
      <c r="B147" s="6"/>
      <c r="C147" s="6"/>
      <c r="F147" s="10"/>
      <c r="G147" s="10"/>
      <c r="H147" s="10"/>
      <c r="I147" s="10"/>
      <c r="J147" s="10"/>
      <c r="K147" s="10"/>
      <c r="L147" s="10"/>
    </row>
    <row r="148" spans="1:12" x14ac:dyDescent="0.25">
      <c r="A148" s="9"/>
      <c r="B148" s="6"/>
      <c r="C148" s="6"/>
      <c r="F148" s="10"/>
      <c r="G148" s="10"/>
      <c r="H148" s="10"/>
      <c r="I148" s="10"/>
      <c r="J148" s="10"/>
      <c r="K148" s="10"/>
      <c r="L148" s="10"/>
    </row>
    <row r="149" spans="1:12" x14ac:dyDescent="0.25">
      <c r="A149" s="9"/>
      <c r="B149" s="6"/>
      <c r="C149" s="6"/>
      <c r="F149" s="10"/>
      <c r="G149" s="10"/>
      <c r="H149" s="10"/>
      <c r="I149" s="10"/>
      <c r="J149" s="10"/>
      <c r="K149" s="10"/>
      <c r="L149" s="10"/>
    </row>
    <row r="150" spans="1:12" x14ac:dyDescent="0.25">
      <c r="A150" s="9"/>
      <c r="B150" s="6"/>
      <c r="C150" s="6"/>
      <c r="F150" s="10"/>
      <c r="G150" s="10"/>
      <c r="H150" s="10"/>
      <c r="I150" s="10"/>
      <c r="J150" s="10"/>
      <c r="K150" s="10"/>
      <c r="L150" s="10"/>
    </row>
    <row r="151" spans="1:12" x14ac:dyDescent="0.25">
      <c r="A151" s="9"/>
      <c r="B151" s="6"/>
      <c r="C151" s="6"/>
      <c r="F151" s="10"/>
      <c r="G151" s="10"/>
      <c r="H151" s="10"/>
      <c r="I151" s="10"/>
      <c r="J151" s="10"/>
      <c r="K151" s="10"/>
      <c r="L151" s="10"/>
    </row>
    <row r="152" spans="1:12" x14ac:dyDescent="0.25">
      <c r="A152" s="9"/>
      <c r="B152" s="6"/>
      <c r="C152" s="6"/>
      <c r="F152" s="10"/>
      <c r="G152" s="10"/>
      <c r="H152" s="10"/>
      <c r="I152" s="10"/>
      <c r="J152" s="10"/>
      <c r="K152" s="10"/>
      <c r="L152" s="10"/>
    </row>
    <row r="153" spans="1:12" x14ac:dyDescent="0.25">
      <c r="A153" s="9"/>
      <c r="B153" s="6"/>
      <c r="C153" s="6"/>
      <c r="F153" s="10"/>
      <c r="G153" s="10"/>
      <c r="H153" s="10"/>
      <c r="I153" s="10"/>
      <c r="J153" s="10"/>
      <c r="K153" s="10"/>
      <c r="L153" s="10"/>
    </row>
    <row r="154" spans="1:12" x14ac:dyDescent="0.25">
      <c r="A154" s="9"/>
      <c r="B154" s="6"/>
      <c r="C154" s="6"/>
      <c r="F154" s="10"/>
      <c r="G154" s="10"/>
      <c r="H154" s="10"/>
      <c r="I154" s="10"/>
      <c r="J154" s="10"/>
      <c r="K154" s="10"/>
      <c r="L154" s="10"/>
    </row>
    <row r="155" spans="1:12" x14ac:dyDescent="0.25">
      <c r="A155" s="9"/>
      <c r="B155" s="6"/>
      <c r="C155" s="6"/>
      <c r="F155" s="10"/>
      <c r="G155" s="10"/>
      <c r="H155" s="10"/>
      <c r="I155" s="10"/>
      <c r="J155" s="10"/>
      <c r="K155" s="10"/>
      <c r="L155" s="10"/>
    </row>
    <row r="156" spans="1:12" x14ac:dyDescent="0.25">
      <c r="A156" s="9"/>
      <c r="B156" s="6"/>
      <c r="C156" s="6"/>
      <c r="F156" s="10"/>
      <c r="G156" s="10"/>
      <c r="H156" s="10"/>
      <c r="I156" s="10"/>
      <c r="J156" s="10"/>
      <c r="K156" s="10"/>
      <c r="L156" s="10"/>
    </row>
    <row r="157" spans="1:12" x14ac:dyDescent="0.25">
      <c r="A157" s="9"/>
      <c r="B157" s="6"/>
      <c r="C157" s="6"/>
      <c r="F157" s="10"/>
      <c r="G157" s="10"/>
      <c r="H157" s="10"/>
      <c r="I157" s="10"/>
      <c r="J157" s="10"/>
      <c r="K157" s="10"/>
      <c r="L157" s="10"/>
    </row>
    <row r="158" spans="1:12" x14ac:dyDescent="0.25">
      <c r="A158" s="9"/>
      <c r="B158" s="6"/>
      <c r="C158" s="6"/>
      <c r="F158" s="10"/>
      <c r="G158" s="10"/>
      <c r="H158" s="10"/>
      <c r="I158" s="10"/>
      <c r="J158" s="10"/>
      <c r="K158" s="10"/>
      <c r="L158" s="10"/>
    </row>
    <row r="159" spans="1:12" x14ac:dyDescent="0.25">
      <c r="A159" s="9"/>
      <c r="B159" s="6"/>
      <c r="C159" s="6"/>
      <c r="F159" s="10"/>
      <c r="G159" s="10"/>
      <c r="H159" s="10"/>
      <c r="I159" s="10"/>
      <c r="J159" s="10"/>
      <c r="K159" s="10"/>
      <c r="L159" s="10"/>
    </row>
    <row r="160" spans="1:12" x14ac:dyDescent="0.25">
      <c r="A160" s="9"/>
      <c r="B160" s="6"/>
      <c r="C160" s="6"/>
      <c r="F160" s="10"/>
      <c r="G160" s="10"/>
      <c r="H160" s="10"/>
      <c r="I160" s="10"/>
      <c r="J160" s="10"/>
      <c r="K160" s="10"/>
      <c r="L160" s="10"/>
    </row>
    <row r="161" spans="1:12" x14ac:dyDescent="0.25">
      <c r="A161" s="9"/>
      <c r="B161" s="6"/>
      <c r="C161" s="6"/>
      <c r="F161" s="10"/>
      <c r="G161" s="10"/>
      <c r="H161" s="10"/>
      <c r="I161" s="10"/>
      <c r="J161" s="10"/>
      <c r="K161" s="10"/>
      <c r="L161" s="10"/>
    </row>
    <row r="162" spans="1:12" x14ac:dyDescent="0.25">
      <c r="A162" s="9"/>
      <c r="B162" s="6"/>
      <c r="C162" s="6"/>
      <c r="F162" s="10"/>
      <c r="G162" s="10"/>
      <c r="H162" s="10"/>
      <c r="I162" s="10"/>
      <c r="J162" s="10"/>
      <c r="K162" s="10"/>
      <c r="L162" s="10"/>
    </row>
    <row r="163" spans="1:12" x14ac:dyDescent="0.25">
      <c r="A163" s="9"/>
      <c r="B163" s="6"/>
      <c r="C163" s="6"/>
      <c r="F163" s="10"/>
      <c r="G163" s="10"/>
      <c r="H163" s="10"/>
      <c r="I163" s="10"/>
      <c r="J163" s="10"/>
      <c r="K163" s="10"/>
      <c r="L163" s="10"/>
    </row>
    <row r="164" spans="1:12" x14ac:dyDescent="0.25">
      <c r="A164" s="9"/>
      <c r="B164" s="6"/>
      <c r="C164" s="6"/>
      <c r="F164" s="10"/>
      <c r="G164" s="10"/>
      <c r="H164" s="10"/>
      <c r="I164" s="10"/>
      <c r="J164" s="10"/>
      <c r="K164" s="10"/>
      <c r="L164" s="10"/>
    </row>
    <row r="165" spans="1:12" x14ac:dyDescent="0.25">
      <c r="A165" s="9"/>
      <c r="B165" s="6"/>
      <c r="C165" s="6"/>
      <c r="F165" s="10"/>
      <c r="G165" s="10"/>
      <c r="H165" s="10"/>
      <c r="I165" s="10"/>
      <c r="J165" s="10"/>
      <c r="K165" s="10"/>
      <c r="L165" s="10"/>
    </row>
    <row r="166" spans="1:12" x14ac:dyDescent="0.25">
      <c r="A166" s="9"/>
      <c r="B166" s="6"/>
      <c r="C166" s="6"/>
      <c r="F166" s="10"/>
      <c r="G166" s="10"/>
      <c r="H166" s="10"/>
      <c r="I166" s="10"/>
      <c r="J166" s="10"/>
      <c r="K166" s="10"/>
      <c r="L166" s="10"/>
    </row>
    <row r="167" spans="1:12" x14ac:dyDescent="0.25">
      <c r="A167" s="9"/>
      <c r="B167" s="6"/>
      <c r="C167" s="6"/>
      <c r="F167" s="10"/>
      <c r="G167" s="10"/>
      <c r="H167" s="10"/>
      <c r="I167" s="10"/>
      <c r="J167" s="10"/>
      <c r="K167" s="10"/>
      <c r="L167" s="10"/>
    </row>
    <row r="168" spans="1:12" x14ac:dyDescent="0.25">
      <c r="A168" s="9"/>
      <c r="B168" s="6"/>
      <c r="C168" s="6"/>
      <c r="F168" s="10"/>
      <c r="G168" s="10"/>
      <c r="H168" s="10"/>
      <c r="I168" s="10"/>
      <c r="J168" s="10"/>
      <c r="K168" s="10"/>
      <c r="L168" s="10"/>
    </row>
    <row r="169" spans="1:12" x14ac:dyDescent="0.25">
      <c r="A169" s="9"/>
      <c r="B169" s="6"/>
      <c r="C169" s="6"/>
      <c r="F169" s="10"/>
      <c r="G169" s="10"/>
      <c r="H169" s="10"/>
      <c r="I169" s="10"/>
      <c r="J169" s="10"/>
      <c r="K169" s="10"/>
      <c r="L169" s="10"/>
    </row>
    <row r="170" spans="1:12" x14ac:dyDescent="0.25">
      <c r="A170" s="9"/>
      <c r="B170" s="6"/>
      <c r="C170" s="6"/>
      <c r="F170" s="10"/>
      <c r="G170" s="10"/>
      <c r="H170" s="10"/>
      <c r="I170" s="10"/>
      <c r="J170" s="10"/>
      <c r="K170" s="10"/>
      <c r="L170" s="10"/>
    </row>
    <row r="171" spans="1:12" x14ac:dyDescent="0.25">
      <c r="A171" s="9"/>
      <c r="B171" s="6"/>
      <c r="C171" s="6"/>
      <c r="F171" s="10"/>
      <c r="G171" s="10"/>
      <c r="H171" s="10"/>
      <c r="I171" s="10"/>
      <c r="J171" s="10"/>
      <c r="K171" s="10"/>
      <c r="L171" s="10"/>
    </row>
    <row r="172" spans="1:12" x14ac:dyDescent="0.25">
      <c r="A172" s="9"/>
      <c r="B172" s="6"/>
      <c r="C172" s="6"/>
      <c r="F172" s="10"/>
      <c r="G172" s="10"/>
      <c r="H172" s="10"/>
      <c r="I172" s="10"/>
      <c r="J172" s="10"/>
      <c r="K172" s="10"/>
      <c r="L172" s="10"/>
    </row>
    <row r="173" spans="1:12" x14ac:dyDescent="0.25">
      <c r="A173" s="9"/>
      <c r="B173" s="6"/>
      <c r="C173" s="6"/>
      <c r="F173" s="10"/>
      <c r="G173" s="10"/>
      <c r="H173" s="10"/>
      <c r="I173" s="10"/>
      <c r="J173" s="10"/>
      <c r="K173" s="10"/>
      <c r="L173" s="10"/>
    </row>
    <row r="174" spans="1:12" x14ac:dyDescent="0.25">
      <c r="A174" s="9"/>
      <c r="B174" s="6"/>
      <c r="C174" s="6"/>
      <c r="F174" s="10"/>
      <c r="G174" s="10"/>
      <c r="H174" s="10"/>
      <c r="I174" s="10"/>
      <c r="J174" s="10"/>
      <c r="K174" s="10"/>
      <c r="L174" s="10"/>
    </row>
    <row r="175" spans="1:12" x14ac:dyDescent="0.25">
      <c r="A175" s="9"/>
      <c r="B175" s="6"/>
      <c r="C175" s="6"/>
      <c r="F175" s="10"/>
      <c r="G175" s="10"/>
      <c r="H175" s="10"/>
      <c r="I175" s="10"/>
      <c r="J175" s="10"/>
      <c r="K175" s="10"/>
      <c r="L175" s="10"/>
    </row>
    <row r="176" spans="1:12" x14ac:dyDescent="0.25">
      <c r="A176" s="9"/>
      <c r="B176" s="6"/>
      <c r="C176" s="6"/>
      <c r="F176" s="10"/>
      <c r="G176" s="10"/>
      <c r="H176" s="10"/>
      <c r="I176" s="10"/>
      <c r="J176" s="10"/>
      <c r="K176" s="10"/>
      <c r="L176" s="10"/>
    </row>
    <row r="177" spans="1:12" x14ac:dyDescent="0.25">
      <c r="A177" s="9"/>
      <c r="B177" s="6"/>
      <c r="C177" s="6"/>
      <c r="F177" s="10"/>
      <c r="G177" s="10"/>
      <c r="H177" s="10"/>
      <c r="I177" s="10"/>
      <c r="J177" s="10"/>
      <c r="K177" s="10"/>
      <c r="L177" s="10"/>
    </row>
    <row r="178" spans="1:12" x14ac:dyDescent="0.25">
      <c r="A178" s="9"/>
      <c r="B178" s="6"/>
      <c r="C178" s="6"/>
      <c r="F178" s="10"/>
      <c r="G178" s="10"/>
      <c r="H178" s="10"/>
      <c r="I178" s="10"/>
      <c r="J178" s="10"/>
      <c r="K178" s="10"/>
      <c r="L178" s="10"/>
    </row>
    <row r="179" spans="1:12" x14ac:dyDescent="0.25">
      <c r="A179" s="9"/>
      <c r="B179" s="6"/>
      <c r="C179" s="6"/>
      <c r="F179" s="10"/>
      <c r="G179" s="10"/>
      <c r="H179" s="10"/>
      <c r="I179" s="10"/>
      <c r="J179" s="10"/>
      <c r="K179" s="10"/>
      <c r="L179" s="10"/>
    </row>
    <row r="180" spans="1:12" x14ac:dyDescent="0.25">
      <c r="A180" s="9"/>
      <c r="B180" s="6"/>
      <c r="C180" s="6"/>
      <c r="F180" s="10"/>
      <c r="G180" s="10"/>
      <c r="H180" s="10"/>
      <c r="I180" s="10"/>
      <c r="J180" s="10"/>
      <c r="K180" s="10"/>
      <c r="L180" s="10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6FF1-EBA0-4D02-951F-027D0086B760}">
  <dimension ref="A1:G16"/>
  <sheetViews>
    <sheetView workbookViewId="0">
      <selection activeCell="D17" sqref="D17"/>
    </sheetView>
  </sheetViews>
  <sheetFormatPr baseColWidth="10" defaultRowHeight="15" x14ac:dyDescent="0.25"/>
  <cols>
    <col min="1" max="1" width="21.5703125" bestFit="1" customWidth="1"/>
    <col min="3" max="3" width="12.5703125" bestFit="1" customWidth="1"/>
    <col min="7" max="7" width="14.140625" bestFit="1" customWidth="1"/>
  </cols>
  <sheetData>
    <row r="1" spans="1:7" x14ac:dyDescent="0.25">
      <c r="A1" t="s">
        <v>21</v>
      </c>
      <c r="B1" t="s">
        <v>1</v>
      </c>
      <c r="C1" t="s">
        <v>61</v>
      </c>
      <c r="D1" t="s">
        <v>62</v>
      </c>
      <c r="E1" t="s">
        <v>102</v>
      </c>
      <c r="F1" t="s">
        <v>146</v>
      </c>
      <c r="G1" t="s">
        <v>147</v>
      </c>
    </row>
    <row r="2" spans="1:7" x14ac:dyDescent="0.25">
      <c r="A2" t="s">
        <v>15</v>
      </c>
      <c r="B2" s="1">
        <v>24.01</v>
      </c>
      <c r="C2" s="6">
        <v>44013</v>
      </c>
      <c r="D2" s="6">
        <v>44926</v>
      </c>
      <c r="E2" t="str">
        <f ca="1">IF(OR(prelev[[#This Row],[A partir du]]&gt;TODAY(),prelev[[#This Row],[Jusqu''au]]&lt;TODAY()),"X","")</f>
        <v/>
      </c>
      <c r="F2">
        <v>5</v>
      </c>
      <c r="G2" s="6">
        <f ca="1">DATE(YEAR(TODAY()),MONTH(TODAY()),prelev[[#This Row],[Jour]])</f>
        <v>44079</v>
      </c>
    </row>
    <row r="3" spans="1:7" x14ac:dyDescent="0.25">
      <c r="A3" t="s">
        <v>16</v>
      </c>
      <c r="B3" s="1">
        <v>37.71</v>
      </c>
      <c r="C3" s="6">
        <v>44013</v>
      </c>
      <c r="D3" s="6">
        <v>44926</v>
      </c>
      <c r="E3" t="str">
        <f ca="1">IF(OR(prelev[[#This Row],[A partir du]]&gt;TODAY(),prelev[[#This Row],[Jusqu''au]]&lt;TODAY()),"X","")</f>
        <v/>
      </c>
      <c r="F3">
        <v>5</v>
      </c>
      <c r="G3" s="6">
        <f ca="1">DATE(YEAR(TODAY()),MONTH(TODAY()),prelev[[#This Row],[Jour]])</f>
        <v>44079</v>
      </c>
    </row>
    <row r="4" spans="1:7" x14ac:dyDescent="0.25">
      <c r="A4" t="s">
        <v>6</v>
      </c>
      <c r="B4" s="1">
        <v>33.119999999999997</v>
      </c>
      <c r="C4" s="6">
        <v>44013</v>
      </c>
      <c r="D4" s="6">
        <v>44926</v>
      </c>
      <c r="E4" t="str">
        <f ca="1">IF(OR(prelev[[#This Row],[A partir du]]&gt;TODAY(),prelev[[#This Row],[Jusqu''au]]&lt;TODAY()),"X","")</f>
        <v/>
      </c>
      <c r="F4">
        <v>5</v>
      </c>
      <c r="G4" s="6">
        <f ca="1">DATE(YEAR(TODAY()),MONTH(TODAY()),prelev[[#This Row],[Jour]])</f>
        <v>44079</v>
      </c>
    </row>
    <row r="5" spans="1:7" x14ac:dyDescent="0.25">
      <c r="A5" t="s">
        <v>14</v>
      </c>
      <c r="B5" s="1">
        <v>211.18</v>
      </c>
      <c r="C5" s="6">
        <v>44013</v>
      </c>
      <c r="D5" s="6">
        <v>44926</v>
      </c>
      <c r="E5" t="str">
        <f ca="1">IF(OR(prelev[[#This Row],[A partir du]]&gt;TODAY(),prelev[[#This Row],[Jusqu''au]]&lt;TODAY()),"X","")</f>
        <v/>
      </c>
      <c r="F5">
        <v>16</v>
      </c>
      <c r="G5" s="6">
        <f ca="1">DATE(YEAR(TODAY()),MONTH(TODAY()),prelev[[#This Row],[Jour]])</f>
        <v>44090</v>
      </c>
    </row>
    <row r="6" spans="1:7" x14ac:dyDescent="0.25">
      <c r="A6" t="s">
        <v>30</v>
      </c>
      <c r="B6" s="1">
        <v>9</v>
      </c>
      <c r="C6" s="6">
        <v>44013</v>
      </c>
      <c r="D6" s="6">
        <v>44926</v>
      </c>
      <c r="E6" t="str">
        <f ca="1">IF(OR(prelev[[#This Row],[A partir du]]&gt;TODAY(),prelev[[#This Row],[Jusqu''au]]&lt;TODAY()),"X","")</f>
        <v/>
      </c>
      <c r="F6">
        <v>14</v>
      </c>
      <c r="G6" s="6">
        <f ca="1">DATE(YEAR(TODAY()),MONTH(TODAY()),prelev[[#This Row],[Jour]])</f>
        <v>44088</v>
      </c>
    </row>
    <row r="7" spans="1:7" x14ac:dyDescent="0.25">
      <c r="A7" t="s">
        <v>91</v>
      </c>
      <c r="B7" s="1">
        <v>29.99</v>
      </c>
      <c r="C7" s="6">
        <v>44013</v>
      </c>
      <c r="D7" s="6">
        <v>44926</v>
      </c>
      <c r="E7" t="str">
        <f ca="1">IF(OR(prelev[[#This Row],[A partir du]]&gt;TODAY(),prelev[[#This Row],[Jusqu''au]]&lt;TODAY()),"X","")</f>
        <v/>
      </c>
      <c r="F7">
        <v>4</v>
      </c>
      <c r="G7" s="6">
        <f ca="1">DATE(YEAR(TODAY()),MONTH(TODAY()),prelev[[#This Row],[Jour]])</f>
        <v>44078</v>
      </c>
    </row>
    <row r="8" spans="1:7" x14ac:dyDescent="0.25">
      <c r="A8" t="s">
        <v>87</v>
      </c>
      <c r="B8" s="1">
        <v>0</v>
      </c>
      <c r="C8" s="6">
        <v>44136</v>
      </c>
      <c r="D8" s="6">
        <v>44926</v>
      </c>
      <c r="E8" t="str">
        <f ca="1">IF(OR(prelev[[#This Row],[A partir du]]&gt;TODAY(),prelev[[#This Row],[Jusqu''au]]&lt;TODAY()),"X","")</f>
        <v>X</v>
      </c>
      <c r="F8">
        <v>27</v>
      </c>
      <c r="G8" s="6">
        <f ca="1">DATE(YEAR(TODAY()),MONTH(TODAY()),prelev[[#This Row],[Jour]])</f>
        <v>44101</v>
      </c>
    </row>
    <row r="9" spans="1:7" x14ac:dyDescent="0.25">
      <c r="A9" t="s">
        <v>92</v>
      </c>
      <c r="B9" s="1">
        <v>2</v>
      </c>
      <c r="C9" s="6">
        <v>44013</v>
      </c>
      <c r="D9" s="6">
        <v>44134</v>
      </c>
      <c r="E9" t="str">
        <f ca="1">IF(OR(prelev[[#This Row],[A partir du]]&gt;TODAY(),prelev[[#This Row],[Jusqu''au]]&lt;TODAY()),"X","")</f>
        <v/>
      </c>
      <c r="F9">
        <v>27</v>
      </c>
      <c r="G9" s="6">
        <f ca="1">DATE(YEAR(TODAY()),MONTH(TODAY()),prelev[[#This Row],[Jour]])</f>
        <v>44101</v>
      </c>
    </row>
    <row r="10" spans="1:7" x14ac:dyDescent="0.25">
      <c r="A10" t="s">
        <v>29</v>
      </c>
      <c r="B10" s="1">
        <v>45</v>
      </c>
      <c r="C10" s="6">
        <v>44013</v>
      </c>
      <c r="D10" s="6">
        <v>44134</v>
      </c>
      <c r="E10" t="str">
        <f ca="1">IF(OR(prelev[[#This Row],[A partir du]]&gt;TODAY(),prelev[[#This Row],[Jusqu''au]]&lt;TODAY()),"X","")</f>
        <v/>
      </c>
      <c r="F10">
        <v>28</v>
      </c>
      <c r="G10" s="6">
        <f ca="1">DATE(YEAR(TODAY()),MONTH(TODAY()),prelev[[#This Row],[Jour]])</f>
        <v>44102</v>
      </c>
    </row>
    <row r="11" spans="1:7" x14ac:dyDescent="0.25">
      <c r="A11" t="s">
        <v>4</v>
      </c>
      <c r="B11" s="1">
        <v>148.57</v>
      </c>
      <c r="C11" s="6">
        <v>44013</v>
      </c>
      <c r="D11" s="6">
        <v>44926</v>
      </c>
      <c r="E11" t="str">
        <f ca="1">IF(OR(prelev[[#This Row],[A partir du]]&gt;TODAY(),prelev[[#This Row],[Jusqu''au]]&lt;TODAY()),"X","")</f>
        <v/>
      </c>
      <c r="F11">
        <v>5</v>
      </c>
      <c r="G11" s="6">
        <f ca="1">DATE(YEAR(TODAY()),MONTH(TODAY()),prelev[[#This Row],[Jour]])</f>
        <v>44079</v>
      </c>
    </row>
    <row r="12" spans="1:7" x14ac:dyDescent="0.25">
      <c r="A12" t="s">
        <v>103</v>
      </c>
      <c r="B12" s="1">
        <v>672.93</v>
      </c>
      <c r="C12" s="6">
        <v>44013</v>
      </c>
      <c r="D12" s="6">
        <v>44926</v>
      </c>
      <c r="E12" t="str">
        <f ca="1">IF(OR(prelev[[#This Row],[A partir du]]&gt;TODAY(),prelev[[#This Row],[Jusqu''au]]&lt;TODAY()),"X","")</f>
        <v/>
      </c>
      <c r="F12">
        <v>5</v>
      </c>
      <c r="G12" s="6">
        <f ca="1">DATE(YEAR(TODAY()),MONTH(TODAY()),prelev[[#This Row],[Jour]])</f>
        <v>44079</v>
      </c>
    </row>
    <row r="13" spans="1:7" x14ac:dyDescent="0.25">
      <c r="A13" t="s">
        <v>23</v>
      </c>
      <c r="B13" s="1">
        <v>35</v>
      </c>
      <c r="C13" s="6">
        <v>44013</v>
      </c>
      <c r="D13" s="6">
        <v>44926</v>
      </c>
      <c r="E13" t="str">
        <f ca="1">IF(OR(prelev[[#This Row],[A partir du]]&gt;TODAY(),prelev[[#This Row],[Jusqu''au]]&lt;TODAY()),"X","")</f>
        <v/>
      </c>
      <c r="F13">
        <v>16</v>
      </c>
      <c r="G13" s="6">
        <f ca="1">DATE(YEAR(TODAY()),MONTH(TODAY()),prelev[[#This Row],[Jour]])</f>
        <v>44090</v>
      </c>
    </row>
    <row r="14" spans="1:7" x14ac:dyDescent="0.25">
      <c r="A14" t="s">
        <v>22</v>
      </c>
      <c r="B14" s="1">
        <v>28</v>
      </c>
      <c r="C14" s="6">
        <v>44013</v>
      </c>
      <c r="D14" s="6">
        <v>44926</v>
      </c>
      <c r="E14" t="str">
        <f ca="1">IF(OR(prelev[[#This Row],[A partir du]]&gt;TODAY(),prelev[[#This Row],[Jusqu''au]]&lt;TODAY()),"X","")</f>
        <v/>
      </c>
      <c r="F14">
        <v>15</v>
      </c>
      <c r="G14" s="6">
        <f ca="1">DATE(YEAR(TODAY()),MONTH(TODAY()),prelev[[#This Row],[Jour]])</f>
        <v>44089</v>
      </c>
    </row>
    <row r="15" spans="1:7" x14ac:dyDescent="0.25">
      <c r="A15" t="s">
        <v>166</v>
      </c>
      <c r="B15" s="1">
        <v>15</v>
      </c>
      <c r="C15" s="6">
        <v>44197</v>
      </c>
      <c r="D15" s="6">
        <v>47223</v>
      </c>
      <c r="E15" s="23" t="str">
        <f ca="1">IF(OR(prelev[[#This Row],[A partir du]]&gt;TODAY(),prelev[[#This Row],[Jusqu''au]]&lt;TODAY()),"X","")</f>
        <v>X</v>
      </c>
      <c r="G15" s="6">
        <f ca="1">DATE(YEAR(TODAY()),MONTH(TODAY()),prelev[[#This Row],[Jour]])</f>
        <v>44074</v>
      </c>
    </row>
    <row r="16" spans="1:7" x14ac:dyDescent="0.25">
      <c r="A16" t="s">
        <v>166</v>
      </c>
      <c r="B16" s="1">
        <v>15</v>
      </c>
      <c r="C16" s="6">
        <v>44197</v>
      </c>
      <c r="D16" s="6">
        <v>49606</v>
      </c>
      <c r="E16" s="23" t="str">
        <f ca="1">IF(OR(prelev[[#This Row],[A partir du]]&gt;TODAY(),prelev[[#This Row],[Jusqu''au]]&lt;TODAY()),"X","")</f>
        <v>X</v>
      </c>
      <c r="G16" s="6">
        <f ca="1">DATE(YEAR(TODAY()),MONTH(TODAY()),prelev[[#This Row],[Jour]])</f>
        <v>44074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DF9E-E77A-4433-B8FB-DF0FFF7DC16F}">
  <dimension ref="A1:I22"/>
  <sheetViews>
    <sheetView workbookViewId="0">
      <selection activeCell="H13" sqref="H13"/>
    </sheetView>
  </sheetViews>
  <sheetFormatPr baseColWidth="10" defaultRowHeight="15" x14ac:dyDescent="0.25"/>
  <cols>
    <col min="4" max="4" width="28.7109375" bestFit="1" customWidth="1"/>
    <col min="5" max="6" width="11.42578125" style="1"/>
    <col min="7" max="7" width="17.85546875" style="1" bestFit="1" customWidth="1"/>
    <col min="8" max="8" width="17.85546875" style="1" customWidth="1"/>
    <col min="9" max="9" width="11.42578125" style="1"/>
  </cols>
  <sheetData>
    <row r="1" spans="1:9" x14ac:dyDescent="0.25">
      <c r="A1" t="s">
        <v>46</v>
      </c>
      <c r="B1" t="s">
        <v>20</v>
      </c>
      <c r="C1" t="s">
        <v>99</v>
      </c>
      <c r="D1" t="s">
        <v>37</v>
      </c>
      <c r="E1" s="1" t="s">
        <v>1</v>
      </c>
      <c r="F1" s="1" t="s">
        <v>105</v>
      </c>
      <c r="G1" s="1" t="s">
        <v>108</v>
      </c>
      <c r="H1" s="1" t="s">
        <v>159</v>
      </c>
      <c r="I1" s="1" t="s">
        <v>90</v>
      </c>
    </row>
    <row r="2" spans="1:9" x14ac:dyDescent="0.25">
      <c r="A2" s="9">
        <f>DATE(YEAR(recette[[#This Row],[Date]]),MONTH(recette[[#This Row],[Date]]),1)</f>
        <v>44013</v>
      </c>
      <c r="B2" s="6">
        <v>44027</v>
      </c>
      <c r="C2" s="6" t="s">
        <v>100</v>
      </c>
      <c r="D2" t="s">
        <v>55</v>
      </c>
      <c r="E2" s="1">
        <v>0</v>
      </c>
      <c r="F2" s="1" t="s">
        <v>31</v>
      </c>
      <c r="G2" s="1">
        <f>IF(recette[[#This Row],[Partagé]]&lt;&gt;"X",recette[[#This Row],[Montant]],recette[[#This Row],[Montant]]/2)</f>
        <v>0</v>
      </c>
      <c r="H2" s="1" t="s">
        <v>160</v>
      </c>
      <c r="I2" s="1">
        <f>316.57/2</f>
        <v>158.285</v>
      </c>
    </row>
    <row r="3" spans="1:9" x14ac:dyDescent="0.25">
      <c r="A3" s="9">
        <f>DATE(YEAR(recette[[#This Row],[Date]]),MONTH(recette[[#This Row],[Date]]),1)</f>
        <v>44013</v>
      </c>
      <c r="B3" s="6">
        <v>44032</v>
      </c>
      <c r="C3" s="6" t="s">
        <v>101</v>
      </c>
      <c r="D3" t="s">
        <v>89</v>
      </c>
      <c r="G3" s="1">
        <f>IF(recette[[#This Row],[Partagé]]&lt;&gt;"X",recette[[#This Row],[Montant]],recette[[#This Row],[Montant]]/2)</f>
        <v>0</v>
      </c>
      <c r="I3" s="1">
        <v>250</v>
      </c>
    </row>
    <row r="4" spans="1:9" x14ac:dyDescent="0.25">
      <c r="A4" s="9">
        <f>DATE(YEAR(recette[[#This Row],[Date]]),MONTH(recette[[#This Row],[Date]]),1)</f>
        <v>44013</v>
      </c>
      <c r="B4" s="6">
        <v>44036</v>
      </c>
      <c r="C4" s="6" t="s">
        <v>100</v>
      </c>
      <c r="D4" t="s">
        <v>116</v>
      </c>
      <c r="E4" s="1">
        <v>202</v>
      </c>
      <c r="F4" s="1" t="s">
        <v>31</v>
      </c>
      <c r="G4" s="11">
        <f>IF(recette[[#This Row],[Partagé]]&lt;&gt;"X",recette[[#This Row],[Montant]],recette[[#This Row],[Montant]]/2)</f>
        <v>101</v>
      </c>
      <c r="H4" s="11" t="s">
        <v>31</v>
      </c>
    </row>
    <row r="5" spans="1:9" x14ac:dyDescent="0.25">
      <c r="A5" s="9">
        <f>DATE(YEAR(recette[[#This Row],[Date]]),MONTH(recette[[#This Row],[Date]]),1)</f>
        <v>44013</v>
      </c>
      <c r="B5" s="6">
        <v>44040</v>
      </c>
      <c r="C5" s="6" t="s">
        <v>101</v>
      </c>
      <c r="D5" t="s">
        <v>49</v>
      </c>
      <c r="E5" s="1">
        <v>2264.1999999999998</v>
      </c>
      <c r="G5" s="1">
        <f>IF(recette[[#This Row],[Partagé]]&lt;&gt;"X",recette[[#This Row],[Montant]],recette[[#This Row],[Montant]]/2)</f>
        <v>2264.1999999999998</v>
      </c>
      <c r="H5" s="1" t="s">
        <v>31</v>
      </c>
    </row>
    <row r="6" spans="1:9" x14ac:dyDescent="0.25">
      <c r="A6" s="9">
        <f>DATE(YEAR(recette[[#This Row],[Date]]),MONTH(recette[[#This Row],[Date]]),1)</f>
        <v>44044</v>
      </c>
      <c r="B6" s="6">
        <v>44058</v>
      </c>
      <c r="C6" s="6" t="s">
        <v>100</v>
      </c>
      <c r="D6" t="s">
        <v>56</v>
      </c>
      <c r="E6" s="1">
        <v>316.57</v>
      </c>
      <c r="F6" s="1" t="s">
        <v>31</v>
      </c>
      <c r="G6" s="1">
        <f>IF(recette[[#This Row],[Partagé]]&lt;&gt;"X",recette[[#This Row],[Montant]],recette[[#This Row],[Montant]]/2)</f>
        <v>158.285</v>
      </c>
      <c r="H6" s="1" t="s">
        <v>31</v>
      </c>
    </row>
    <row r="7" spans="1:9" x14ac:dyDescent="0.25">
      <c r="A7" s="9">
        <f>DATE(YEAR(recette[[#This Row],[Date]]),MONTH(recette[[#This Row],[Date]]),1)</f>
        <v>44044</v>
      </c>
      <c r="B7" s="6">
        <v>44061</v>
      </c>
      <c r="C7" s="6" t="s">
        <v>100</v>
      </c>
      <c r="D7" t="s">
        <v>95</v>
      </c>
      <c r="E7" s="1">
        <v>469.97</v>
      </c>
      <c r="F7" s="1" t="s">
        <v>31</v>
      </c>
      <c r="G7" s="11"/>
      <c r="I7" s="1">
        <f>IF(recette[[#This Row],[Partagé]]&lt;&gt;"X",recette[[#This Row],[Montant]],recette[[#This Row],[Montant]]/2)</f>
        <v>234.98500000000001</v>
      </c>
    </row>
    <row r="8" spans="1:9" x14ac:dyDescent="0.25">
      <c r="A8" s="9">
        <f>DATE(YEAR(recette[[#This Row],[Date]]),MONTH(recette[[#This Row],[Date]]),1)</f>
        <v>44044</v>
      </c>
      <c r="B8" s="6">
        <v>44071</v>
      </c>
      <c r="C8" s="6" t="s">
        <v>101</v>
      </c>
      <c r="D8" t="s">
        <v>50</v>
      </c>
      <c r="E8" s="1">
        <v>2027.78</v>
      </c>
      <c r="G8" s="1">
        <f>IF(recette[[#This Row],[Partagé]]&lt;&gt;"X",recette[[#This Row],[Montant]],recette[[#This Row],[Montant]]/2)</f>
        <v>2027.78</v>
      </c>
      <c r="H8" s="1" t="s">
        <v>31</v>
      </c>
    </row>
    <row r="9" spans="1:9" x14ac:dyDescent="0.25">
      <c r="A9" s="9">
        <f>DATE(YEAR(recette[[#This Row],[Date]]),MONTH(recette[[#This Row],[Date]]),1)</f>
        <v>44075</v>
      </c>
      <c r="B9" s="6">
        <v>44089</v>
      </c>
      <c r="C9" s="6" t="s">
        <v>100</v>
      </c>
      <c r="D9" t="s">
        <v>57</v>
      </c>
      <c r="E9" s="1">
        <v>316.57</v>
      </c>
      <c r="F9" s="1" t="s">
        <v>31</v>
      </c>
      <c r="G9" s="1">
        <f>IF(recette[[#This Row],[Partagé]]&lt;&gt;"X",recette[[#This Row],[Montant]],recette[[#This Row],[Montant]]/2)</f>
        <v>158.285</v>
      </c>
    </row>
    <row r="10" spans="1:9" x14ac:dyDescent="0.25">
      <c r="A10" s="9">
        <f>DATE(YEAR(recette[[#This Row],[Date]]),MONTH(recette[[#This Row],[Date]]),1)</f>
        <v>44075</v>
      </c>
      <c r="B10" s="6">
        <v>44102</v>
      </c>
      <c r="C10" s="6" t="s">
        <v>101</v>
      </c>
      <c r="D10" t="s">
        <v>51</v>
      </c>
      <c r="E10" s="1">
        <v>2027.78</v>
      </c>
      <c r="G10" s="1">
        <f>IF(recette[[#This Row],[Partagé]]&lt;&gt;"X",recette[[#This Row],[Montant]],recette[[#This Row],[Montant]]/2)</f>
        <v>2027.78</v>
      </c>
      <c r="H10" s="1" t="s">
        <v>31</v>
      </c>
    </row>
    <row r="11" spans="1:9" x14ac:dyDescent="0.25">
      <c r="A11" s="9">
        <f>DATE(YEAR(recette[[#This Row],[Date]]),MONTH(recette[[#This Row],[Date]]),1)</f>
        <v>44105</v>
      </c>
      <c r="B11" s="6">
        <v>44119</v>
      </c>
      <c r="C11" s="6" t="s">
        <v>100</v>
      </c>
      <c r="D11" t="s">
        <v>58</v>
      </c>
      <c r="E11" s="1">
        <v>316.57</v>
      </c>
      <c r="F11" s="1" t="s">
        <v>31</v>
      </c>
      <c r="G11" s="1">
        <f>IF(recette[[#This Row],[Partagé]]&lt;&gt;"X",recette[[#This Row],[Montant]],recette[[#This Row],[Montant]]/2)</f>
        <v>158.285</v>
      </c>
    </row>
    <row r="12" spans="1:9" x14ac:dyDescent="0.25">
      <c r="A12" s="9">
        <f>DATE(YEAR(recette[[#This Row],[Date]]),MONTH(recette[[#This Row],[Date]]),1)</f>
        <v>44105</v>
      </c>
      <c r="B12" s="6">
        <v>44132</v>
      </c>
      <c r="C12" s="6" t="s">
        <v>101</v>
      </c>
      <c r="D12" t="s">
        <v>52</v>
      </c>
      <c r="E12" s="1">
        <v>2000</v>
      </c>
      <c r="G12" s="1">
        <f>IF(recette[[#This Row],[Partagé]]&lt;&gt;"X",recette[[#This Row],[Montant]],recette[[#This Row],[Montant]]/2)</f>
        <v>2000</v>
      </c>
    </row>
    <row r="13" spans="1:9" x14ac:dyDescent="0.25">
      <c r="A13" s="9">
        <f>DATE(YEAR(recette[[#This Row],[Date]]),MONTH(recette[[#This Row],[Date]]),1)</f>
        <v>44136</v>
      </c>
      <c r="B13" s="6">
        <v>44150</v>
      </c>
      <c r="C13" s="6" t="s">
        <v>100</v>
      </c>
      <c r="D13" t="s">
        <v>59</v>
      </c>
      <c r="E13" s="1">
        <v>131.94999999999999</v>
      </c>
      <c r="F13" s="1" t="s">
        <v>31</v>
      </c>
      <c r="G13" s="1">
        <f>IF(recette[[#This Row],[Partagé]]&lt;&gt;"X",recette[[#This Row],[Montant]],recette[[#This Row],[Montant]]/2)</f>
        <v>65.974999999999994</v>
      </c>
    </row>
    <row r="14" spans="1:9" x14ac:dyDescent="0.25">
      <c r="A14" s="9">
        <f>DATE(YEAR(recette[[#This Row],[Date]]),MONTH(recette[[#This Row],[Date]]),1)</f>
        <v>44136</v>
      </c>
      <c r="B14" s="6">
        <v>44163</v>
      </c>
      <c r="C14" s="6" t="s">
        <v>101</v>
      </c>
      <c r="D14" t="s">
        <v>53</v>
      </c>
      <c r="E14" s="1">
        <v>2000</v>
      </c>
      <c r="G14" s="1">
        <f>IF(recette[[#This Row],[Partagé]]&lt;&gt;"X",recette[[#This Row],[Montant]],recette[[#This Row],[Montant]]/2)</f>
        <v>2000</v>
      </c>
    </row>
    <row r="15" spans="1:9" x14ac:dyDescent="0.25">
      <c r="A15" s="9">
        <f>DATE(YEAR(recette[[#This Row],[Date]]),MONTH(recette[[#This Row],[Date]]),1)</f>
        <v>44166</v>
      </c>
      <c r="B15" s="6">
        <v>44180</v>
      </c>
      <c r="C15" s="6" t="s">
        <v>100</v>
      </c>
      <c r="D15" t="s">
        <v>60</v>
      </c>
      <c r="E15" s="1">
        <v>131.94999999999999</v>
      </c>
      <c r="F15" s="1" t="s">
        <v>31</v>
      </c>
      <c r="G15" s="1">
        <f>IF(recette[[#This Row],[Partagé]]&lt;&gt;"X",recette[[#This Row],[Montant]],recette[[#This Row],[Montant]]/2)</f>
        <v>65.974999999999994</v>
      </c>
    </row>
    <row r="16" spans="1:9" x14ac:dyDescent="0.25">
      <c r="A16" s="9">
        <f>DATE(YEAR(recette[[#This Row],[Date]]),MONTH(recette[[#This Row],[Date]]),1)</f>
        <v>44166</v>
      </c>
      <c r="B16" s="6">
        <v>44193</v>
      </c>
      <c r="C16" s="6" t="s">
        <v>101</v>
      </c>
      <c r="D16" t="s">
        <v>54</v>
      </c>
      <c r="E16" s="1">
        <v>2000</v>
      </c>
      <c r="G16" s="1">
        <f>IF(recette[[#This Row],[Partagé]]&lt;&gt;"X",recette[[#This Row],[Montant]],recette[[#This Row],[Montant]]/2)</f>
        <v>2000</v>
      </c>
    </row>
    <row r="17" spans="1:7" x14ac:dyDescent="0.25">
      <c r="A17" s="9">
        <f>DATE(YEAR(recette[[#This Row],[Date]]),MONTH(recette[[#This Row],[Date]]),1)</f>
        <v>44197</v>
      </c>
      <c r="B17" s="6">
        <v>44211</v>
      </c>
      <c r="C17" s="6" t="s">
        <v>100</v>
      </c>
      <c r="D17" t="s">
        <v>167</v>
      </c>
      <c r="E17" s="1">
        <v>131.94999999999999</v>
      </c>
      <c r="F17" s="1" t="s">
        <v>31</v>
      </c>
      <c r="G17" s="1">
        <f>IF(recette[[#This Row],[Partagé]]&lt;&gt;"X",recette[[#This Row],[Montant]],recette[[#This Row],[Montant]]/2)</f>
        <v>65.974999999999994</v>
      </c>
    </row>
    <row r="18" spans="1:7" x14ac:dyDescent="0.25">
      <c r="A18" s="9">
        <f>DATE(YEAR(recette[[#This Row],[Date]]),MONTH(recette[[#This Row],[Date]]),1)</f>
        <v>44197</v>
      </c>
      <c r="B18" s="6">
        <v>44224</v>
      </c>
      <c r="C18" s="6" t="s">
        <v>101</v>
      </c>
      <c r="D18" t="s">
        <v>168</v>
      </c>
      <c r="E18" s="1">
        <v>2000</v>
      </c>
      <c r="G18" s="1">
        <f>IF(recette[[#This Row],[Partagé]]&lt;&gt;"X",recette[[#This Row],[Montant]],recette[[#This Row],[Montant]]/2)</f>
        <v>2000</v>
      </c>
    </row>
    <row r="19" spans="1:7" x14ac:dyDescent="0.25">
      <c r="A19" s="9">
        <f>DATE(YEAR(recette[[#This Row],[Date]]),MONTH(recette[[#This Row],[Date]]),1)</f>
        <v>44228</v>
      </c>
      <c r="B19" s="6">
        <v>44242</v>
      </c>
      <c r="C19" s="6" t="s">
        <v>100</v>
      </c>
      <c r="D19" t="s">
        <v>169</v>
      </c>
      <c r="E19" s="1">
        <v>131.94999999999999</v>
      </c>
      <c r="F19" s="1" t="s">
        <v>31</v>
      </c>
      <c r="G19" s="11">
        <f>IF(recette[[#This Row],[Partagé]]&lt;&gt;"X",recette[[#This Row],[Montant]],recette[[#This Row],[Montant]]/2)</f>
        <v>65.974999999999994</v>
      </c>
    </row>
    <row r="20" spans="1:7" x14ac:dyDescent="0.25">
      <c r="A20" s="9">
        <f>DATE(YEAR(recette[[#This Row],[Date]]),MONTH(recette[[#This Row],[Date]]),1)</f>
        <v>44228</v>
      </c>
      <c r="B20" s="6">
        <v>44255</v>
      </c>
      <c r="C20" s="6" t="s">
        <v>101</v>
      </c>
      <c r="D20" t="s">
        <v>170</v>
      </c>
      <c r="E20" s="1">
        <v>2000</v>
      </c>
      <c r="G20" s="11">
        <f>IF(recette[[#This Row],[Partagé]]&lt;&gt;"X",recette[[#This Row],[Montant]],recette[[#This Row],[Montant]]/2)</f>
        <v>2000</v>
      </c>
    </row>
    <row r="21" spans="1:7" x14ac:dyDescent="0.25">
      <c r="A21" s="9">
        <f>DATE(YEAR(recette[[#This Row],[Date]]),MONTH(recette[[#This Row],[Date]]),1)</f>
        <v>44256</v>
      </c>
      <c r="B21" s="6">
        <v>44270</v>
      </c>
      <c r="C21" s="6" t="s">
        <v>100</v>
      </c>
      <c r="D21" t="s">
        <v>171</v>
      </c>
      <c r="E21" s="1">
        <v>131.94999999999999</v>
      </c>
      <c r="F21" s="1" t="s">
        <v>31</v>
      </c>
      <c r="G21" s="11">
        <f>IF(recette[[#This Row],[Partagé]]&lt;&gt;"X",recette[[#This Row],[Montant]],recette[[#This Row],[Montant]]/2)</f>
        <v>65.974999999999994</v>
      </c>
    </row>
    <row r="22" spans="1:7" x14ac:dyDescent="0.25">
      <c r="A22" s="9">
        <f>DATE(YEAR(recette[[#This Row],[Date]]),MONTH(recette[[#This Row],[Date]]),1)</f>
        <v>44256</v>
      </c>
      <c r="B22" s="6">
        <v>44283</v>
      </c>
      <c r="C22" s="6" t="s">
        <v>101</v>
      </c>
      <c r="D22" t="s">
        <v>172</v>
      </c>
      <c r="E22" s="1">
        <v>2000</v>
      </c>
      <c r="G22" s="11">
        <f>IF(recette[[#This Row],[Partagé]]&lt;&gt;"X",recette[[#This Row],[Montant]],recette[[#This Row],[Montant]]/2)</f>
        <v>2000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50A6-7F12-4574-801C-D1253D5F4EC5}">
  <dimension ref="A1:D4"/>
  <sheetViews>
    <sheetView workbookViewId="0">
      <selection activeCell="D3" sqref="D3:D4"/>
    </sheetView>
  </sheetViews>
  <sheetFormatPr baseColWidth="10" defaultRowHeight="15" x14ac:dyDescent="0.25"/>
  <cols>
    <col min="1" max="1" width="10.7109375" style="9" bestFit="1" customWidth="1"/>
    <col min="2" max="2" width="10.7109375" style="6" customWidth="1"/>
    <col min="3" max="3" width="15.42578125" bestFit="1" customWidth="1"/>
    <col min="4" max="4" width="12.42578125" style="15" bestFit="1" customWidth="1"/>
  </cols>
  <sheetData>
    <row r="1" spans="1:4" x14ac:dyDescent="0.25">
      <c r="A1" s="9" t="s">
        <v>19</v>
      </c>
      <c r="B1" s="6" t="s">
        <v>20</v>
      </c>
      <c r="C1" t="s">
        <v>37</v>
      </c>
      <c r="D1" s="15" t="s">
        <v>1</v>
      </c>
    </row>
    <row r="2" spans="1:4" x14ac:dyDescent="0.25">
      <c r="A2" s="9">
        <f>DATE(YEAR(epargne[[#This Row],[Date]]),MONTH(epargne[[#This Row],[Date]]),1)</f>
        <v>44013</v>
      </c>
      <c r="B2" s="6">
        <v>44032</v>
      </c>
      <c r="C2" t="s">
        <v>89</v>
      </c>
      <c r="D2" s="15">
        <v>-300</v>
      </c>
    </row>
    <row r="3" spans="1:4" x14ac:dyDescent="0.25">
      <c r="A3" s="9">
        <f>DATE(YEAR(epargne[[#This Row],[Date]]),MONTH(epargne[[#This Row],[Date]]),1)</f>
        <v>44044</v>
      </c>
      <c r="B3" s="6">
        <v>44047</v>
      </c>
      <c r="C3" t="s">
        <v>163</v>
      </c>
      <c r="D3" s="15">
        <v>150</v>
      </c>
    </row>
    <row r="4" spans="1:4" x14ac:dyDescent="0.25">
      <c r="A4" s="9">
        <f>DATE(YEAR(epargne[[#This Row],[Date]]),MONTH(epargne[[#This Row],[Date]]),1)</f>
        <v>44044</v>
      </c>
      <c r="B4" s="6">
        <v>44074</v>
      </c>
      <c r="C4" t="s">
        <v>163</v>
      </c>
      <c r="D4" s="15">
        <v>50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5304-E87A-474A-B4EA-BBC7B28BB617}">
  <dimension ref="A1:E46"/>
  <sheetViews>
    <sheetView topLeftCell="A17" workbookViewId="0">
      <selection activeCell="D47" sqref="D47"/>
    </sheetView>
  </sheetViews>
  <sheetFormatPr baseColWidth="10" defaultRowHeight="15" x14ac:dyDescent="0.25"/>
  <cols>
    <col min="1" max="1" width="11.42578125" style="6"/>
    <col min="5" max="5" width="70.140625" bestFit="1" customWidth="1"/>
  </cols>
  <sheetData>
    <row r="1" spans="1:5" x14ac:dyDescent="0.25">
      <c r="A1" s="6" t="s">
        <v>20</v>
      </c>
      <c r="B1" t="s">
        <v>70</v>
      </c>
      <c r="C1" t="s">
        <v>71</v>
      </c>
      <c r="D1" t="s">
        <v>1</v>
      </c>
      <c r="E1" t="s">
        <v>72</v>
      </c>
    </row>
    <row r="2" spans="1:5" x14ac:dyDescent="0.25">
      <c r="A2" s="6">
        <v>43951</v>
      </c>
      <c r="B2" t="s">
        <v>9</v>
      </c>
      <c r="C2" t="s">
        <v>73</v>
      </c>
      <c r="D2" s="15">
        <v>178.5</v>
      </c>
      <c r="E2" t="s">
        <v>157</v>
      </c>
    </row>
    <row r="3" spans="1:5" x14ac:dyDescent="0.25">
      <c r="A3" s="6">
        <v>43963</v>
      </c>
      <c r="B3" t="s">
        <v>9</v>
      </c>
      <c r="C3" t="s">
        <v>73</v>
      </c>
      <c r="D3" s="15">
        <v>153</v>
      </c>
      <c r="E3" t="s">
        <v>156</v>
      </c>
    </row>
    <row r="4" spans="1:5" x14ac:dyDescent="0.25">
      <c r="A4" s="6">
        <v>43964</v>
      </c>
      <c r="B4" t="s">
        <v>8</v>
      </c>
      <c r="C4" t="s">
        <v>73</v>
      </c>
      <c r="D4" s="15">
        <v>-19</v>
      </c>
      <c r="E4" t="s">
        <v>78</v>
      </c>
    </row>
    <row r="5" spans="1:5" x14ac:dyDescent="0.25">
      <c r="A5" s="6">
        <v>43973</v>
      </c>
      <c r="B5" t="s">
        <v>8</v>
      </c>
      <c r="C5" t="s">
        <v>73</v>
      </c>
      <c r="D5" s="15">
        <v>-19</v>
      </c>
      <c r="E5" t="s">
        <v>81</v>
      </c>
    </row>
    <row r="6" spans="1:5" x14ac:dyDescent="0.25">
      <c r="A6" s="6">
        <v>43978</v>
      </c>
      <c r="B6" t="s">
        <v>8</v>
      </c>
      <c r="C6" t="s">
        <v>73</v>
      </c>
      <c r="D6" s="15">
        <v>-19</v>
      </c>
      <c r="E6" t="s">
        <v>74</v>
      </c>
    </row>
    <row r="7" spans="1:5" x14ac:dyDescent="0.25">
      <c r="A7" s="6">
        <v>43981</v>
      </c>
      <c r="B7" t="s">
        <v>8</v>
      </c>
      <c r="C7" t="s">
        <v>73</v>
      </c>
      <c r="D7" s="15">
        <v>-19</v>
      </c>
      <c r="E7" t="s">
        <v>74</v>
      </c>
    </row>
    <row r="8" spans="1:5" x14ac:dyDescent="0.25">
      <c r="A8" s="6">
        <v>43985</v>
      </c>
      <c r="B8" t="s">
        <v>8</v>
      </c>
      <c r="C8" t="s">
        <v>73</v>
      </c>
      <c r="D8" s="15">
        <v>-19</v>
      </c>
      <c r="E8" t="s">
        <v>74</v>
      </c>
    </row>
    <row r="9" spans="1:5" x14ac:dyDescent="0.25">
      <c r="A9" s="6">
        <v>43986</v>
      </c>
      <c r="B9" t="s">
        <v>9</v>
      </c>
      <c r="C9" t="s">
        <v>73</v>
      </c>
      <c r="D9" s="15">
        <v>153</v>
      </c>
      <c r="E9" t="s">
        <v>156</v>
      </c>
    </row>
    <row r="10" spans="1:5" x14ac:dyDescent="0.25">
      <c r="A10" s="6">
        <v>43988</v>
      </c>
      <c r="B10" t="s">
        <v>8</v>
      </c>
      <c r="C10" t="s">
        <v>73</v>
      </c>
      <c r="D10" s="15">
        <v>-17.95</v>
      </c>
      <c r="E10" t="s">
        <v>74</v>
      </c>
    </row>
    <row r="11" spans="1:5" x14ac:dyDescent="0.25">
      <c r="A11" s="6">
        <v>43992</v>
      </c>
      <c r="B11" t="s">
        <v>8</v>
      </c>
      <c r="C11" t="s">
        <v>73</v>
      </c>
      <c r="D11" s="15">
        <v>-19</v>
      </c>
      <c r="E11" t="s">
        <v>76</v>
      </c>
    </row>
    <row r="12" spans="1:5" x14ac:dyDescent="0.25">
      <c r="A12" s="6">
        <v>43999</v>
      </c>
      <c r="B12" t="s">
        <v>8</v>
      </c>
      <c r="C12" t="s">
        <v>73</v>
      </c>
      <c r="D12" s="15">
        <v>-19</v>
      </c>
      <c r="E12" t="s">
        <v>78</v>
      </c>
    </row>
    <row r="13" spans="1:5" x14ac:dyDescent="0.25">
      <c r="A13" s="6">
        <v>44002</v>
      </c>
      <c r="B13" t="s">
        <v>8</v>
      </c>
      <c r="C13" t="s">
        <v>73</v>
      </c>
      <c r="D13" s="15">
        <v>-13.58</v>
      </c>
      <c r="E13" t="s">
        <v>74</v>
      </c>
    </row>
    <row r="14" spans="1:5" x14ac:dyDescent="0.25">
      <c r="A14" s="6">
        <v>44005</v>
      </c>
      <c r="B14" t="s">
        <v>8</v>
      </c>
      <c r="C14" t="s">
        <v>73</v>
      </c>
      <c r="D14" s="15">
        <v>-5.03</v>
      </c>
      <c r="E14" t="s">
        <v>80</v>
      </c>
    </row>
    <row r="15" spans="1:5" x14ac:dyDescent="0.25">
      <c r="A15" s="6">
        <v>44006</v>
      </c>
      <c r="B15" t="s">
        <v>8</v>
      </c>
      <c r="C15" t="s">
        <v>73</v>
      </c>
      <c r="D15" s="15">
        <v>-19</v>
      </c>
      <c r="E15" t="s">
        <v>78</v>
      </c>
    </row>
    <row r="16" spans="1:5" x14ac:dyDescent="0.25">
      <c r="A16" s="6">
        <v>44009</v>
      </c>
      <c r="B16" t="s">
        <v>8</v>
      </c>
      <c r="C16" t="s">
        <v>73</v>
      </c>
      <c r="D16" s="15">
        <v>-12</v>
      </c>
      <c r="E16" t="s">
        <v>79</v>
      </c>
    </row>
    <row r="17" spans="1:5" x14ac:dyDescent="0.25">
      <c r="A17" s="6">
        <v>44012</v>
      </c>
      <c r="B17" t="s">
        <v>8</v>
      </c>
      <c r="C17" t="s">
        <v>73</v>
      </c>
      <c r="D17" s="15">
        <v>-19</v>
      </c>
      <c r="E17" t="s">
        <v>74</v>
      </c>
    </row>
    <row r="18" spans="1:5" x14ac:dyDescent="0.25">
      <c r="A18" s="6">
        <v>44016</v>
      </c>
      <c r="B18" t="s">
        <v>8</v>
      </c>
      <c r="C18" t="s">
        <v>73</v>
      </c>
      <c r="D18" s="15">
        <v>-19</v>
      </c>
      <c r="E18" t="s">
        <v>78</v>
      </c>
    </row>
    <row r="19" spans="1:5" x14ac:dyDescent="0.25">
      <c r="A19" s="6">
        <v>44016</v>
      </c>
      <c r="B19" t="s">
        <v>9</v>
      </c>
      <c r="C19" t="s">
        <v>73</v>
      </c>
      <c r="D19" s="15">
        <v>170</v>
      </c>
      <c r="E19" t="s">
        <v>155</v>
      </c>
    </row>
    <row r="20" spans="1:5" x14ac:dyDescent="0.25">
      <c r="A20" s="6">
        <v>44019</v>
      </c>
      <c r="B20" t="s">
        <v>8</v>
      </c>
      <c r="C20" t="s">
        <v>73</v>
      </c>
      <c r="D20" s="15">
        <v>-6.78</v>
      </c>
      <c r="E20" t="s">
        <v>77</v>
      </c>
    </row>
    <row r="21" spans="1:5" x14ac:dyDescent="0.25">
      <c r="A21" s="6">
        <v>44020</v>
      </c>
      <c r="B21" t="s">
        <v>8</v>
      </c>
      <c r="C21" t="s">
        <v>73</v>
      </c>
      <c r="D21" s="15">
        <v>-15.3</v>
      </c>
      <c r="E21" t="s">
        <v>76</v>
      </c>
    </row>
    <row r="22" spans="1:5" x14ac:dyDescent="0.25">
      <c r="A22" s="6">
        <v>44022</v>
      </c>
      <c r="B22" t="s">
        <v>8</v>
      </c>
      <c r="C22" t="s">
        <v>73</v>
      </c>
      <c r="D22" s="15">
        <v>-8.2200000000000006</v>
      </c>
      <c r="E22" t="s">
        <v>75</v>
      </c>
    </row>
    <row r="23" spans="1:5" x14ac:dyDescent="0.25">
      <c r="A23" s="6">
        <v>44023</v>
      </c>
      <c r="B23" t="s">
        <v>8</v>
      </c>
      <c r="C23" t="s">
        <v>73</v>
      </c>
      <c r="D23" s="15">
        <v>-19</v>
      </c>
      <c r="E23" t="s">
        <v>74</v>
      </c>
    </row>
    <row r="24" spans="1:5" x14ac:dyDescent="0.25">
      <c r="A24" s="6">
        <v>44027</v>
      </c>
      <c r="B24" t="s">
        <v>8</v>
      </c>
      <c r="C24" t="s">
        <v>73</v>
      </c>
      <c r="D24" s="15">
        <v>-17.41</v>
      </c>
      <c r="E24" t="s">
        <v>74</v>
      </c>
    </row>
    <row r="25" spans="1:5" x14ac:dyDescent="0.25">
      <c r="A25" s="6">
        <v>44034</v>
      </c>
      <c r="B25" t="s">
        <v>8</v>
      </c>
      <c r="C25" t="s">
        <v>73</v>
      </c>
      <c r="D25" s="15">
        <v>-5.81</v>
      </c>
      <c r="E25" t="s">
        <v>74</v>
      </c>
    </row>
    <row r="26" spans="1:5" x14ac:dyDescent="0.25">
      <c r="A26" s="6">
        <v>44037</v>
      </c>
      <c r="B26" t="s">
        <v>8</v>
      </c>
      <c r="C26" t="s">
        <v>73</v>
      </c>
      <c r="D26" s="15">
        <v>-9.7100000000000009</v>
      </c>
      <c r="E26" t="s">
        <v>154</v>
      </c>
    </row>
    <row r="27" spans="1:5" x14ac:dyDescent="0.25">
      <c r="A27" s="6">
        <v>44039</v>
      </c>
      <c r="B27" t="s">
        <v>8</v>
      </c>
      <c r="C27" t="s">
        <v>73</v>
      </c>
      <c r="D27" s="15">
        <v>-19</v>
      </c>
      <c r="E27" t="s">
        <v>153</v>
      </c>
    </row>
    <row r="28" spans="1:5" x14ac:dyDescent="0.25">
      <c r="A28" s="6">
        <v>44041</v>
      </c>
      <c r="B28" t="s">
        <v>8</v>
      </c>
      <c r="C28" t="s">
        <v>73</v>
      </c>
      <c r="D28" s="15">
        <v>-7.54</v>
      </c>
      <c r="E28" t="s">
        <v>151</v>
      </c>
    </row>
    <row r="29" spans="1:5" x14ac:dyDescent="0.25">
      <c r="A29" s="6">
        <v>44041</v>
      </c>
      <c r="B29" t="s">
        <v>8</v>
      </c>
      <c r="C29" t="s">
        <v>73</v>
      </c>
      <c r="D29" s="15">
        <v>-5.9</v>
      </c>
      <c r="E29" t="s">
        <v>152</v>
      </c>
    </row>
    <row r="30" spans="1:5" x14ac:dyDescent="0.25">
      <c r="A30" s="6">
        <v>44042</v>
      </c>
      <c r="B30" t="s">
        <v>8</v>
      </c>
      <c r="C30" t="s">
        <v>73</v>
      </c>
      <c r="D30" s="15">
        <v>-37.950000000000003</v>
      </c>
      <c r="E30" t="s">
        <v>150</v>
      </c>
    </row>
    <row r="31" spans="1:5" x14ac:dyDescent="0.25">
      <c r="A31" s="6">
        <v>44043</v>
      </c>
      <c r="B31" t="s">
        <v>8</v>
      </c>
      <c r="C31" t="s">
        <v>73</v>
      </c>
      <c r="D31" s="15">
        <v>-19</v>
      </c>
      <c r="E31" t="s">
        <v>78</v>
      </c>
    </row>
    <row r="32" spans="1:5" x14ac:dyDescent="0.25">
      <c r="A32" s="6">
        <v>44043</v>
      </c>
      <c r="B32" t="s">
        <v>9</v>
      </c>
      <c r="C32" t="s">
        <v>73</v>
      </c>
      <c r="D32" s="15">
        <v>119</v>
      </c>
      <c r="E32" t="s">
        <v>149</v>
      </c>
    </row>
    <row r="33" spans="1:5" x14ac:dyDescent="0.25">
      <c r="A33" s="6">
        <v>44048</v>
      </c>
      <c r="B33" t="s">
        <v>8</v>
      </c>
      <c r="C33" t="s">
        <v>73</v>
      </c>
      <c r="D33" s="15">
        <v>-19</v>
      </c>
      <c r="E33" t="s">
        <v>78</v>
      </c>
    </row>
    <row r="34" spans="1:5" x14ac:dyDescent="0.25">
      <c r="A34" s="6">
        <v>44049</v>
      </c>
      <c r="B34" t="s">
        <v>8</v>
      </c>
      <c r="C34" t="s">
        <v>73</v>
      </c>
      <c r="D34" s="15">
        <v>-11.82</v>
      </c>
      <c r="E34" t="s">
        <v>77</v>
      </c>
    </row>
    <row r="35" spans="1:5" x14ac:dyDescent="0.25">
      <c r="A35" s="6">
        <v>44056</v>
      </c>
      <c r="B35" t="s">
        <v>8</v>
      </c>
      <c r="C35" t="s">
        <v>73</v>
      </c>
      <c r="D35" s="15">
        <v>-18.59</v>
      </c>
      <c r="E35" t="s">
        <v>78</v>
      </c>
    </row>
    <row r="36" spans="1:5" x14ac:dyDescent="0.25">
      <c r="A36" s="6">
        <v>44057</v>
      </c>
      <c r="B36" t="s">
        <v>8</v>
      </c>
      <c r="C36" t="s">
        <v>73</v>
      </c>
      <c r="D36" s="15">
        <v>-14.48</v>
      </c>
      <c r="E36" t="s">
        <v>74</v>
      </c>
    </row>
    <row r="37" spans="1:5" x14ac:dyDescent="0.25">
      <c r="A37" s="6">
        <v>44061</v>
      </c>
      <c r="B37" t="s">
        <v>8</v>
      </c>
      <c r="C37" t="s">
        <v>73</v>
      </c>
      <c r="D37" s="15">
        <v>-7.96</v>
      </c>
      <c r="E37" t="s">
        <v>148</v>
      </c>
    </row>
    <row r="38" spans="1:5" x14ac:dyDescent="0.25">
      <c r="A38" s="6">
        <v>44065</v>
      </c>
      <c r="D38" s="10">
        <v>-19</v>
      </c>
      <c r="E38" t="s">
        <v>148</v>
      </c>
    </row>
    <row r="39" spans="1:5" x14ac:dyDescent="0.25">
      <c r="A39" s="6">
        <v>44067</v>
      </c>
      <c r="D39" s="10">
        <v>-16.75</v>
      </c>
      <c r="E39" t="s">
        <v>161</v>
      </c>
    </row>
    <row r="40" spans="1:5" x14ac:dyDescent="0.25">
      <c r="A40" s="6">
        <v>44068</v>
      </c>
      <c r="D40" s="10">
        <v>-3.81</v>
      </c>
      <c r="E40" t="s">
        <v>162</v>
      </c>
    </row>
    <row r="41" spans="1:5" x14ac:dyDescent="0.25">
      <c r="A41" s="6">
        <v>44076</v>
      </c>
      <c r="D41" s="10">
        <v>85</v>
      </c>
      <c r="E41" t="s">
        <v>173</v>
      </c>
    </row>
    <row r="42" spans="1:5" x14ac:dyDescent="0.25">
      <c r="A42" s="6">
        <v>44069</v>
      </c>
      <c r="D42" s="10">
        <v>-19</v>
      </c>
      <c r="E42" t="s">
        <v>78</v>
      </c>
    </row>
    <row r="43" spans="1:5" x14ac:dyDescent="0.25">
      <c r="A43" s="6">
        <v>44076</v>
      </c>
      <c r="D43" s="10">
        <v>-19</v>
      </c>
      <c r="E43" t="s">
        <v>78</v>
      </c>
    </row>
    <row r="44" spans="1:5" x14ac:dyDescent="0.25">
      <c r="A44" s="6">
        <v>44076</v>
      </c>
      <c r="D44" s="10">
        <v>-15</v>
      </c>
      <c r="E44" t="s">
        <v>174</v>
      </c>
    </row>
    <row r="45" spans="1:5" x14ac:dyDescent="0.25">
      <c r="A45" s="6">
        <v>44077</v>
      </c>
      <c r="D45" s="10">
        <v>-12.69</v>
      </c>
      <c r="E45" t="s">
        <v>175</v>
      </c>
    </row>
    <row r="46" spans="1:5" x14ac:dyDescent="0.25">
      <c r="A46" s="6">
        <v>44077</v>
      </c>
      <c r="D46" s="10">
        <v>-5.96</v>
      </c>
      <c r="E46" t="s">
        <v>176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BEE4-7F28-4FBD-9833-8706BE30A676}">
  <dimension ref="A1:K15"/>
  <sheetViews>
    <sheetView workbookViewId="0">
      <selection activeCell="A8" sqref="A8:XFD8"/>
    </sheetView>
  </sheetViews>
  <sheetFormatPr baseColWidth="10" defaultRowHeight="15" x14ac:dyDescent="0.25"/>
  <cols>
    <col min="1" max="1" width="10.7109375" bestFit="1" customWidth="1"/>
    <col min="2" max="2" width="22" bestFit="1" customWidth="1"/>
    <col min="3" max="3" width="13" customWidth="1"/>
    <col min="4" max="4" width="23.28515625" bestFit="1" customWidth="1"/>
    <col min="5" max="5" width="20.140625" customWidth="1"/>
    <col min="6" max="6" width="16" bestFit="1" customWidth="1"/>
    <col min="7" max="7" width="8.7109375" customWidth="1"/>
    <col min="8" max="8" width="13.7109375" customWidth="1"/>
    <col min="9" max="9" width="12.140625" customWidth="1"/>
    <col min="10" max="10" width="21.85546875" bestFit="1" customWidth="1"/>
    <col min="11" max="11" width="15.7109375" style="19" bestFit="1" customWidth="1"/>
  </cols>
  <sheetData>
    <row r="1" spans="1:11" x14ac:dyDescent="0.25">
      <c r="A1" t="s">
        <v>20</v>
      </c>
      <c r="B1" t="s">
        <v>117</v>
      </c>
      <c r="C1" t="s">
        <v>118</v>
      </c>
      <c r="D1" t="s">
        <v>129</v>
      </c>
      <c r="E1" t="s">
        <v>119</v>
      </c>
      <c r="F1" t="s">
        <v>125</v>
      </c>
      <c r="G1" t="s">
        <v>122</v>
      </c>
      <c r="H1" t="s">
        <v>120</v>
      </c>
      <c r="I1" t="s">
        <v>121</v>
      </c>
      <c r="J1" t="s">
        <v>124</v>
      </c>
      <c r="K1" s="19" t="s">
        <v>110</v>
      </c>
    </row>
    <row r="2" spans="1:11" x14ac:dyDescent="0.25">
      <c r="A2" s="17">
        <v>44009</v>
      </c>
      <c r="B2" t="s">
        <v>131</v>
      </c>
      <c r="C2" s="1">
        <v>109.97</v>
      </c>
      <c r="D2" s="1"/>
      <c r="E2" s="1"/>
      <c r="F2" s="1"/>
      <c r="G2" s="1">
        <v>9.98</v>
      </c>
      <c r="H2" s="1">
        <v>99.99</v>
      </c>
      <c r="I2" s="2" t="b">
        <f>IF(Tableau4[[#This Row],[Total ticket]]&lt;&gt;0,IF(Tableau4[[#This Row],[Total ticket]]=SUM(Tableau4[[#This Row],[Nourriture/vie maison]:[Perso Steph]]),TRUE,FALSE),"")</f>
        <v>1</v>
      </c>
      <c r="J2" s="1">
        <f>SUM(Tableau4[[#This Row],[Nourriture/vie maison]:[Divers partagé]])/2</f>
        <v>0</v>
      </c>
      <c r="K2" s="20" t="s">
        <v>31</v>
      </c>
    </row>
    <row r="3" spans="1:11" x14ac:dyDescent="0.25">
      <c r="A3" s="17">
        <v>44016</v>
      </c>
      <c r="B3" t="s">
        <v>130</v>
      </c>
      <c r="C3" s="1">
        <v>49.46</v>
      </c>
      <c r="D3" s="1">
        <f>2.2+2.12+3.46+1.43+1.39+2*1.28+0.84+1.08+3.16+2.6+1.6+1.52+1.48+4.49+6.69+3+1.63</f>
        <v>41.250000000000007</v>
      </c>
      <c r="E3" s="1"/>
      <c r="F3" s="1"/>
      <c r="G3" s="1"/>
      <c r="H3" s="1">
        <f>4.44+2.82+0.95</f>
        <v>8.2099999999999991</v>
      </c>
      <c r="I3" s="2" t="b">
        <f>IF(Tableau4[[#This Row],[Total ticket]]&lt;&gt;0,IF(Tableau4[[#This Row],[Total ticket]]=SUM(Tableau4[[#This Row],[Nourriture/vie maison]:[Perso Steph]]),TRUE,FALSE),"")</f>
        <v>1</v>
      </c>
      <c r="J3" s="1">
        <f>SUM(Tableau4[[#This Row],[Nourriture/vie maison]:[Divers partagé]])/2</f>
        <v>20.625000000000004</v>
      </c>
      <c r="K3" s="20"/>
    </row>
    <row r="4" spans="1:11" x14ac:dyDescent="0.25">
      <c r="A4" s="17">
        <v>44016</v>
      </c>
      <c r="B4" t="s">
        <v>143</v>
      </c>
      <c r="C4" s="1">
        <v>70</v>
      </c>
      <c r="D4" s="1"/>
      <c r="E4" s="1"/>
      <c r="F4" s="1"/>
      <c r="G4" s="1"/>
      <c r="H4" s="1">
        <v>70</v>
      </c>
      <c r="I4" s="2" t="b">
        <f>IF(Tableau4[[#This Row],[Total ticket]]&lt;&gt;0,IF(Tableau4[[#This Row],[Total ticket]]=SUM(Tableau4[[#This Row],[Nourriture/vie maison]:[Perso Steph]]),TRUE,FALSE),"")</f>
        <v>1</v>
      </c>
      <c r="J4" s="1">
        <f>SUM(Tableau4[[#This Row],[Nourriture/vie maison]:[Divers partagé]])/2</f>
        <v>0</v>
      </c>
      <c r="K4" s="20" t="s">
        <v>31</v>
      </c>
    </row>
    <row r="5" spans="1:11" x14ac:dyDescent="0.25">
      <c r="A5" s="17">
        <v>44023</v>
      </c>
      <c r="B5" t="s">
        <v>38</v>
      </c>
      <c r="C5" s="1">
        <v>101.99</v>
      </c>
      <c r="D5" s="1"/>
      <c r="E5" s="1">
        <v>101.99</v>
      </c>
      <c r="F5" s="1"/>
      <c r="G5" s="1"/>
      <c r="H5" s="1"/>
      <c r="I5" s="2" t="b">
        <f>IF(Tableau4[[#This Row],[Total ticket]]&lt;&gt;0,IF(Tableau4[[#This Row],[Total ticket]]=SUM(Tableau4[[#This Row],[Nourriture/vie maison]:[Perso Steph]]),TRUE,FALSE),"")</f>
        <v>1</v>
      </c>
      <c r="J5" s="1">
        <f>SUM(Tableau4[[#This Row],[Nourriture/vie maison]:[Divers partagé]])/2</f>
        <v>50.994999999999997</v>
      </c>
      <c r="K5" s="20"/>
    </row>
    <row r="6" spans="1:11" x14ac:dyDescent="0.25">
      <c r="A6" s="6">
        <v>44024</v>
      </c>
      <c r="B6" t="s">
        <v>123</v>
      </c>
      <c r="C6" s="1">
        <v>11.5</v>
      </c>
      <c r="D6" s="1"/>
      <c r="E6" s="1"/>
      <c r="F6" s="1"/>
      <c r="G6" s="1">
        <v>11.5</v>
      </c>
      <c r="H6" s="1"/>
      <c r="I6" s="1" t="b">
        <f>IF(Tableau4[[#This Row],[Total ticket]]&lt;&gt;0,IF(Tableau4[[#This Row],[Total ticket]]=SUM(Tableau4[[#This Row],[Nourriture/vie maison]:[Perso Steph]]),TRUE,FALSE),"")</f>
        <v>1</v>
      </c>
      <c r="J6" s="1">
        <f>SUM(Tableau4[[#This Row],[Nourriture/vie maison]:[Divers partagé]])/2</f>
        <v>0</v>
      </c>
      <c r="K6" s="20" t="s">
        <v>144</v>
      </c>
    </row>
    <row r="7" spans="1:11" x14ac:dyDescent="0.25">
      <c r="A7" s="17">
        <v>44034</v>
      </c>
      <c r="B7" t="s">
        <v>126</v>
      </c>
      <c r="C7" s="1">
        <v>130</v>
      </c>
      <c r="D7" s="1"/>
      <c r="E7" s="1"/>
      <c r="F7" s="1">
        <v>130</v>
      </c>
      <c r="G7" s="1"/>
      <c r="H7" s="1"/>
      <c r="I7" s="2" t="b">
        <f>IF(Tableau4[[#This Row],[Total ticket]]&lt;&gt;0,IF(Tableau4[[#This Row],[Total ticket]]=SUM(Tableau4[[#This Row],[Nourriture/vie maison]:[Perso Steph]]),TRUE,FALSE),"")</f>
        <v>1</v>
      </c>
      <c r="J7" s="1">
        <f>SUM(Tableau4[[#This Row],[Nourriture/vie maison]:[Divers partagé]])/2</f>
        <v>65</v>
      </c>
      <c r="K7" s="20"/>
    </row>
    <row r="8" spans="1:11" x14ac:dyDescent="0.25">
      <c r="A8" s="17">
        <v>44037</v>
      </c>
      <c r="B8" t="s">
        <v>127</v>
      </c>
      <c r="C8" s="1">
        <v>56.35</v>
      </c>
      <c r="D8" s="1"/>
      <c r="E8" s="1">
        <f>19.8+13.8</f>
        <v>33.6</v>
      </c>
      <c r="F8" s="1"/>
      <c r="G8" s="1"/>
      <c r="H8" s="1">
        <f>56.35-33.6</f>
        <v>22.75</v>
      </c>
      <c r="I8" s="2" t="b">
        <f>IF(Tableau4[[#This Row],[Total ticket]]&lt;&gt;0,IF(Tableau4[[#This Row],[Total ticket]]=SUM(Tableau4[[#This Row],[Nourriture/vie maison]:[Perso Steph]]),TRUE,FALSE),"")</f>
        <v>1</v>
      </c>
      <c r="J8" s="1">
        <f>SUM(Tableau4[[#This Row],[Nourriture/vie maison]:[Divers partagé]])/2</f>
        <v>16.8</v>
      </c>
      <c r="K8" s="20"/>
    </row>
    <row r="9" spans="1:11" x14ac:dyDescent="0.25">
      <c r="A9" s="17">
        <v>44040</v>
      </c>
      <c r="B9" t="s">
        <v>128</v>
      </c>
      <c r="C9" s="1">
        <v>34</v>
      </c>
      <c r="D9" s="1"/>
      <c r="E9" s="1"/>
      <c r="F9" s="1"/>
      <c r="G9" s="1">
        <v>34</v>
      </c>
      <c r="H9" s="1"/>
      <c r="I9" s="2" t="b">
        <f>IF(Tableau4[[#This Row],[Total ticket]]&lt;&gt;0,IF(Tableau4[[#This Row],[Total ticket]]=SUM(Tableau4[[#This Row],[Nourriture/vie maison]:[Perso Steph]]),TRUE,FALSE),"")</f>
        <v>1</v>
      </c>
      <c r="J9" s="1">
        <f>SUM(Tableau4[[#This Row],[Nourriture/vie maison]:[Divers partagé]])/2</f>
        <v>0</v>
      </c>
      <c r="K9" s="20" t="s">
        <v>144</v>
      </c>
    </row>
    <row r="10" spans="1:11" x14ac:dyDescent="0.25">
      <c r="A10" s="17">
        <v>44047</v>
      </c>
      <c r="B10" t="s">
        <v>126</v>
      </c>
      <c r="C10" s="1">
        <v>127.3</v>
      </c>
      <c r="D10" s="1"/>
      <c r="E10" s="1"/>
      <c r="F10" s="1">
        <v>127.3</v>
      </c>
      <c r="G10" s="1"/>
      <c r="H10" s="1"/>
      <c r="I10" s="2" t="b">
        <f>IF(Tableau4[[#This Row],[Total ticket]]&lt;&gt;0,IF(Tableau4[[#This Row],[Total ticket]]=SUM(Tableau4[[#This Row],[Nourriture/vie maison]:[Perso Steph]]),TRUE,FALSE),"")</f>
        <v>1</v>
      </c>
      <c r="J10" s="1">
        <f>SUM(Tableau4[[#This Row],[Nourriture/vie maison]:[Divers partagé]])/2</f>
        <v>63.65</v>
      </c>
      <c r="K10" s="20"/>
    </row>
    <row r="11" spans="1:11" x14ac:dyDescent="0.25">
      <c r="A11" s="17">
        <v>44054</v>
      </c>
      <c r="B11" t="s">
        <v>38</v>
      </c>
      <c r="C11" s="1">
        <v>99</v>
      </c>
      <c r="D11" s="1"/>
      <c r="E11" s="1">
        <v>99</v>
      </c>
      <c r="F11" s="1"/>
      <c r="G11" s="1"/>
      <c r="H11" s="1"/>
      <c r="I11" s="2" t="b">
        <f>IF(Tableau4[[#This Row],[Total ticket]]&lt;&gt;0,IF(Tableau4[[#This Row],[Total ticket]]=SUM(Tableau4[[#This Row],[Nourriture/vie maison]:[Perso Steph]]),TRUE,FALSE),"")</f>
        <v>1</v>
      </c>
      <c r="J11" s="1">
        <f>SUM(Tableau4[[#This Row],[Nourriture/vie maison]:[Divers partagé]])/2</f>
        <v>49.5</v>
      </c>
      <c r="K11" s="20"/>
    </row>
    <row r="12" spans="1:11" x14ac:dyDescent="0.25">
      <c r="A12" s="17">
        <v>44058</v>
      </c>
      <c r="B12" t="s">
        <v>93</v>
      </c>
      <c r="C12" s="10">
        <v>135</v>
      </c>
      <c r="D12" s="1"/>
      <c r="E12" s="1"/>
      <c r="F12" s="1">
        <v>135</v>
      </c>
      <c r="G12" s="1"/>
      <c r="H12" s="1"/>
      <c r="I12" s="2" t="b">
        <f>IF(Tableau4[[#This Row],[Total ticket]]&lt;&gt;0,IF(Tableau4[[#This Row],[Total ticket]]=SUM(Tableau4[[#This Row],[Nourriture/vie maison]:[Perso Steph]]),TRUE,FALSE),"")</f>
        <v>1</v>
      </c>
      <c r="J12" s="1">
        <f>SUM(Tableau4[[#This Row],[Nourriture/vie maison]:[Divers partagé]])/2</f>
        <v>67.5</v>
      </c>
      <c r="K12" s="20"/>
    </row>
    <row r="13" spans="1:11" x14ac:dyDescent="0.25">
      <c r="A13" s="17">
        <v>44084</v>
      </c>
      <c r="B13" t="s">
        <v>42</v>
      </c>
      <c r="C13" s="10">
        <v>83.54</v>
      </c>
      <c r="D13" s="1"/>
      <c r="E13" s="1"/>
      <c r="F13" s="1">
        <v>83.54</v>
      </c>
      <c r="G13" s="1"/>
      <c r="H13" s="1"/>
      <c r="I13" s="2" t="b">
        <f>IF(Tableau4[[#This Row],[Total ticket]]&lt;&gt;0,IF(Tableau4[[#This Row],[Total ticket]]=SUM(Tableau4[[#This Row],[Nourriture/vie maison]:[Perso Steph]]),TRUE,FALSE),"")</f>
        <v>1</v>
      </c>
      <c r="J13" s="1">
        <f>SUM(Tableau4[[#This Row],[Nourriture/vie maison]:[Divers partagé]])/2</f>
        <v>41.77</v>
      </c>
      <c r="K13" s="20"/>
    </row>
    <row r="14" spans="1:11" x14ac:dyDescent="0.25">
      <c r="A14" s="17">
        <v>44085</v>
      </c>
      <c r="B14" t="s">
        <v>38</v>
      </c>
      <c r="C14" s="1">
        <v>99</v>
      </c>
      <c r="D14" s="1"/>
      <c r="E14" s="1">
        <v>99</v>
      </c>
      <c r="F14" s="1"/>
      <c r="G14" s="1"/>
      <c r="H14" s="1"/>
      <c r="I14" s="2" t="b">
        <f>IF(Tableau4[[#This Row],[Total ticket]]&lt;&gt;0,IF(Tableau4[[#This Row],[Total ticket]]=SUM(Tableau4[[#This Row],[Nourriture/vie maison]:[Perso Steph]]),TRUE,FALSE),"")</f>
        <v>1</v>
      </c>
      <c r="J14" s="1">
        <f>SUM(Tableau4[[#This Row],[Nourriture/vie maison]:[Divers partagé]])/2</f>
        <v>49.5</v>
      </c>
      <c r="K14" s="20"/>
    </row>
    <row r="15" spans="1:11" x14ac:dyDescent="0.25">
      <c r="C15" s="1"/>
      <c r="D15" s="1"/>
      <c r="E15" s="1"/>
      <c r="F15" s="1"/>
      <c r="G15" s="1"/>
      <c r="H15" s="1"/>
      <c r="I15" s="2"/>
      <c r="J15" s="1"/>
      <c r="K15" s="20"/>
    </row>
  </sheetData>
  <conditionalFormatting sqref="K2:K14">
    <cfRule type="cellIs" dxfId="4" priority="1" operator="equal">
      <formula>"X"</formula>
    </cfRule>
    <cfRule type="cellIs" dxfId="3" priority="3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Prélèvements (date)</vt:lpstr>
      <vt:lpstr>Bilan</vt:lpstr>
      <vt:lpstr>Dépenses</vt:lpstr>
      <vt:lpstr>Prélèv</vt:lpstr>
      <vt:lpstr>Recettes</vt:lpstr>
      <vt:lpstr>Epargne</vt:lpstr>
      <vt:lpstr>Tickets restos</vt:lpstr>
      <vt:lpstr>Remboursements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RUAU</dc:creator>
  <cp:lastModifiedBy>Stephane RUAU</cp:lastModifiedBy>
  <dcterms:created xsi:type="dcterms:W3CDTF">2020-07-01T22:20:31Z</dcterms:created>
  <dcterms:modified xsi:type="dcterms:W3CDTF">2020-09-05T11:40:41Z</dcterms:modified>
</cp:coreProperties>
</file>