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9720" windowHeight="7320" tabRatio="951" activeTab="8"/>
  </bookViews>
  <sheets>
    <sheet name="Cachorro" sheetId="16" r:id="rId1"/>
    <sheet name="Animais Produção (2)" sheetId="15" r:id="rId2"/>
    <sheet name="Fazenda" sheetId="6" r:id="rId3"/>
    <sheet name="Calc" sheetId="14" r:id="rId4"/>
    <sheet name="XP" sheetId="9" r:id="rId5"/>
    <sheet name="Terrenos" sheetId="5" r:id="rId6"/>
    <sheet name="Decoração" sheetId="4" r:id="rId7"/>
    <sheet name="Frutos" sheetId="7" r:id="rId8"/>
    <sheet name="Fertilizantes" sheetId="1" r:id="rId9"/>
    <sheet name="Animais Produção" sheetId="2" r:id="rId10"/>
    <sheet name="Animais Abate" sheetId="3" r:id="rId11"/>
    <sheet name="Flores" sheetId="11" r:id="rId12"/>
    <sheet name="Param" sheetId="13" r:id="rId13"/>
  </sheets>
  <definedNames>
    <definedName name="solver_adj" localSheetId="8" hidden="1">Fertilizantes!$R$4:$V$4</definedName>
    <definedName name="solver_cvg" localSheetId="8" hidden="1">0.0001</definedName>
    <definedName name="solver_drv" localSheetId="8" hidden="1">1</definedName>
    <definedName name="solver_est" localSheetId="8" hidden="1">1</definedName>
    <definedName name="solver_itr" localSheetId="8" hidden="1">1000</definedName>
    <definedName name="solver_lhs1" localSheetId="8" hidden="1">Fertilizantes!$R$4:$V$4</definedName>
    <definedName name="solver_lhs2" localSheetId="8" hidden="1">Fertilizantes!$R$4:$V$4</definedName>
    <definedName name="solver_lhs3" localSheetId="8" hidden="1">Fertilizantes!$R$4:$V$4</definedName>
    <definedName name="solver_lhs4" localSheetId="8" hidden="1">Fertilizantes!$U$4</definedName>
    <definedName name="solver_lhs5" localSheetId="8" hidden="1">Fertilizantes!$V$4</definedName>
    <definedName name="solver_lin" localSheetId="8" hidden="1">2</definedName>
    <definedName name="solver_neg" localSheetId="8" hidden="1">2</definedName>
    <definedName name="solver_num" localSheetId="8" hidden="1">2</definedName>
    <definedName name="solver_nwt" localSheetId="8" hidden="1">1</definedName>
    <definedName name="solver_opt" localSheetId="8" hidden="1">Fertilizantes!$Z$4</definedName>
    <definedName name="solver_pre" localSheetId="8" hidden="1">0.000001</definedName>
    <definedName name="solver_rel1" localSheetId="8" hidden="1">4</definedName>
    <definedName name="solver_rel2" localSheetId="8" hidden="1">1</definedName>
    <definedName name="solver_rel3" localSheetId="8" hidden="1">3</definedName>
    <definedName name="solver_rel4" localSheetId="8" hidden="1">1</definedName>
    <definedName name="solver_rel5" localSheetId="8" hidden="1">1</definedName>
    <definedName name="solver_rhs1" localSheetId="8" hidden="1">número</definedName>
    <definedName name="solver_rhs2" localSheetId="8" hidden="1">Fertilizantes!#REF!</definedName>
    <definedName name="solver_rhs3" localSheetId="8" hidden="1">Fertilizantes!#REF!</definedName>
    <definedName name="solver_rhs4" localSheetId="8" hidden="1">3</definedName>
    <definedName name="solver_rhs5" localSheetId="8" hidden="1">3</definedName>
    <definedName name="solver_scl" localSheetId="8" hidden="1">2</definedName>
    <definedName name="solver_sho" localSheetId="8" hidden="1">2</definedName>
    <definedName name="solver_tim" localSheetId="8" hidden="1">100</definedName>
    <definedName name="solver_tol" localSheetId="8" hidden="1">0.05</definedName>
    <definedName name="solver_typ" localSheetId="8" hidden="1">3</definedName>
    <definedName name="solver_val" localSheetId="8" hidden="1">140</definedName>
  </definedNames>
  <calcPr calcId="125725"/>
</workbook>
</file>

<file path=xl/calcChain.xml><?xml version="1.0" encoding="utf-8"?>
<calcChain xmlns="http://schemas.openxmlformats.org/spreadsheetml/2006/main">
  <c r="F24" i="1"/>
  <c r="E24"/>
  <c r="D24"/>
  <c r="C24"/>
  <c r="B24"/>
  <c r="A24"/>
  <c r="F40"/>
  <c r="E40"/>
  <c r="D40"/>
  <c r="C40"/>
  <c r="W40" s="1"/>
  <c r="B40"/>
  <c r="A40"/>
  <c r="F28"/>
  <c r="E28"/>
  <c r="D28"/>
  <c r="C28"/>
  <c r="W28" s="1"/>
  <c r="B28"/>
  <c r="A28"/>
  <c r="F27"/>
  <c r="E27"/>
  <c r="D27"/>
  <c r="C27"/>
  <c r="W27" s="1"/>
  <c r="B27"/>
  <c r="A27"/>
  <c r="F26"/>
  <c r="E26"/>
  <c r="D26"/>
  <c r="C26"/>
  <c r="W26" s="1"/>
  <c r="B26"/>
  <c r="A26"/>
  <c r="S26" i="7"/>
  <c r="H28" i="1" s="1"/>
  <c r="O26" i="7"/>
  <c r="P26" s="1"/>
  <c r="G28" i="1" s="1"/>
  <c r="N26" i="7"/>
  <c r="M26"/>
  <c r="Q26" s="1"/>
  <c r="R26" s="1"/>
  <c r="J28" i="1" s="1"/>
  <c r="L26" i="7"/>
  <c r="K26"/>
  <c r="S25"/>
  <c r="H27" i="1" s="1"/>
  <c r="O25" i="7"/>
  <c r="P25" s="1"/>
  <c r="G27" i="1" s="1"/>
  <c r="N25" i="7"/>
  <c r="M25"/>
  <c r="Q25" s="1"/>
  <c r="R25" s="1"/>
  <c r="J27" i="1" s="1"/>
  <c r="L25" i="7"/>
  <c r="K25"/>
  <c r="S24"/>
  <c r="O24"/>
  <c r="P24" s="1"/>
  <c r="G26" i="1" s="1"/>
  <c r="N24" i="7"/>
  <c r="M24"/>
  <c r="Q24" s="1"/>
  <c r="R24" s="1"/>
  <c r="J26" i="1" s="1"/>
  <c r="L24" i="7"/>
  <c r="K24"/>
  <c r="S22"/>
  <c r="H24" i="1" s="1"/>
  <c r="O22" i="7"/>
  <c r="P22" s="1"/>
  <c r="G24" i="1" s="1"/>
  <c r="N22" i="7"/>
  <c r="M22"/>
  <c r="Q22" s="1"/>
  <c r="R22" s="1"/>
  <c r="J24" i="1" s="1"/>
  <c r="L22" i="7"/>
  <c r="K22"/>
  <c r="S39"/>
  <c r="O39"/>
  <c r="P39" s="1"/>
  <c r="N39"/>
  <c r="M39"/>
  <c r="Q39" s="1"/>
  <c r="R39" s="1"/>
  <c r="L39"/>
  <c r="K39"/>
  <c r="S38"/>
  <c r="H40" i="1" s="1"/>
  <c r="O38" i="7"/>
  <c r="P38" s="1"/>
  <c r="G40" i="1" s="1"/>
  <c r="N38" i="7"/>
  <c r="M38"/>
  <c r="Q38" s="1"/>
  <c r="R38" s="1"/>
  <c r="J40" i="1" s="1"/>
  <c r="L38" i="7"/>
  <c r="K38"/>
  <c r="T21" i="4"/>
  <c r="W21"/>
  <c r="Y21"/>
  <c r="Z21"/>
  <c r="V21"/>
  <c r="X21"/>
  <c r="P21"/>
  <c r="L21"/>
  <c r="H21"/>
  <c r="D21"/>
  <c r="S23"/>
  <c r="R23"/>
  <c r="O23"/>
  <c r="N23"/>
  <c r="K23"/>
  <c r="J23"/>
  <c r="G23"/>
  <c r="F23"/>
  <c r="C23"/>
  <c r="B23"/>
  <c r="W22"/>
  <c r="V22"/>
  <c r="X22" s="1"/>
  <c r="T22"/>
  <c r="P22"/>
  <c r="L22"/>
  <c r="H22"/>
  <c r="D22"/>
  <c r="W20"/>
  <c r="V20"/>
  <c r="X20" s="1"/>
  <c r="T20"/>
  <c r="P20"/>
  <c r="L20"/>
  <c r="H20"/>
  <c r="D20"/>
  <c r="W19"/>
  <c r="V19"/>
  <c r="X19" s="1"/>
  <c r="T19"/>
  <c r="P19"/>
  <c r="L19"/>
  <c r="H19"/>
  <c r="D19"/>
  <c r="W18"/>
  <c r="V18"/>
  <c r="X18" s="1"/>
  <c r="T18"/>
  <c r="P18"/>
  <c r="L18"/>
  <c r="H18"/>
  <c r="D18"/>
  <c r="W17"/>
  <c r="V17"/>
  <c r="X17" s="1"/>
  <c r="T17"/>
  <c r="P17"/>
  <c r="L17"/>
  <c r="H17"/>
  <c r="D17"/>
  <c r="W16"/>
  <c r="W23" s="1"/>
  <c r="V16"/>
  <c r="V23" s="1"/>
  <c r="T16"/>
  <c r="P16"/>
  <c r="L16"/>
  <c r="H16"/>
  <c r="D16"/>
  <c r="F36" i="1"/>
  <c r="E36"/>
  <c r="D36"/>
  <c r="C36"/>
  <c r="Q36" s="1"/>
  <c r="A36"/>
  <c r="S34" i="7"/>
  <c r="K34"/>
  <c r="L34"/>
  <c r="M34"/>
  <c r="I36" i="1" s="1"/>
  <c r="Q34" i="7"/>
  <c r="R34"/>
  <c r="J36" i="1" s="1"/>
  <c r="N34" i="7"/>
  <c r="O34"/>
  <c r="P34"/>
  <c r="G36" i="1" s="1"/>
  <c r="C5" i="16"/>
  <c r="C4"/>
  <c r="C3"/>
  <c r="C2"/>
  <c r="A11"/>
  <c r="A10"/>
  <c r="A9"/>
  <c r="A8"/>
  <c r="A7"/>
  <c r="A6"/>
  <c r="A5"/>
  <c r="A4"/>
  <c r="A3"/>
  <c r="A2"/>
  <c r="V8" i="15"/>
  <c r="H8"/>
  <c r="G8"/>
  <c r="F8"/>
  <c r="E8"/>
  <c r="D8"/>
  <c r="B8"/>
  <c r="N7"/>
  <c r="K7"/>
  <c r="T7" s="1"/>
  <c r="X7" s="1"/>
  <c r="J7"/>
  <c r="N6"/>
  <c r="K6"/>
  <c r="T6" s="1"/>
  <c r="X6" s="1"/>
  <c r="J6"/>
  <c r="N5"/>
  <c r="K5"/>
  <c r="T5" s="1"/>
  <c r="X5" s="1"/>
  <c r="J5"/>
  <c r="N4"/>
  <c r="K4"/>
  <c r="T4" s="1"/>
  <c r="X4" s="1"/>
  <c r="J4"/>
  <c r="N3"/>
  <c r="K3"/>
  <c r="T3" s="1"/>
  <c r="X3" s="1"/>
  <c r="J3"/>
  <c r="N2"/>
  <c r="N8" s="1"/>
  <c r="K2"/>
  <c r="T2" s="1"/>
  <c r="J2"/>
  <c r="Z14" i="11"/>
  <c r="Y14"/>
  <c r="Z13"/>
  <c r="Y13"/>
  <c r="Z12"/>
  <c r="Y12"/>
  <c r="Z11"/>
  <c r="Y11"/>
  <c r="AB20"/>
  <c r="AA20"/>
  <c r="T20"/>
  <c r="D20"/>
  <c r="N20" s="1"/>
  <c r="Z20" s="1"/>
  <c r="B20"/>
  <c r="L20" s="1"/>
  <c r="T15"/>
  <c r="N15"/>
  <c r="Z15" s="1"/>
  <c r="L15"/>
  <c r="J15"/>
  <c r="K15" s="1"/>
  <c r="H15"/>
  <c r="G15"/>
  <c r="Y15" s="1"/>
  <c r="AB16"/>
  <c r="Q6" i="6"/>
  <c r="P6"/>
  <c r="O6"/>
  <c r="N6"/>
  <c r="R6" s="1"/>
  <c r="M6"/>
  <c r="K6"/>
  <c r="Q11"/>
  <c r="P11"/>
  <c r="O11"/>
  <c r="K11"/>
  <c r="K12" s="1"/>
  <c r="AB19" i="11"/>
  <c r="AA19"/>
  <c r="AB18"/>
  <c r="AA18"/>
  <c r="AB17"/>
  <c r="AA17"/>
  <c r="AA16"/>
  <c r="B16" s="1"/>
  <c r="E7" i="13"/>
  <c r="D7"/>
  <c r="E6"/>
  <c r="D6"/>
  <c r="E5"/>
  <c r="D5"/>
  <c r="T19" i="11"/>
  <c r="Z40" i="1" l="1"/>
  <c r="T39" i="7"/>
  <c r="T24"/>
  <c r="H26" i="1"/>
  <c r="Z26" s="1"/>
  <c r="I26"/>
  <c r="I27"/>
  <c r="Z28"/>
  <c r="I28"/>
  <c r="I40"/>
  <c r="X40" s="1"/>
  <c r="I24"/>
  <c r="Q40"/>
  <c r="Y40"/>
  <c r="AA40"/>
  <c r="AB40"/>
  <c r="X28"/>
  <c r="AE28" s="1"/>
  <c r="Q28"/>
  <c r="Y28"/>
  <c r="AA28"/>
  <c r="AB28"/>
  <c r="X26"/>
  <c r="X27"/>
  <c r="AA27" s="1"/>
  <c r="Z27"/>
  <c r="Y27"/>
  <c r="AB27"/>
  <c r="Q27"/>
  <c r="Q26"/>
  <c r="Y26"/>
  <c r="AA26"/>
  <c r="AB26"/>
  <c r="T26" i="7"/>
  <c r="V26"/>
  <c r="U26"/>
  <c r="K28" i="1" s="1"/>
  <c r="T25" i="7"/>
  <c r="V25"/>
  <c r="U25"/>
  <c r="K27" i="1" s="1"/>
  <c r="V24" i="7"/>
  <c r="U24"/>
  <c r="K26" i="1" s="1"/>
  <c r="T34" i="7"/>
  <c r="T38"/>
  <c r="T22"/>
  <c r="V22"/>
  <c r="U22"/>
  <c r="K24" i="1" s="1"/>
  <c r="V39" i="7"/>
  <c r="U39"/>
  <c r="V38"/>
  <c r="U38"/>
  <c r="K40" i="1" s="1"/>
  <c r="X36"/>
  <c r="AE36" s="1"/>
  <c r="H36"/>
  <c r="W36"/>
  <c r="Z36" s="1"/>
  <c r="Z17" i="4"/>
  <c r="Z18"/>
  <c r="Z19"/>
  <c r="Z20"/>
  <c r="Z22"/>
  <c r="D23"/>
  <c r="H23"/>
  <c r="L23"/>
  <c r="P23"/>
  <c r="T23"/>
  <c r="Z23"/>
  <c r="X16"/>
  <c r="X23" s="1"/>
  <c r="Y16"/>
  <c r="Z16"/>
  <c r="Y17"/>
  <c r="Y18"/>
  <c r="Y19"/>
  <c r="Y20"/>
  <c r="Y22"/>
  <c r="Y36" i="1"/>
  <c r="AA36"/>
  <c r="AB36"/>
  <c r="V34" i="7"/>
  <c r="U34"/>
  <c r="K36" i="1" s="1"/>
  <c r="T8" i="15"/>
  <c r="X2"/>
  <c r="X8" s="1"/>
  <c r="L2"/>
  <c r="O2"/>
  <c r="P2"/>
  <c r="L3"/>
  <c r="M3" s="1"/>
  <c r="O3"/>
  <c r="P3" s="1"/>
  <c r="L4"/>
  <c r="M4" s="1"/>
  <c r="O4"/>
  <c r="P4" s="1"/>
  <c r="L5"/>
  <c r="M5" s="1"/>
  <c r="O5"/>
  <c r="P5" s="1"/>
  <c r="L6"/>
  <c r="M6" s="1"/>
  <c r="O6"/>
  <c r="P6" s="1"/>
  <c r="L7"/>
  <c r="M7" s="1"/>
  <c r="O7"/>
  <c r="P7" s="1"/>
  <c r="G20" i="11"/>
  <c r="Y20" s="1"/>
  <c r="H20"/>
  <c r="J20"/>
  <c r="K20" s="1"/>
  <c r="T18"/>
  <c r="T17"/>
  <c r="T16"/>
  <c r="T14"/>
  <c r="N14"/>
  <c r="L14"/>
  <c r="J14"/>
  <c r="H14"/>
  <c r="G14"/>
  <c r="T13"/>
  <c r="N13"/>
  <c r="L13"/>
  <c r="J13"/>
  <c r="H13"/>
  <c r="G13"/>
  <c r="T12"/>
  <c r="N12"/>
  <c r="L12"/>
  <c r="J12"/>
  <c r="H12"/>
  <c r="G12"/>
  <c r="T11"/>
  <c r="N11"/>
  <c r="L11"/>
  <c r="J11"/>
  <c r="H11"/>
  <c r="G11"/>
  <c r="T10"/>
  <c r="N10"/>
  <c r="M10"/>
  <c r="J10"/>
  <c r="K10" s="1"/>
  <c r="I10"/>
  <c r="T9"/>
  <c r="N9"/>
  <c r="M9"/>
  <c r="J9"/>
  <c r="K9" s="1"/>
  <c r="I9"/>
  <c r="T8"/>
  <c r="N8"/>
  <c r="M8"/>
  <c r="J8"/>
  <c r="K8" s="1"/>
  <c r="I8"/>
  <c r="T7"/>
  <c r="N7"/>
  <c r="M7"/>
  <c r="J7"/>
  <c r="K7" s="1"/>
  <c r="I7"/>
  <c r="T6"/>
  <c r="N6"/>
  <c r="M6"/>
  <c r="J6"/>
  <c r="K6" s="1"/>
  <c r="I6"/>
  <c r="T5"/>
  <c r="N5"/>
  <c r="M5"/>
  <c r="J5"/>
  <c r="K5" s="1"/>
  <c r="I5"/>
  <c r="T4"/>
  <c r="N4"/>
  <c r="M4"/>
  <c r="J4"/>
  <c r="K4" s="1"/>
  <c r="I4"/>
  <c r="T3"/>
  <c r="N3"/>
  <c r="M3"/>
  <c r="J3"/>
  <c r="K3" s="1"/>
  <c r="I3"/>
  <c r="T2"/>
  <c r="N2"/>
  <c r="M2"/>
  <c r="J2"/>
  <c r="K2" s="1"/>
  <c r="I2"/>
  <c r="S6" i="3"/>
  <c r="R6" s="1"/>
  <c r="Q6"/>
  <c r="P6"/>
  <c r="O6" s="1"/>
  <c r="N6"/>
  <c r="M6"/>
  <c r="L6"/>
  <c r="H6"/>
  <c r="G6"/>
  <c r="F6"/>
  <c r="E6"/>
  <c r="D6"/>
  <c r="B6"/>
  <c r="S5" s="1"/>
  <c r="R5"/>
  <c r="P5"/>
  <c r="O5" s="1"/>
  <c r="N5"/>
  <c r="M5" s="1"/>
  <c r="L5" s="1"/>
  <c r="K5"/>
  <c r="J5"/>
  <c r="S4" s="1"/>
  <c r="R4"/>
  <c r="P4"/>
  <c r="O4" s="1"/>
  <c r="N4"/>
  <c r="M4" s="1"/>
  <c r="L4" s="1"/>
  <c r="K4"/>
  <c r="J4"/>
  <c r="S3"/>
  <c r="R3"/>
  <c r="P3"/>
  <c r="O3" s="1"/>
  <c r="N3"/>
  <c r="M3" s="1"/>
  <c r="L3" s="1"/>
  <c r="K3"/>
  <c r="J3"/>
  <c r="S2" s="1"/>
  <c r="R2"/>
  <c r="P2"/>
  <c r="O2" s="1"/>
  <c r="N2"/>
  <c r="M2" s="1"/>
  <c r="L2" s="1"/>
  <c r="K2"/>
  <c r="J2"/>
  <c r="X8" i="2" s="1"/>
  <c r="W8"/>
  <c r="V8"/>
  <c r="T8"/>
  <c r="S8"/>
  <c r="R8"/>
  <c r="Q8"/>
  <c r="P8"/>
  <c r="O8" s="1"/>
  <c r="N8" s="1"/>
  <c r="M8"/>
  <c r="L8"/>
  <c r="H8"/>
  <c r="G8"/>
  <c r="F8"/>
  <c r="E8"/>
  <c r="D8"/>
  <c r="B8"/>
  <c r="X7" s="1"/>
  <c r="W7"/>
  <c r="U7"/>
  <c r="T7" s="1"/>
  <c r="S7"/>
  <c r="R7"/>
  <c r="Q7"/>
  <c r="P7" s="1"/>
  <c r="O7"/>
  <c r="N7"/>
  <c r="M7"/>
  <c r="L7"/>
  <c r="K7"/>
  <c r="J7"/>
  <c r="X6" s="1"/>
  <c r="W6"/>
  <c r="U6"/>
  <c r="T6" s="1"/>
  <c r="S6"/>
  <c r="R6"/>
  <c r="Q6"/>
  <c r="P6" s="1"/>
  <c r="O6"/>
  <c r="N6"/>
  <c r="M6"/>
  <c r="L6"/>
  <c r="K6"/>
  <c r="J6"/>
  <c r="X5" s="1"/>
  <c r="W5"/>
  <c r="U5"/>
  <c r="T5"/>
  <c r="S5"/>
  <c r="R5"/>
  <c r="Q5"/>
  <c r="P5"/>
  <c r="O5" s="1"/>
  <c r="N5"/>
  <c r="M5"/>
  <c r="L5"/>
  <c r="K5"/>
  <c r="J5"/>
  <c r="X4"/>
  <c r="W4"/>
  <c r="U4"/>
  <c r="T4"/>
  <c r="S4"/>
  <c r="R4"/>
  <c r="Q4"/>
  <c r="P4"/>
  <c r="O4" s="1"/>
  <c r="N4"/>
  <c r="M4"/>
  <c r="L4"/>
  <c r="K4"/>
  <c r="J4"/>
  <c r="X3"/>
  <c r="W3"/>
  <c r="U3"/>
  <c r="T3"/>
  <c r="S3"/>
  <c r="R3"/>
  <c r="Q3"/>
  <c r="P3"/>
  <c r="O3" s="1"/>
  <c r="N3"/>
  <c r="M3"/>
  <c r="L3"/>
  <c r="K3"/>
  <c r="J3"/>
  <c r="X2"/>
  <c r="W2"/>
  <c r="U2"/>
  <c r="T2"/>
  <c r="S2"/>
  <c r="R2"/>
  <c r="Q2"/>
  <c r="P2"/>
  <c r="O2" s="1"/>
  <c r="N2"/>
  <c r="M2"/>
  <c r="L2"/>
  <c r="K2"/>
  <c r="J2"/>
  <c r="F23" i="1"/>
  <c r="E23"/>
  <c r="D23"/>
  <c r="C23"/>
  <c r="B23"/>
  <c r="A23"/>
  <c r="F41"/>
  <c r="E41"/>
  <c r="D41"/>
  <c r="C41"/>
  <c r="B41"/>
  <c r="A41"/>
  <c r="F39"/>
  <c r="E39"/>
  <c r="D39"/>
  <c r="C39"/>
  <c r="Q39" s="1"/>
  <c r="B39"/>
  <c r="A39"/>
  <c r="F38"/>
  <c r="E38"/>
  <c r="D38"/>
  <c r="C38"/>
  <c r="Q38" s="1"/>
  <c r="B38"/>
  <c r="A38"/>
  <c r="F37"/>
  <c r="E37"/>
  <c r="D37"/>
  <c r="C37"/>
  <c r="B37"/>
  <c r="A37"/>
  <c r="F35"/>
  <c r="E35"/>
  <c r="D35"/>
  <c r="C35"/>
  <c r="Q35" s="1"/>
  <c r="B35"/>
  <c r="A35"/>
  <c r="F34"/>
  <c r="E34"/>
  <c r="D34"/>
  <c r="C34"/>
  <c r="B34"/>
  <c r="A34"/>
  <c r="F33"/>
  <c r="E33"/>
  <c r="D33"/>
  <c r="C33"/>
  <c r="Q33" s="1"/>
  <c r="B33"/>
  <c r="A33"/>
  <c r="F32"/>
  <c r="E32"/>
  <c r="D32"/>
  <c r="C32"/>
  <c r="W32" s="1"/>
  <c r="B32"/>
  <c r="A32"/>
  <c r="F31"/>
  <c r="E31"/>
  <c r="D31"/>
  <c r="C31"/>
  <c r="W31" s="1"/>
  <c r="Q31" s="1"/>
  <c r="B31"/>
  <c r="A31"/>
  <c r="F30"/>
  <c r="E30"/>
  <c r="D30"/>
  <c r="C30"/>
  <c r="Q30" s="1"/>
  <c r="B30"/>
  <c r="A30"/>
  <c r="F29"/>
  <c r="E29"/>
  <c r="D29"/>
  <c r="C29"/>
  <c r="B29"/>
  <c r="A29"/>
  <c r="F25"/>
  <c r="E25"/>
  <c r="D25"/>
  <c r="C25"/>
  <c r="B25"/>
  <c r="A25"/>
  <c r="F22"/>
  <c r="E22"/>
  <c r="D22"/>
  <c r="C22"/>
  <c r="Q22" s="1"/>
  <c r="B22"/>
  <c r="A22"/>
  <c r="F21"/>
  <c r="E21"/>
  <c r="D21"/>
  <c r="C21"/>
  <c r="W21" s="1"/>
  <c r="B21"/>
  <c r="A21"/>
  <c r="F20"/>
  <c r="E20"/>
  <c r="D20"/>
  <c r="C20"/>
  <c r="Q20" s="1"/>
  <c r="B20"/>
  <c r="A20"/>
  <c r="F19"/>
  <c r="E19"/>
  <c r="D19"/>
  <c r="C19"/>
  <c r="Q19" s="1"/>
  <c r="B19"/>
  <c r="A19"/>
  <c r="F18"/>
  <c r="E18"/>
  <c r="D18"/>
  <c r="C18"/>
  <c r="W18" s="1"/>
  <c r="B18"/>
  <c r="A18"/>
  <c r="F17"/>
  <c r="E17"/>
  <c r="D17"/>
  <c r="C17"/>
  <c r="W17" s="1"/>
  <c r="B17"/>
  <c r="A17"/>
  <c r="F16"/>
  <c r="E16"/>
  <c r="D16"/>
  <c r="C16"/>
  <c r="W16" s="1"/>
  <c r="B16"/>
  <c r="A16"/>
  <c r="F15"/>
  <c r="E15"/>
  <c r="D15"/>
  <c r="C15"/>
  <c r="W15" s="1"/>
  <c r="B15"/>
  <c r="A15"/>
  <c r="F14"/>
  <c r="E14"/>
  <c r="D14"/>
  <c r="C14"/>
  <c r="W14" s="1"/>
  <c r="B14"/>
  <c r="A14"/>
  <c r="F13"/>
  <c r="E13"/>
  <c r="D13"/>
  <c r="C13"/>
  <c r="W13" s="1"/>
  <c r="B13"/>
  <c r="A13"/>
  <c r="F12"/>
  <c r="E12"/>
  <c r="D12"/>
  <c r="C12"/>
  <c r="W12" s="1"/>
  <c r="B12"/>
  <c r="A12"/>
  <c r="F11"/>
  <c r="E11"/>
  <c r="D11"/>
  <c r="C11"/>
  <c r="W11" s="1"/>
  <c r="B11"/>
  <c r="A11"/>
  <c r="F10"/>
  <c r="E10"/>
  <c r="D10"/>
  <c r="C10"/>
  <c r="W10" s="1"/>
  <c r="B10"/>
  <c r="A10"/>
  <c r="F9"/>
  <c r="E9"/>
  <c r="D9"/>
  <c r="C9"/>
  <c r="W9" s="1"/>
  <c r="B9"/>
  <c r="A9"/>
  <c r="F8"/>
  <c r="E8"/>
  <c r="D8"/>
  <c r="C8"/>
  <c r="W8" s="1"/>
  <c r="B8"/>
  <c r="A8"/>
  <c r="F7"/>
  <c r="E7"/>
  <c r="D7"/>
  <c r="C7"/>
  <c r="W7" s="1"/>
  <c r="B7"/>
  <c r="A7"/>
  <c r="F6"/>
  <c r="E6"/>
  <c r="D6"/>
  <c r="C6"/>
  <c r="W6" s="1"/>
  <c r="B6"/>
  <c r="A6"/>
  <c r="F5"/>
  <c r="E5"/>
  <c r="D5"/>
  <c r="C5"/>
  <c r="W5" s="1"/>
  <c r="B5"/>
  <c r="A5"/>
  <c r="F4"/>
  <c r="E4"/>
  <c r="D4"/>
  <c r="C4"/>
  <c r="W4" s="1"/>
  <c r="B4"/>
  <c r="A4"/>
  <c r="K3"/>
  <c r="I3"/>
  <c r="H3"/>
  <c r="F3"/>
  <c r="E3"/>
  <c r="D3"/>
  <c r="C3"/>
  <c r="A3"/>
  <c r="S21" i="7"/>
  <c r="O21"/>
  <c r="P21" s="1"/>
  <c r="G23" i="1" s="1"/>
  <c r="N21" i="7"/>
  <c r="M21"/>
  <c r="I23" i="1" s="1"/>
  <c r="X23" s="1"/>
  <c r="L21" i="7"/>
  <c r="K21"/>
  <c r="G41" i="1"/>
  <c r="I41"/>
  <c r="S37" i="7"/>
  <c r="O37"/>
  <c r="P37" s="1"/>
  <c r="G39" i="1" s="1"/>
  <c r="N37" i="7"/>
  <c r="M37"/>
  <c r="I39" i="1" s="1"/>
  <c r="L37" i="7"/>
  <c r="K37"/>
  <c r="S36"/>
  <c r="O36"/>
  <c r="P36" s="1"/>
  <c r="G38" i="1" s="1"/>
  <c r="N36" i="7"/>
  <c r="M36"/>
  <c r="I38" i="1" s="1"/>
  <c r="L36" i="7"/>
  <c r="K36"/>
  <c r="S35"/>
  <c r="O35"/>
  <c r="P35" s="1"/>
  <c r="G37" i="1" s="1"/>
  <c r="M35" i="7"/>
  <c r="Q35" s="1"/>
  <c r="L35"/>
  <c r="K35"/>
  <c r="S33"/>
  <c r="H35" i="1" s="1"/>
  <c r="O33" i="7"/>
  <c r="P33" s="1"/>
  <c r="G35" i="1" s="1"/>
  <c r="N33" i="7"/>
  <c r="M33"/>
  <c r="I35" i="1" s="1"/>
  <c r="L33" i="7"/>
  <c r="K33"/>
  <c r="S32"/>
  <c r="O32"/>
  <c r="P32" s="1"/>
  <c r="G34" i="1" s="1"/>
  <c r="N32" i="7"/>
  <c r="M32"/>
  <c r="I34" i="1" s="1"/>
  <c r="X34" s="1"/>
  <c r="L32" i="7"/>
  <c r="K32"/>
  <c r="S31"/>
  <c r="O31"/>
  <c r="P31" s="1"/>
  <c r="G33" i="1" s="1"/>
  <c r="N31" i="7"/>
  <c r="M31"/>
  <c r="I33" i="1" s="1"/>
  <c r="L31" i="7"/>
  <c r="K31"/>
  <c r="S30"/>
  <c r="O30"/>
  <c r="P30" s="1"/>
  <c r="G32" i="1" s="1"/>
  <c r="N30" i="7"/>
  <c r="M30"/>
  <c r="I32" i="1" s="1"/>
  <c r="L30" i="7"/>
  <c r="K30"/>
  <c r="S29"/>
  <c r="O29"/>
  <c r="P29" s="1"/>
  <c r="G31" i="1" s="1"/>
  <c r="N29" i="7"/>
  <c r="M29"/>
  <c r="I31" i="1" s="1"/>
  <c r="L29" i="7"/>
  <c r="K29"/>
  <c r="S28"/>
  <c r="O28"/>
  <c r="P28" s="1"/>
  <c r="G30" i="1" s="1"/>
  <c r="N28" i="7"/>
  <c r="M28"/>
  <c r="I30" i="1" s="1"/>
  <c r="L28" i="7"/>
  <c r="K28"/>
  <c r="S27"/>
  <c r="O27"/>
  <c r="P27" s="1"/>
  <c r="G29" i="1" s="1"/>
  <c r="N27" i="7"/>
  <c r="M27"/>
  <c r="I29" i="1" s="1"/>
  <c r="L27" i="7"/>
  <c r="K27"/>
  <c r="S23"/>
  <c r="O23"/>
  <c r="P23" s="1"/>
  <c r="G25" i="1" s="1"/>
  <c r="N23" i="7"/>
  <c r="M23"/>
  <c r="I25" i="1" s="1"/>
  <c r="L23" i="7"/>
  <c r="K23"/>
  <c r="S20"/>
  <c r="H22" i="1" s="1"/>
  <c r="O20" i="7"/>
  <c r="P20" s="1"/>
  <c r="G22" i="1" s="1"/>
  <c r="N20" i="7"/>
  <c r="M20"/>
  <c r="I22" i="1" s="1"/>
  <c r="L20" i="7"/>
  <c r="K20"/>
  <c r="S19"/>
  <c r="O19"/>
  <c r="P19" s="1"/>
  <c r="G21" i="1" s="1"/>
  <c r="N19" i="7"/>
  <c r="M19"/>
  <c r="I21" i="1" s="1"/>
  <c r="L19" i="7"/>
  <c r="K19"/>
  <c r="S18"/>
  <c r="O18"/>
  <c r="P18" s="1"/>
  <c r="G20" i="1" s="1"/>
  <c r="E4" i="14" s="1"/>
  <c r="N18" i="7"/>
  <c r="M18"/>
  <c r="I20" i="1" s="1"/>
  <c r="L18" i="7"/>
  <c r="K18"/>
  <c r="S17"/>
  <c r="O17"/>
  <c r="P17" s="1"/>
  <c r="G19" i="1" s="1"/>
  <c r="N17" i="7"/>
  <c r="M17"/>
  <c r="I19" i="1" s="1"/>
  <c r="L17" i="7"/>
  <c r="K17"/>
  <c r="S16"/>
  <c r="O16"/>
  <c r="P16" s="1"/>
  <c r="G18" i="1" s="1"/>
  <c r="N16" i="7"/>
  <c r="M16"/>
  <c r="I18" i="1" s="1"/>
  <c r="L16" i="7"/>
  <c r="K16"/>
  <c r="S15"/>
  <c r="O15"/>
  <c r="P15" s="1"/>
  <c r="G17" i="1" s="1"/>
  <c r="N15" i="7"/>
  <c r="M15"/>
  <c r="I17" i="1" s="1"/>
  <c r="L15" i="7"/>
  <c r="K15"/>
  <c r="S14"/>
  <c r="O14"/>
  <c r="P14" s="1"/>
  <c r="G16" i="1" s="1"/>
  <c r="N14" i="7"/>
  <c r="M14"/>
  <c r="I16" i="1" s="1"/>
  <c r="L14" i="7"/>
  <c r="K14"/>
  <c r="S13"/>
  <c r="O13"/>
  <c r="P13" s="1"/>
  <c r="G15" i="1" s="1"/>
  <c r="N13" i="7"/>
  <c r="M13"/>
  <c r="I15" i="1" s="1"/>
  <c r="L13" i="7"/>
  <c r="K13"/>
  <c r="S12"/>
  <c r="O12"/>
  <c r="P12" s="1"/>
  <c r="G14" i="1" s="1"/>
  <c r="N12" i="7"/>
  <c r="M12"/>
  <c r="I14" i="1" s="1"/>
  <c r="L12" i="7"/>
  <c r="K12"/>
  <c r="S11"/>
  <c r="O11"/>
  <c r="P11" s="1"/>
  <c r="G13" i="1" s="1"/>
  <c r="N11" i="7"/>
  <c r="M11"/>
  <c r="I13" i="1" s="1"/>
  <c r="L11" i="7"/>
  <c r="K11"/>
  <c r="S10"/>
  <c r="O10"/>
  <c r="P10" s="1"/>
  <c r="G12" i="1" s="1"/>
  <c r="N10" i="7"/>
  <c r="M10"/>
  <c r="I12" i="1" s="1"/>
  <c r="L10" i="7"/>
  <c r="K10"/>
  <c r="S9"/>
  <c r="O9"/>
  <c r="P9" s="1"/>
  <c r="G11" i="1" s="1"/>
  <c r="N9" i="7"/>
  <c r="M9"/>
  <c r="I11" i="1" s="1"/>
  <c r="L9" i="7"/>
  <c r="K9"/>
  <c r="S8"/>
  <c r="O8"/>
  <c r="P8" s="1"/>
  <c r="G10" i="1" s="1"/>
  <c r="N8" i="7"/>
  <c r="M8"/>
  <c r="I10" i="1" s="1"/>
  <c r="L8" i="7"/>
  <c r="K8"/>
  <c r="S7"/>
  <c r="O7"/>
  <c r="P7" s="1"/>
  <c r="G9" i="1" s="1"/>
  <c r="N7" i="7"/>
  <c r="M7"/>
  <c r="I9" i="1" s="1"/>
  <c r="L7" i="7"/>
  <c r="K7"/>
  <c r="S6"/>
  <c r="O6"/>
  <c r="P6" s="1"/>
  <c r="G8" i="1" s="1"/>
  <c r="N6" i="7"/>
  <c r="M6"/>
  <c r="I8" i="1" s="1"/>
  <c r="L6" i="7"/>
  <c r="K6"/>
  <c r="S5"/>
  <c r="O5"/>
  <c r="P5" s="1"/>
  <c r="G7" i="1" s="1"/>
  <c r="N5" i="7"/>
  <c r="M5"/>
  <c r="I7" i="1" s="1"/>
  <c r="L5" i="7"/>
  <c r="K5"/>
  <c r="S4"/>
  <c r="O4"/>
  <c r="P4" s="1"/>
  <c r="G6" i="1" s="1"/>
  <c r="N4" i="7"/>
  <c r="M4"/>
  <c r="I6" i="1" s="1"/>
  <c r="L4" i="7"/>
  <c r="K4"/>
  <c r="S3"/>
  <c r="O3"/>
  <c r="P3" s="1"/>
  <c r="G5" i="1" s="1"/>
  <c r="N3" i="7"/>
  <c r="M3"/>
  <c r="I5" i="1" s="1"/>
  <c r="L3" i="7"/>
  <c r="K3"/>
  <c r="S2"/>
  <c r="O2"/>
  <c r="N2"/>
  <c r="M2"/>
  <c r="I4" i="1" s="1"/>
  <c r="L2" i="7"/>
  <c r="K2"/>
  <c r="S14" i="4"/>
  <c r="R14"/>
  <c r="O14"/>
  <c r="N14"/>
  <c r="K14"/>
  <c r="J14"/>
  <c r="G14"/>
  <c r="F14"/>
  <c r="C14"/>
  <c r="B14"/>
  <c r="W13"/>
  <c r="V13"/>
  <c r="X13" s="1"/>
  <c r="T13"/>
  <c r="P13"/>
  <c r="L13"/>
  <c r="H13"/>
  <c r="D13"/>
  <c r="W12"/>
  <c r="V12"/>
  <c r="X12" s="1"/>
  <c r="T12"/>
  <c r="P12"/>
  <c r="L12"/>
  <c r="H12"/>
  <c r="D12"/>
  <c r="W11"/>
  <c r="V11"/>
  <c r="X11" s="1"/>
  <c r="T11"/>
  <c r="P11"/>
  <c r="L11"/>
  <c r="H11"/>
  <c r="D11"/>
  <c r="W10"/>
  <c r="V10"/>
  <c r="X10" s="1"/>
  <c r="T10"/>
  <c r="P10"/>
  <c r="L10"/>
  <c r="H10"/>
  <c r="D10"/>
  <c r="W9"/>
  <c r="V9"/>
  <c r="X9" s="1"/>
  <c r="T9"/>
  <c r="P9"/>
  <c r="L9"/>
  <c r="H9"/>
  <c r="D9"/>
  <c r="W8"/>
  <c r="V8"/>
  <c r="X8" s="1"/>
  <c r="T8"/>
  <c r="P8"/>
  <c r="L8"/>
  <c r="H8"/>
  <c r="D8"/>
  <c r="W7"/>
  <c r="V7"/>
  <c r="T7"/>
  <c r="P7"/>
  <c r="L7"/>
  <c r="H7"/>
  <c r="D7"/>
  <c r="W6"/>
  <c r="V6"/>
  <c r="T6"/>
  <c r="P6"/>
  <c r="L6"/>
  <c r="H6"/>
  <c r="D6"/>
  <c r="W5"/>
  <c r="V5"/>
  <c r="T5"/>
  <c r="P5"/>
  <c r="L5"/>
  <c r="H5"/>
  <c r="D5"/>
  <c r="W4"/>
  <c r="V4"/>
  <c r="T4"/>
  <c r="P4"/>
  <c r="L4"/>
  <c r="H4"/>
  <c r="D4"/>
  <c r="W3"/>
  <c r="Y3" s="1"/>
  <c r="V3"/>
  <c r="V14" s="1"/>
  <c r="T3"/>
  <c r="P3"/>
  <c r="L3"/>
  <c r="H3"/>
  <c r="D3"/>
  <c r="J24" i="5"/>
  <c r="I24"/>
  <c r="H24"/>
  <c r="G24"/>
  <c r="N23"/>
  <c r="M23"/>
  <c r="L23" s="1"/>
  <c r="K23" s="1"/>
  <c r="F23"/>
  <c r="N22"/>
  <c r="M22"/>
  <c r="L22" s="1"/>
  <c r="K22"/>
  <c r="F22"/>
  <c r="N21"/>
  <c r="M21"/>
  <c r="L21" s="1"/>
  <c r="K21"/>
  <c r="F21"/>
  <c r="N20"/>
  <c r="M20"/>
  <c r="L20" s="1"/>
  <c r="K20"/>
  <c r="F20"/>
  <c r="N19"/>
  <c r="M19"/>
  <c r="L19" s="1"/>
  <c r="K19"/>
  <c r="F19"/>
  <c r="N18"/>
  <c r="M18"/>
  <c r="L18" s="1"/>
  <c r="K18"/>
  <c r="F18"/>
  <c r="N17"/>
  <c r="M17"/>
  <c r="L17" s="1"/>
  <c r="K17"/>
  <c r="F17"/>
  <c r="N16"/>
  <c r="M16"/>
  <c r="L16" s="1"/>
  <c r="K16"/>
  <c r="F16"/>
  <c r="N15"/>
  <c r="M15"/>
  <c r="L15" s="1"/>
  <c r="K15"/>
  <c r="K24" s="1"/>
  <c r="F15"/>
  <c r="Q14"/>
  <c r="P14" s="1"/>
  <c r="O14"/>
  <c r="N14"/>
  <c r="M14"/>
  <c r="L14" s="1"/>
  <c r="K14"/>
  <c r="F14"/>
  <c r="R13" s="1"/>
  <c r="Q13"/>
  <c r="P13" s="1"/>
  <c r="O13"/>
  <c r="N13"/>
  <c r="M13"/>
  <c r="L13" s="1"/>
  <c r="K13"/>
  <c r="F13"/>
  <c r="Q12"/>
  <c r="P12" s="1"/>
  <c r="O12"/>
  <c r="N12"/>
  <c r="M12"/>
  <c r="L12" s="1"/>
  <c r="K12"/>
  <c r="F12"/>
  <c r="Q11"/>
  <c r="P11" s="1"/>
  <c r="O11"/>
  <c r="N11"/>
  <c r="M11"/>
  <c r="L11" s="1"/>
  <c r="K11"/>
  <c r="F11"/>
  <c r="Q10"/>
  <c r="P10" s="1"/>
  <c r="O10"/>
  <c r="N10"/>
  <c r="M10"/>
  <c r="L10" s="1"/>
  <c r="K10"/>
  <c r="F10"/>
  <c r="B10"/>
  <c r="R9" s="1"/>
  <c r="Q9"/>
  <c r="P9" s="1"/>
  <c r="O9"/>
  <c r="N9"/>
  <c r="M9"/>
  <c r="L9" s="1"/>
  <c r="K9"/>
  <c r="F9"/>
  <c r="R8" s="1"/>
  <c r="Q8"/>
  <c r="P8" s="1"/>
  <c r="O8"/>
  <c r="N8"/>
  <c r="M8"/>
  <c r="L8"/>
  <c r="K8"/>
  <c r="F8"/>
  <c r="R7" s="1"/>
  <c r="Q7"/>
  <c r="P7" s="1"/>
  <c r="O7"/>
  <c r="N7"/>
  <c r="M7"/>
  <c r="L7" s="1"/>
  <c r="K7"/>
  <c r="F7"/>
  <c r="W6"/>
  <c r="R6" s="1"/>
  <c r="Q6"/>
  <c r="P6" s="1"/>
  <c r="O6"/>
  <c r="N6"/>
  <c r="M6"/>
  <c r="L6" s="1"/>
  <c r="K6"/>
  <c r="F6"/>
  <c r="W5"/>
  <c r="R5" s="1"/>
  <c r="Q5"/>
  <c r="P5" s="1"/>
  <c r="O5"/>
  <c r="N5"/>
  <c r="M5"/>
  <c r="L5" s="1"/>
  <c r="K5"/>
  <c r="F5"/>
  <c r="W4"/>
  <c r="R4" s="1"/>
  <c r="Q4"/>
  <c r="P4" s="1"/>
  <c r="O4"/>
  <c r="N4"/>
  <c r="M4"/>
  <c r="K4"/>
  <c r="F4"/>
  <c r="B4"/>
  <c r="W3"/>
  <c r="R3" s="1"/>
  <c r="Q3"/>
  <c r="P3" s="1"/>
  <c r="O3"/>
  <c r="N3"/>
  <c r="M3"/>
  <c r="L3" s="1"/>
  <c r="K3"/>
  <c r="F3"/>
  <c r="W2"/>
  <c r="R2" s="1"/>
  <c r="Q2"/>
  <c r="P2" s="1"/>
  <c r="O2"/>
  <c r="N2"/>
  <c r="M2"/>
  <c r="L2" s="1"/>
  <c r="K2"/>
  <c r="F2"/>
  <c r="B31" i="9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A11"/>
  <c r="G10"/>
  <c r="B10"/>
  <c r="A10"/>
  <c r="G9"/>
  <c r="B9"/>
  <c r="A9"/>
  <c r="G8"/>
  <c r="B8"/>
  <c r="A8"/>
  <c r="G7"/>
  <c r="B7"/>
  <c r="A7"/>
  <c r="G6"/>
  <c r="B6"/>
  <c r="A6"/>
  <c r="G5"/>
  <c r="B5"/>
  <c r="A5"/>
  <c r="G4"/>
  <c r="B4"/>
  <c r="A4"/>
  <c r="G3"/>
  <c r="B3"/>
  <c r="A3"/>
  <c r="M2"/>
  <c r="G2"/>
  <c r="H2" s="1"/>
  <c r="I2" s="1"/>
  <c r="E2"/>
  <c r="D2"/>
  <c r="C2"/>
  <c r="B2"/>
  <c r="A2"/>
  <c r="C19" i="14"/>
  <c r="E15"/>
  <c r="E14"/>
  <c r="E13"/>
  <c r="E8"/>
  <c r="O25" i="6"/>
  <c r="M25"/>
  <c r="J25"/>
  <c r="I25"/>
  <c r="O24"/>
  <c r="M24"/>
  <c r="J24"/>
  <c r="J26" s="1"/>
  <c r="I24"/>
  <c r="O19"/>
  <c r="Q19" s="1"/>
  <c r="M19"/>
  <c r="L19" s="1"/>
  <c r="K19" s="1"/>
  <c r="J19"/>
  <c r="I19"/>
  <c r="O18"/>
  <c r="Q18" s="1"/>
  <c r="M18"/>
  <c r="N18" s="1"/>
  <c r="L18"/>
  <c r="K18"/>
  <c r="J18"/>
  <c r="I18"/>
  <c r="AD40" i="1" l="1"/>
  <c r="AC40"/>
  <c r="AE40"/>
  <c r="AE26"/>
  <c r="AD28"/>
  <c r="AC28"/>
  <c r="W41"/>
  <c r="Q41"/>
  <c r="AD27"/>
  <c r="AC27"/>
  <c r="AE27"/>
  <c r="AD26"/>
  <c r="AC26"/>
  <c r="Z4" i="4"/>
  <c r="Y4" s="1"/>
  <c r="X4" s="1"/>
  <c r="Z5"/>
  <c r="Y5" s="1"/>
  <c r="X5" s="1"/>
  <c r="Z6"/>
  <c r="Y6" s="1"/>
  <c r="X6" s="1"/>
  <c r="Z7"/>
  <c r="Y7" s="1"/>
  <c r="X7" s="1"/>
  <c r="D14"/>
  <c r="H14"/>
  <c r="L14"/>
  <c r="P14"/>
  <c r="T14"/>
  <c r="X3"/>
  <c r="X14" s="1"/>
  <c r="W14" s="1"/>
  <c r="Z14" s="1"/>
  <c r="Z3"/>
  <c r="Z8"/>
  <c r="Y8" s="1"/>
  <c r="Z9"/>
  <c r="Y9" s="1"/>
  <c r="Z10"/>
  <c r="Y10" s="1"/>
  <c r="Z11"/>
  <c r="Y11" s="1"/>
  <c r="Z12"/>
  <c r="Y12" s="1"/>
  <c r="Z13"/>
  <c r="Y13" s="1"/>
  <c r="Y23"/>
  <c r="AD36" i="1"/>
  <c r="AC36"/>
  <c r="W7" i="15"/>
  <c r="U7"/>
  <c r="Q7"/>
  <c r="W6"/>
  <c r="U6"/>
  <c r="Q6"/>
  <c r="W5"/>
  <c r="U5"/>
  <c r="Q5"/>
  <c r="W4"/>
  <c r="U4"/>
  <c r="Q4"/>
  <c r="W3"/>
  <c r="U3"/>
  <c r="Q3"/>
  <c r="P8"/>
  <c r="W2"/>
  <c r="W8" s="1"/>
  <c r="U2"/>
  <c r="Q2"/>
  <c r="L8"/>
  <c r="M2"/>
  <c r="M8" s="1"/>
  <c r="O8"/>
  <c r="W34" i="1"/>
  <c r="Q34"/>
  <c r="Q37"/>
  <c r="W37"/>
  <c r="W23"/>
  <c r="Q23"/>
  <c r="E3" i="14"/>
  <c r="N11" i="6"/>
  <c r="AB23" i="1"/>
  <c r="AE23" s="1"/>
  <c r="AD23"/>
  <c r="B11" i="9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L4" i="5"/>
  <c r="R11" i="6"/>
  <c r="M11"/>
  <c r="L6"/>
  <c r="J6" s="1"/>
  <c r="L11"/>
  <c r="L12" s="1"/>
  <c r="Q2" i="7"/>
  <c r="P2" s="1"/>
  <c r="G4" i="1" s="1"/>
  <c r="R2" i="7"/>
  <c r="J4" i="1" s="1"/>
  <c r="Q6" i="7"/>
  <c r="R6"/>
  <c r="J8" i="1" s="1"/>
  <c r="Q7" i="7"/>
  <c r="R7"/>
  <c r="J9" i="1" s="1"/>
  <c r="Q8" i="7"/>
  <c r="R8"/>
  <c r="J10" i="1" s="1"/>
  <c r="Q9" i="7"/>
  <c r="R9"/>
  <c r="J11" i="1" s="1"/>
  <c r="Q10" i="7"/>
  <c r="R10"/>
  <c r="J12" i="1" s="1"/>
  <c r="Q11" i="7"/>
  <c r="R11"/>
  <c r="J13" i="1" s="1"/>
  <c r="Q12" i="7"/>
  <c r="R12"/>
  <c r="J14" i="1" s="1"/>
  <c r="Q13" i="7"/>
  <c r="R13"/>
  <c r="J15" i="1" s="1"/>
  <c r="Q14" i="7"/>
  <c r="R14"/>
  <c r="J16" i="1" s="1"/>
  <c r="Q15" i="7"/>
  <c r="R15"/>
  <c r="J17" i="1" s="1"/>
  <c r="Q16" i="7"/>
  <c r="R16"/>
  <c r="J18" i="1" s="1"/>
  <c r="Q17" i="7"/>
  <c r="R17"/>
  <c r="J19" i="1" s="1"/>
  <c r="Q18" i="7"/>
  <c r="R18"/>
  <c r="J20" i="1" s="1"/>
  <c r="Q19" i="7"/>
  <c r="R19"/>
  <c r="J21" i="1" s="1"/>
  <c r="Q20" i="7"/>
  <c r="R20" s="1"/>
  <c r="J22" i="1" s="1"/>
  <c r="Q23" i="7"/>
  <c r="R23"/>
  <c r="J25" i="1" s="1"/>
  <c r="Q27" i="7"/>
  <c r="R27"/>
  <c r="J29" i="1" s="1"/>
  <c r="Q28" i="7"/>
  <c r="R28"/>
  <c r="J30" i="1" s="1"/>
  <c r="Q29" i="7"/>
  <c r="R29"/>
  <c r="J31" i="1" s="1"/>
  <c r="Q30" i="7"/>
  <c r="R30" s="1"/>
  <c r="J32" i="1" s="1"/>
  <c r="T30" i="7"/>
  <c r="Q31"/>
  <c r="R31"/>
  <c r="J33" i="1" s="1"/>
  <c r="Q32" i="7"/>
  <c r="R32"/>
  <c r="J34" i="1" s="1"/>
  <c r="Q33" i="7"/>
  <c r="R33" s="1"/>
  <c r="J35" i="1" s="1"/>
  <c r="R35" i="7"/>
  <c r="Q36"/>
  <c r="R36"/>
  <c r="J38" i="1" s="1"/>
  <c r="Q37" i="7"/>
  <c r="R37"/>
  <c r="J39" i="1" s="1"/>
  <c r="Q21" i="7"/>
  <c r="R21"/>
  <c r="J23" i="1" s="1"/>
  <c r="W25"/>
  <c r="Q25"/>
  <c r="W29"/>
  <c r="Q29"/>
  <c r="X25"/>
  <c r="AB25" s="1"/>
  <c r="X29"/>
  <c r="AB29" s="1"/>
  <c r="O15" i="5"/>
  <c r="O16"/>
  <c r="O17"/>
  <c r="O18"/>
  <c r="O19"/>
  <c r="O20"/>
  <c r="O21"/>
  <c r="O22"/>
  <c r="O23"/>
  <c r="AD29" i="1"/>
  <c r="AE29"/>
  <c r="AD25"/>
  <c r="AE25"/>
  <c r="I26" i="6"/>
  <c r="X22" i="1"/>
  <c r="W22" s="1"/>
  <c r="V30" i="7"/>
  <c r="U30"/>
  <c r="P18" i="6"/>
  <c r="N19"/>
  <c r="P19"/>
  <c r="N24"/>
  <c r="Q24"/>
  <c r="P24" s="1"/>
  <c r="N25"/>
  <c r="P25"/>
  <c r="Q25"/>
  <c r="C3" i="9"/>
  <c r="D3"/>
  <c r="E3"/>
  <c r="C4"/>
  <c r="D4"/>
  <c r="E4"/>
  <c r="C5"/>
  <c r="D5"/>
  <c r="E5"/>
  <c r="C6"/>
  <c r="D6"/>
  <c r="E6"/>
  <c r="C7"/>
  <c r="D7"/>
  <c r="E7"/>
  <c r="C8"/>
  <c r="D8"/>
  <c r="E8"/>
  <c r="M8"/>
  <c r="M11" s="1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E18"/>
  <c r="D18" s="1"/>
  <c r="C19"/>
  <c r="E19"/>
  <c r="D19" s="1"/>
  <c r="C20"/>
  <c r="E20"/>
  <c r="D20" s="1"/>
  <c r="C21"/>
  <c r="E21"/>
  <c r="D21" s="1"/>
  <c r="C22"/>
  <c r="E22"/>
  <c r="D22" s="1"/>
  <c r="C23"/>
  <c r="E23"/>
  <c r="D23" s="1"/>
  <c r="C24"/>
  <c r="E24"/>
  <c r="D24" s="1"/>
  <c r="C25"/>
  <c r="E25"/>
  <c r="D25" s="1"/>
  <c r="C26"/>
  <c r="E26"/>
  <c r="D26" s="1"/>
  <c r="C27"/>
  <c r="E27"/>
  <c r="D27" s="1"/>
  <c r="C28"/>
  <c r="E28"/>
  <c r="D28" s="1"/>
  <c r="C29"/>
  <c r="E29"/>
  <c r="D29" s="1"/>
  <c r="C30"/>
  <c r="E30"/>
  <c r="D30" s="1"/>
  <c r="C31"/>
  <c r="Z22" i="1"/>
  <c r="B3" i="5"/>
  <c r="B5"/>
  <c r="B11"/>
  <c r="R10" s="1"/>
  <c r="T2" i="7"/>
  <c r="T3"/>
  <c r="T4"/>
  <c r="U4" s="1"/>
  <c r="T5"/>
  <c r="U5" s="1"/>
  <c r="T6"/>
  <c r="T7"/>
  <c r="T8"/>
  <c r="T9"/>
  <c r="T10"/>
  <c r="T11"/>
  <c r="T12"/>
  <c r="T13"/>
  <c r="T14"/>
  <c r="T15"/>
  <c r="T16"/>
  <c r="T17"/>
  <c r="T18"/>
  <c r="T19"/>
  <c r="T23"/>
  <c r="T27"/>
  <c r="T28"/>
  <c r="T29"/>
  <c r="T31"/>
  <c r="T32"/>
  <c r="T35"/>
  <c r="T36"/>
  <c r="T37"/>
  <c r="T21"/>
  <c r="H4" i="1"/>
  <c r="Z4" s="1"/>
  <c r="Q4"/>
  <c r="X4"/>
  <c r="H5"/>
  <c r="Z5" s="1"/>
  <c r="Q5"/>
  <c r="X5"/>
  <c r="H6"/>
  <c r="Z6" s="1"/>
  <c r="Q6"/>
  <c r="K6" s="1"/>
  <c r="X6"/>
  <c r="H7"/>
  <c r="Z7" s="1"/>
  <c r="Q7"/>
  <c r="K7" s="1"/>
  <c r="X7"/>
  <c r="H8"/>
  <c r="Z8" s="1"/>
  <c r="Q8"/>
  <c r="X8"/>
  <c r="H9"/>
  <c r="Z9" s="1"/>
  <c r="Q9"/>
  <c r="X9"/>
  <c r="H10"/>
  <c r="Z10" s="1"/>
  <c r="Q10"/>
  <c r="X10"/>
  <c r="H11"/>
  <c r="Z11" s="1"/>
  <c r="Q11"/>
  <c r="X11"/>
  <c r="H12"/>
  <c r="Z12" s="1"/>
  <c r="Q12"/>
  <c r="X12"/>
  <c r="H13"/>
  <c r="Z13" s="1"/>
  <c r="Q13"/>
  <c r="X13"/>
  <c r="H14"/>
  <c r="Z14" s="1"/>
  <c r="Q14"/>
  <c r="X14"/>
  <c r="H15"/>
  <c r="Z15" s="1"/>
  <c r="Q15"/>
  <c r="X15"/>
  <c r="H16"/>
  <c r="Z16" s="1"/>
  <c r="Q16"/>
  <c r="X16"/>
  <c r="H17"/>
  <c r="Z17" s="1"/>
  <c r="Q17"/>
  <c r="X17"/>
  <c r="H18"/>
  <c r="Z18" s="1"/>
  <c r="Q18"/>
  <c r="X18"/>
  <c r="H19"/>
  <c r="X19"/>
  <c r="W19" s="1"/>
  <c r="Z19" s="1"/>
  <c r="H20"/>
  <c r="X20"/>
  <c r="W20" s="1"/>
  <c r="Z20" s="1"/>
  <c r="H21"/>
  <c r="Z21" s="1"/>
  <c r="Q21"/>
  <c r="X21"/>
  <c r="H25"/>
  <c r="AA25" s="1"/>
  <c r="H29"/>
  <c r="AA29" s="1"/>
  <c r="H30"/>
  <c r="X30"/>
  <c r="W30" s="1"/>
  <c r="Z30" s="1"/>
  <c r="H31"/>
  <c r="X31"/>
  <c r="AB31" s="1"/>
  <c r="H32"/>
  <c r="Z32" s="1"/>
  <c r="Q32"/>
  <c r="K32" s="1"/>
  <c r="X32"/>
  <c r="AE32" s="1"/>
  <c r="H33"/>
  <c r="X33"/>
  <c r="W33" s="1"/>
  <c r="H34"/>
  <c r="Z34"/>
  <c r="H38"/>
  <c r="X38"/>
  <c r="W38" s="1"/>
  <c r="Y38" s="1"/>
  <c r="H39"/>
  <c r="X39"/>
  <c r="W39" s="1"/>
  <c r="Z39" s="1"/>
  <c r="H41"/>
  <c r="Z41" s="1"/>
  <c r="X41"/>
  <c r="H23"/>
  <c r="AA23" s="1"/>
  <c r="K11" i="11"/>
  <c r="K12"/>
  <c r="K13"/>
  <c r="K14"/>
  <c r="AD31" i="1"/>
  <c r="AC31"/>
  <c r="Y4"/>
  <c r="AA4"/>
  <c r="AB4"/>
  <c r="AC4" s="1"/>
  <c r="Y5"/>
  <c r="AA5"/>
  <c r="AB5"/>
  <c r="AC5" s="1"/>
  <c r="Y6"/>
  <c r="AA6"/>
  <c r="AB6"/>
  <c r="AC6" s="1"/>
  <c r="Y7"/>
  <c r="AA7"/>
  <c r="AB7"/>
  <c r="AC7" s="1"/>
  <c r="Y8"/>
  <c r="AA8"/>
  <c r="AB8"/>
  <c r="AC8" s="1"/>
  <c r="Y9"/>
  <c r="AA9"/>
  <c r="AB9"/>
  <c r="AC9" s="1"/>
  <c r="Y10"/>
  <c r="AA10"/>
  <c r="AB10"/>
  <c r="AC10" s="1"/>
  <c r="Y11"/>
  <c r="AA11"/>
  <c r="AB11"/>
  <c r="AC11" s="1"/>
  <c r="Y12"/>
  <c r="AA12"/>
  <c r="AB12"/>
  <c r="AC12" s="1"/>
  <c r="Y13"/>
  <c r="AA13"/>
  <c r="AB13"/>
  <c r="AC13" s="1"/>
  <c r="Y14"/>
  <c r="AA14"/>
  <c r="AB14"/>
  <c r="AC14" s="1"/>
  <c r="Y15"/>
  <c r="AA15"/>
  <c r="AB15"/>
  <c r="AC15" s="1"/>
  <c r="Y16"/>
  <c r="AA16"/>
  <c r="AB16"/>
  <c r="AC16" s="1"/>
  <c r="Y17"/>
  <c r="AA17"/>
  <c r="AB17"/>
  <c r="AC17" s="1"/>
  <c r="Y18"/>
  <c r="AA18"/>
  <c r="AB18"/>
  <c r="AC18" s="1"/>
  <c r="Y19"/>
  <c r="AA19"/>
  <c r="AB19"/>
  <c r="AE19"/>
  <c r="Y20"/>
  <c r="AA20"/>
  <c r="AB20"/>
  <c r="AE20"/>
  <c r="Y21"/>
  <c r="AA21"/>
  <c r="AB21"/>
  <c r="AC21" s="1"/>
  <c r="Y22"/>
  <c r="AA22"/>
  <c r="Y30"/>
  <c r="AA30"/>
  <c r="AB30"/>
  <c r="AE30"/>
  <c r="Y31"/>
  <c r="Z31"/>
  <c r="AA31"/>
  <c r="AE31"/>
  <c r="Y32"/>
  <c r="AA32"/>
  <c r="AB32"/>
  <c r="AC32" s="1"/>
  <c r="Y33"/>
  <c r="B22" i="5" s="1"/>
  <c r="AA33" i="1"/>
  <c r="AB33"/>
  <c r="AE33"/>
  <c r="Y34"/>
  <c r="AA34"/>
  <c r="AB34"/>
  <c r="AE34"/>
  <c r="AA38"/>
  <c r="Z38" s="1"/>
  <c r="Y39"/>
  <c r="AA39"/>
  <c r="AB39"/>
  <c r="AE39"/>
  <c r="Y41"/>
  <c r="AA41"/>
  <c r="AB41"/>
  <c r="AC41" s="1"/>
  <c r="F18" i="6"/>
  <c r="O17"/>
  <c r="Q17" s="1"/>
  <c r="M17"/>
  <c r="L17" s="1"/>
  <c r="K17" s="1"/>
  <c r="J17"/>
  <c r="I17"/>
  <c r="O16"/>
  <c r="Q16" s="1"/>
  <c r="M16"/>
  <c r="L16" s="1"/>
  <c r="I16"/>
  <c r="I20" s="1"/>
  <c r="F16"/>
  <c r="M30"/>
  <c r="I30"/>
  <c r="I31" s="1"/>
  <c r="N30" s="1"/>
  <c r="L7"/>
  <c r="C2"/>
  <c r="Y14" i="4" l="1"/>
  <c r="Q8" i="15"/>
  <c r="S2"/>
  <c r="R2"/>
  <c r="S3"/>
  <c r="R3"/>
  <c r="S4"/>
  <c r="R4"/>
  <c r="S5"/>
  <c r="R5"/>
  <c r="S6"/>
  <c r="R6"/>
  <c r="S7"/>
  <c r="R7"/>
  <c r="Z23" i="1"/>
  <c r="Y23"/>
  <c r="AC23"/>
  <c r="AE41"/>
  <c r="F6" i="6"/>
  <c r="J41" i="1"/>
  <c r="Z29"/>
  <c r="Y29"/>
  <c r="Z25"/>
  <c r="Y25"/>
  <c r="AC25"/>
  <c r="AC29"/>
  <c r="Z33"/>
  <c r="F11" i="6"/>
  <c r="J11" s="1"/>
  <c r="J12" s="1"/>
  <c r="I11"/>
  <c r="I12" s="1"/>
  <c r="S2" i="5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K16" i="6"/>
  <c r="L20"/>
  <c r="V21" i="7"/>
  <c r="U21"/>
  <c r="I6" i="6"/>
  <c r="I7" s="1"/>
  <c r="V37" i="7"/>
  <c r="U37"/>
  <c r="K39" i="1" s="1"/>
  <c r="V36" i="7"/>
  <c r="U36"/>
  <c r="K38" i="1" s="1"/>
  <c r="V35" i="7"/>
  <c r="U35"/>
  <c r="K37" i="1" s="1"/>
  <c r="J37" s="1"/>
  <c r="I37" s="1"/>
  <c r="V32" i="7"/>
  <c r="U32"/>
  <c r="K34" i="1" s="1"/>
  <c r="V31" i="7"/>
  <c r="U31"/>
  <c r="K33" i="1" s="1"/>
  <c r="V29" i="7"/>
  <c r="U29"/>
  <c r="K31" i="1" s="1"/>
  <c r="V28" i="7"/>
  <c r="U28"/>
  <c r="K30" i="1" s="1"/>
  <c r="V27" i="7"/>
  <c r="U27"/>
  <c r="K29" i="1" s="1"/>
  <c r="V23" i="7"/>
  <c r="U23"/>
  <c r="K25" i="1" s="1"/>
  <c r="V19" i="7"/>
  <c r="U19"/>
  <c r="V18"/>
  <c r="U18"/>
  <c r="K20" i="1" s="1"/>
  <c r="V17" i="7"/>
  <c r="U17"/>
  <c r="K19" i="1" s="1"/>
  <c r="V16" i="7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U3"/>
  <c r="V2"/>
  <c r="U2"/>
  <c r="K7" i="6"/>
  <c r="N16"/>
  <c r="P16"/>
  <c r="N17"/>
  <c r="P17"/>
  <c r="K23" i="1"/>
  <c r="K41"/>
  <c r="K21"/>
  <c r="K18"/>
  <c r="K17"/>
  <c r="K16"/>
  <c r="K15"/>
  <c r="K14"/>
  <c r="K13"/>
  <c r="K12"/>
  <c r="K11"/>
  <c r="K10"/>
  <c r="K9"/>
  <c r="K8"/>
  <c r="K5"/>
  <c r="K4"/>
  <c r="AD39"/>
  <c r="AC39"/>
  <c r="AD34"/>
  <c r="AC34"/>
  <c r="AD33"/>
  <c r="AC33"/>
  <c r="AD30"/>
  <c r="AC30"/>
  <c r="AD20"/>
  <c r="AC20"/>
  <c r="AD19"/>
  <c r="AC19"/>
  <c r="J7" i="6"/>
  <c r="AD41" i="1"/>
  <c r="AD32"/>
  <c r="AE21"/>
  <c r="AD21" s="1"/>
  <c r="AE18"/>
  <c r="AD18" s="1"/>
  <c r="AE17"/>
  <c r="AD17" s="1"/>
  <c r="AE16"/>
  <c r="AD16" s="1"/>
  <c r="AE15"/>
  <c r="AD15" s="1"/>
  <c r="AE14"/>
  <c r="AD14" s="1"/>
  <c r="AE13"/>
  <c r="AD13" s="1"/>
  <c r="AE12"/>
  <c r="AD12" s="1"/>
  <c r="AE11"/>
  <c r="AD11" s="1"/>
  <c r="AE10"/>
  <c r="AD10" s="1"/>
  <c r="AE9"/>
  <c r="AD9" s="1"/>
  <c r="AE8"/>
  <c r="AD8" s="1"/>
  <c r="AE7"/>
  <c r="AD7" s="1"/>
  <c r="AE6"/>
  <c r="AD6" s="1"/>
  <c r="AE5"/>
  <c r="AD5" s="1"/>
  <c r="AE4"/>
  <c r="AD4" s="1"/>
  <c r="R8" i="15" l="1"/>
  <c r="S8"/>
  <c r="H37" i="1"/>
  <c r="X37"/>
  <c r="I2" i="6"/>
  <c r="F12"/>
  <c r="J16"/>
  <c r="K20"/>
  <c r="J20" s="1"/>
  <c r="J2" s="1"/>
  <c r="B12" i="5" s="1"/>
  <c r="B13" s="1"/>
  <c r="R11"/>
  <c r="E31" i="9"/>
  <c r="D31" s="1"/>
  <c r="AE37" i="1" l="1"/>
  <c r="AB37"/>
  <c r="Y37"/>
  <c r="AA37"/>
  <c r="Z37"/>
  <c r="M5" i="9"/>
  <c r="B6" i="5"/>
  <c r="B7" s="1"/>
  <c r="G11" i="6"/>
  <c r="R12" i="5"/>
  <c r="B17"/>
  <c r="B20" s="1"/>
  <c r="B16"/>
  <c r="B15"/>
  <c r="R14" s="1"/>
  <c r="AD37" i="1" l="1"/>
  <c r="AC37"/>
  <c r="M14" i="9"/>
  <c r="K2"/>
  <c r="J2" s="1"/>
  <c r="F7" i="6" l="1"/>
  <c r="AB22" i="1"/>
  <c r="AE22"/>
  <c r="AC22"/>
  <c r="AD22"/>
  <c r="W35"/>
  <c r="X35"/>
  <c r="Y35"/>
  <c r="Z35"/>
  <c r="AE35"/>
  <c r="AA35"/>
  <c r="AB35"/>
  <c r="AC35"/>
  <c r="AD35"/>
  <c r="AB38"/>
  <c r="AE38"/>
  <c r="AC38"/>
  <c r="AD38"/>
  <c r="G6" i="6" l="1"/>
  <c r="G7" s="1"/>
  <c r="G12"/>
  <c r="F17" l="1"/>
  <c r="F19"/>
  <c r="F20"/>
  <c r="G16"/>
  <c r="G17"/>
  <c r="G18"/>
  <c r="G19"/>
  <c r="G20"/>
  <c r="F24"/>
  <c r="F25"/>
  <c r="F26"/>
  <c r="G24"/>
  <c r="G25"/>
  <c r="G26"/>
  <c r="M2"/>
  <c r="N2"/>
  <c r="L2"/>
  <c r="B18" i="11"/>
  <c r="D18"/>
  <c r="G18"/>
  <c r="Y18"/>
  <c r="B17"/>
  <c r="D17"/>
  <c r="G17"/>
  <c r="Y17"/>
  <c r="D16"/>
  <c r="G16"/>
  <c r="Y16"/>
  <c r="T20" i="7"/>
  <c r="U20"/>
  <c r="K22" i="1"/>
  <c r="V20" i="7"/>
  <c r="T33"/>
  <c r="U33"/>
  <c r="V33"/>
  <c r="K35" i="1"/>
  <c r="H16" i="11"/>
  <c r="L16"/>
  <c r="J16"/>
  <c r="K16"/>
  <c r="N16"/>
  <c r="Z16" s="1"/>
  <c r="H17"/>
  <c r="L17"/>
  <c r="J17"/>
  <c r="K17"/>
  <c r="N17"/>
  <c r="Z17" s="1"/>
  <c r="H18"/>
  <c r="L18"/>
  <c r="J18"/>
  <c r="K18"/>
  <c r="N18"/>
  <c r="Z18" s="1"/>
  <c r="B19"/>
  <c r="D19"/>
  <c r="G19"/>
  <c r="H19"/>
  <c r="L19"/>
  <c r="J19"/>
  <c r="K19"/>
  <c r="Y19"/>
  <c r="N19"/>
  <c r="Z19" s="1"/>
  <c r="P19" i="5"/>
  <c r="Q19"/>
  <c r="R19"/>
  <c r="P15"/>
  <c r="R15"/>
  <c r="Q15"/>
  <c r="P16"/>
  <c r="R16"/>
  <c r="Q16"/>
  <c r="P17"/>
  <c r="R17"/>
  <c r="Q17"/>
  <c r="P18"/>
  <c r="R18"/>
  <c r="Q18"/>
  <c r="P20"/>
  <c r="R20"/>
  <c r="Q20"/>
  <c r="P21"/>
  <c r="R21"/>
  <c r="Q21"/>
  <c r="P22"/>
  <c r="R22"/>
  <c r="Q22"/>
  <c r="P23"/>
  <c r="R23"/>
  <c r="Q23"/>
  <c r="F2" i="6" l="1"/>
  <c r="H11"/>
  <c r="H12" s="1"/>
  <c r="Q5" i="7"/>
  <c r="V5"/>
  <c r="R5"/>
  <c r="Q4"/>
  <c r="V4"/>
  <c r="R4"/>
  <c r="Q3"/>
  <c r="V3"/>
  <c r="R3"/>
  <c r="J5" i="1"/>
  <c r="J6"/>
  <c r="J7"/>
  <c r="H6" i="6" l="1"/>
  <c r="H7" s="1"/>
  <c r="H16"/>
  <c r="H17"/>
  <c r="H18"/>
  <c r="H19"/>
  <c r="H24"/>
  <c r="H25"/>
  <c r="H26" l="1"/>
  <c r="H20"/>
  <c r="H31" i="9"/>
  <c r="I31"/>
  <c r="K31"/>
  <c r="J31"/>
  <c r="H30"/>
  <c r="I30"/>
  <c r="K30"/>
  <c r="J30"/>
  <c r="H29"/>
  <c r="I29"/>
  <c r="K29"/>
  <c r="J29"/>
  <c r="H28"/>
  <c r="I28"/>
  <c r="K28"/>
  <c r="J28"/>
  <c r="H27"/>
  <c r="I27"/>
  <c r="K27"/>
  <c r="J27"/>
  <c r="H26"/>
  <c r="I26"/>
  <c r="K26"/>
  <c r="J26"/>
  <c r="H25"/>
  <c r="I25"/>
  <c r="K25"/>
  <c r="J25"/>
  <c r="H24"/>
  <c r="I24"/>
  <c r="K24"/>
  <c r="J24"/>
  <c r="H23"/>
  <c r="I23"/>
  <c r="K23"/>
  <c r="J23"/>
  <c r="H22"/>
  <c r="I22"/>
  <c r="K22"/>
  <c r="J22"/>
  <c r="H21"/>
  <c r="I21"/>
  <c r="K21"/>
  <c r="J21"/>
  <c r="H20"/>
  <c r="I20"/>
  <c r="K20"/>
  <c r="J20"/>
  <c r="H19"/>
  <c r="I19"/>
  <c r="K19"/>
  <c r="J19"/>
  <c r="H18"/>
  <c r="I18"/>
  <c r="K18"/>
  <c r="J18"/>
  <c r="H17"/>
  <c r="I17"/>
  <c r="K17"/>
  <c r="J17"/>
  <c r="H16"/>
  <c r="I16"/>
  <c r="K16"/>
  <c r="J16"/>
  <c r="H15"/>
  <c r="I15"/>
  <c r="K15"/>
  <c r="J15"/>
  <c r="H14"/>
  <c r="I14"/>
  <c r="K14"/>
  <c r="J14"/>
  <c r="H13"/>
  <c r="I13"/>
  <c r="K13"/>
  <c r="J13"/>
  <c r="H12"/>
  <c r="I12"/>
  <c r="K12"/>
  <c r="J12"/>
  <c r="H11"/>
  <c r="I11"/>
  <c r="K11"/>
  <c r="J11"/>
  <c r="H10"/>
  <c r="I10"/>
  <c r="K10"/>
  <c r="J10"/>
  <c r="H9"/>
  <c r="I9"/>
  <c r="K9"/>
  <c r="J9"/>
  <c r="H8"/>
  <c r="I8"/>
  <c r="K8"/>
  <c r="J8"/>
  <c r="H7"/>
  <c r="I7"/>
  <c r="K7"/>
  <c r="J7"/>
  <c r="H6"/>
  <c r="I6"/>
  <c r="K6"/>
  <c r="J6"/>
  <c r="H5"/>
  <c r="I5"/>
  <c r="K5"/>
  <c r="J5"/>
  <c r="H4"/>
  <c r="I4"/>
  <c r="K4"/>
  <c r="J4"/>
  <c r="H3"/>
  <c r="I3"/>
  <c r="K3"/>
  <c r="J3"/>
</calcChain>
</file>

<file path=xl/sharedStrings.xml><?xml version="1.0" encoding="utf-8"?>
<sst xmlns="http://schemas.openxmlformats.org/spreadsheetml/2006/main" count="490" uniqueCount="243">
  <si>
    <t>Nome</t>
  </si>
  <si>
    <t>Preço</t>
  </si>
  <si>
    <t>Cenoura</t>
  </si>
  <si>
    <t>Nabo</t>
  </si>
  <si>
    <t>Milho</t>
  </si>
  <si>
    <t>Beringela</t>
  </si>
  <si>
    <t>Batata</t>
  </si>
  <si>
    <t>Nivel</t>
  </si>
  <si>
    <t>Ervilha</t>
  </si>
  <si>
    <t>Lucro</t>
  </si>
  <si>
    <t>Maçã</t>
  </si>
  <si>
    <t>Uva</t>
  </si>
  <si>
    <t>Abóbora</t>
  </si>
  <si>
    <t>Pimenta</t>
  </si>
  <si>
    <t>Morango</t>
  </si>
  <si>
    <t>Melancia</t>
  </si>
  <si>
    <t>Banana</t>
  </si>
  <si>
    <t>Pêssego</t>
  </si>
  <si>
    <t>Laranja</t>
  </si>
  <si>
    <t>Amendoin</t>
  </si>
  <si>
    <t>Batata Doce</t>
  </si>
  <si>
    <t>Noz</t>
  </si>
  <si>
    <t>Limão</t>
  </si>
  <si>
    <t>Galinha</t>
  </si>
  <si>
    <t>Dias</t>
  </si>
  <si>
    <t>RendTotal</t>
  </si>
  <si>
    <t>Tomate</t>
  </si>
  <si>
    <t>Vaca</t>
  </si>
  <si>
    <t>Manga</t>
  </si>
  <si>
    <t>Porco</t>
  </si>
  <si>
    <t>Ovelha</t>
  </si>
  <si>
    <t>Burro</t>
  </si>
  <si>
    <t>Floresta</t>
  </si>
  <si>
    <t>Antique</t>
  </si>
  <si>
    <t>Selva</t>
  </si>
  <si>
    <t>Praia</t>
  </si>
  <si>
    <t>Japonês</t>
  </si>
  <si>
    <t>Árvores</t>
  </si>
  <si>
    <t>Oásis</t>
  </si>
  <si>
    <t>Chinesa</t>
  </si>
  <si>
    <t>Arco-Íris</t>
  </si>
  <si>
    <t>Namorados</t>
  </si>
  <si>
    <t>TEMA</t>
  </si>
  <si>
    <t>XP/$</t>
  </si>
  <si>
    <t>CANIL</t>
  </si>
  <si>
    <t>JARDIM</t>
  </si>
  <si>
    <t>PAISAGEM</t>
  </si>
  <si>
    <t>CASA</t>
  </si>
  <si>
    <t>CERCA</t>
  </si>
  <si>
    <t>SOMA</t>
  </si>
  <si>
    <t>Moedas</t>
  </si>
  <si>
    <t>Custo</t>
  </si>
  <si>
    <t>Terreno</t>
  </si>
  <si>
    <t>Créditos</t>
  </si>
  <si>
    <t>Valor Min</t>
  </si>
  <si>
    <t>$/crédito</t>
  </si>
  <si>
    <t>TOTAL</t>
  </si>
  <si>
    <t>Soma Min</t>
  </si>
  <si>
    <t>Soma Cr</t>
  </si>
  <si>
    <t>Romã</t>
  </si>
  <si>
    <t>Melão</t>
  </si>
  <si>
    <t>Lichia</t>
  </si>
  <si>
    <t>Kiwi</t>
  </si>
  <si>
    <t>Abacaxi</t>
  </si>
  <si>
    <t>Cereja</t>
  </si>
  <si>
    <t>Pitaya</t>
  </si>
  <si>
    <t>Cacau</t>
  </si>
  <si>
    <t>T</t>
  </si>
  <si>
    <t>Un/T</t>
  </si>
  <si>
    <t>$ Tot</t>
  </si>
  <si>
    <t>$ Un</t>
  </si>
  <si>
    <t>XP/T</t>
  </si>
  <si>
    <t>Lucro/h</t>
  </si>
  <si>
    <t>Lucro/d</t>
  </si>
  <si>
    <t>XP tot</t>
  </si>
  <si>
    <t>XP/h</t>
  </si>
  <si>
    <t>t tot</t>
  </si>
  <si>
    <t>Amad.</t>
  </si>
  <si>
    <t>Re-am.</t>
  </si>
  <si>
    <t>XP/d</t>
  </si>
  <si>
    <t>$ Ração</t>
  </si>
  <si>
    <t>$</t>
  </si>
  <si>
    <t>XP</t>
  </si>
  <si>
    <t>Rendimento - Valor bruto recebido, sem deduções</t>
  </si>
  <si>
    <t>Ganho  - Rendimento menos manutenção (ração)</t>
  </si>
  <si>
    <t>Lucro - Ganho menos custo inicial</t>
  </si>
  <si>
    <t>Ganho/d</t>
  </si>
  <si>
    <t>Custo/d</t>
  </si>
  <si>
    <t>Rend/d</t>
  </si>
  <si>
    <t>$/Un.</t>
  </si>
  <si>
    <t>Rend/T</t>
  </si>
  <si>
    <t>T/d</t>
  </si>
  <si>
    <t>Lucro Tot</t>
  </si>
  <si>
    <t>h/Ração</t>
  </si>
  <si>
    <t>Un.</t>
  </si>
  <si>
    <t>Rend Tot</t>
  </si>
  <si>
    <t>Pato</t>
  </si>
  <si>
    <t>Abelha</t>
  </si>
  <si>
    <t>Pavão</t>
  </si>
  <si>
    <t>Coelho</t>
  </si>
  <si>
    <t>Pombo</t>
  </si>
  <si>
    <t>Natal</t>
  </si>
  <si>
    <t>Árvore Natal</t>
  </si>
  <si>
    <t>Custo Min</t>
  </si>
  <si>
    <t>Qtd</t>
  </si>
  <si>
    <t>Valores Fixos (Dados)</t>
  </si>
  <si>
    <t>Valores Calculados (Fórmulas)</t>
  </si>
  <si>
    <t>Valores Totalizados (Somas / Resultados)</t>
  </si>
  <si>
    <t>Valores Variáveis (inseridos pelo usuário)</t>
  </si>
  <si>
    <t>Resto Cr</t>
  </si>
  <si>
    <t>Preço/d</t>
  </si>
  <si>
    <t>Lucro %</t>
  </si>
  <si>
    <t>ANIMAIS DE PRODUÇÃO</t>
  </si>
  <si>
    <t>ANIMAIS DE ABATE</t>
  </si>
  <si>
    <t>Expira em</t>
  </si>
  <si>
    <t>X</t>
  </si>
  <si>
    <t>Tem?</t>
  </si>
  <si>
    <t>Result</t>
  </si>
  <si>
    <t>Total</t>
  </si>
  <si>
    <t>% gr</t>
  </si>
  <si>
    <t>% tot</t>
  </si>
  <si>
    <t>Comprado</t>
  </si>
  <si>
    <t>Fert.</t>
  </si>
  <si>
    <t>h/T</t>
  </si>
  <si>
    <t>XP/dia</t>
  </si>
  <si>
    <t>Cr</t>
  </si>
  <si>
    <t>Falta</t>
  </si>
  <si>
    <t>XP Atual</t>
  </si>
  <si>
    <t>Previsão</t>
  </si>
  <si>
    <t>Temp 2</t>
  </si>
  <si>
    <t>Temp 3</t>
  </si>
  <si>
    <t>Temp 4</t>
  </si>
  <si>
    <t>Temp 1</t>
  </si>
  <si>
    <t>Colheita</t>
  </si>
  <si>
    <t>Alimento</t>
  </si>
  <si>
    <t>Agora (F9)</t>
  </si>
  <si>
    <t>Plantado</t>
  </si>
  <si>
    <t xml:space="preserve"> Aliment</t>
  </si>
  <si>
    <t>Sobra</t>
  </si>
  <si>
    <t>Nível</t>
  </si>
  <si>
    <t>$ Atual</t>
  </si>
  <si>
    <t>Fórmula: 100*N*(N+1)</t>
  </si>
  <si>
    <t>Soma $</t>
  </si>
  <si>
    <t>Pags</t>
  </si>
  <si>
    <t>x</t>
  </si>
  <si>
    <t>-</t>
  </si>
  <si>
    <t>Atual</t>
  </si>
  <si>
    <t>Por dia</t>
  </si>
  <si>
    <t>MOEDAS</t>
  </si>
  <si>
    <t>Flor de Ameixa</t>
  </si>
  <si>
    <t>Tulipa</t>
  </si>
  <si>
    <t>Rosa Vermelha</t>
  </si>
  <si>
    <t>Lírios</t>
  </si>
  <si>
    <t>Rosas Azuis</t>
  </si>
  <si>
    <t>Peônia</t>
  </si>
  <si>
    <t>Flor de Pêssego</t>
  </si>
  <si>
    <t>Cravo</t>
  </si>
  <si>
    <t>Crisântemo</t>
  </si>
  <si>
    <t>Flor de Tília</t>
  </si>
  <si>
    <t>Copo de Leite</t>
  </si>
  <si>
    <t>Narciso</t>
  </si>
  <si>
    <t>Tempo</t>
  </si>
  <si>
    <t>Excesso $</t>
  </si>
  <si>
    <t>XP*$/h</t>
  </si>
  <si>
    <t>$/dia</t>
  </si>
  <si>
    <t>t</t>
  </si>
  <si>
    <t>XP ao plantar</t>
  </si>
  <si>
    <t>XP ao usar pá</t>
  </si>
  <si>
    <t>Fertilizante</t>
  </si>
  <si>
    <t>Fertilizante Rápido</t>
  </si>
  <si>
    <t>Super Fertilizante</t>
  </si>
  <si>
    <t>Nenhum Fertilizante</t>
  </si>
  <si>
    <t>em</t>
  </si>
  <si>
    <t>FLORES</t>
  </si>
  <si>
    <t>FRUTOS</t>
  </si>
  <si>
    <t>XP/Cr</t>
  </si>
  <si>
    <t>Ciclos</t>
  </si>
  <si>
    <t>Para</t>
  </si>
  <si>
    <t>Faltam</t>
  </si>
  <si>
    <t>Germinando</t>
  </si>
  <si>
    <t>Folhas Pequenas</t>
  </si>
  <si>
    <t>Folhas Grandes</t>
  </si>
  <si>
    <t>Maduro</t>
  </si>
  <si>
    <t>Estágio 1</t>
  </si>
  <si>
    <t>Estágio 2</t>
  </si>
  <si>
    <t>Estágio 3</t>
  </si>
  <si>
    <t>Estágio 4</t>
  </si>
  <si>
    <t>Estágio 5</t>
  </si>
  <si>
    <t>Temp</t>
  </si>
  <si>
    <t>Plantado em</t>
  </si>
  <si>
    <t>Florecendo</t>
  </si>
  <si>
    <t>Custo $$</t>
  </si>
  <si>
    <t>t total</t>
  </si>
  <si>
    <t>Fertiliz.</t>
  </si>
  <si>
    <t>DADOS</t>
  </si>
  <si>
    <t>ESTRATÉGIA</t>
  </si>
  <si>
    <t>$/d</t>
  </si>
  <si>
    <t>METAS</t>
  </si>
  <si>
    <t>N</t>
  </si>
  <si>
    <t>Comprado em</t>
  </si>
  <si>
    <t>Horas</t>
  </si>
  <si>
    <t>Estágio</t>
  </si>
  <si>
    <t>DATAS</t>
  </si>
  <si>
    <t>Cana</t>
  </si>
  <si>
    <t>Estágios de crescimento</t>
  </si>
  <si>
    <t xml:space="preserve">Próximo </t>
  </si>
  <si>
    <t>Evento</t>
  </si>
  <si>
    <t>Falta XP</t>
  </si>
  <si>
    <t>Taxa $/XP</t>
  </si>
  <si>
    <t>Pronto em</t>
  </si>
  <si>
    <t>Un/d</t>
  </si>
  <si>
    <t>d p/ ret</t>
  </si>
  <si>
    <t>$/Cr</t>
  </si>
  <si>
    <t>Pop</t>
  </si>
  <si>
    <t>Pop/$</t>
  </si>
  <si>
    <t>Pop/Cr</t>
  </si>
  <si>
    <t>Estágios de Crescimento</t>
  </si>
  <si>
    <t>Caviar</t>
  </si>
  <si>
    <t>$/h</t>
  </si>
  <si>
    <t>Pop/d</t>
  </si>
  <si>
    <t>F-Flor de Tília</t>
  </si>
  <si>
    <t>F-Crisântemo</t>
  </si>
  <si>
    <t>F-Copo de Leite</t>
  </si>
  <si>
    <t>F-Narciso</t>
  </si>
  <si>
    <t>Ret.</t>
  </si>
  <si>
    <t>FRUTOS FERTILIZADOS</t>
  </si>
  <si>
    <t>Glória da Manha</t>
  </si>
  <si>
    <t>Rosa Verm Cr</t>
  </si>
  <si>
    <t>F-Rosa Vermelha</t>
  </si>
  <si>
    <t>qtd*$/dia</t>
  </si>
  <si>
    <t>q*P/d</t>
  </si>
  <si>
    <t>Q</t>
  </si>
  <si>
    <t>MangaFert</t>
  </si>
  <si>
    <t>Desconto VIP</t>
  </si>
  <si>
    <t>Ossos</t>
  </si>
  <si>
    <t>Goiaba</t>
  </si>
  <si>
    <t>Bruxas</t>
  </si>
  <si>
    <t>Arbusto</t>
  </si>
  <si>
    <t>AmendoinR</t>
  </si>
  <si>
    <t>NozR</t>
  </si>
  <si>
    <t>LichiaR</t>
  </si>
  <si>
    <t>MangaR</t>
  </si>
  <si>
    <t>CanaR</t>
  </si>
</sst>
</file>

<file path=xl/styles.xml><?xml version="1.0" encoding="utf-8"?>
<styleSheet xmlns="http://schemas.openxmlformats.org/spreadsheetml/2006/main">
  <numFmts count="18">
    <numFmt numFmtId="164" formatCode="_ &quot;R$ &quot;* #,##0.00_ ;_ &quot;R$ &quot;* \-#,##0.00_ ;_ &quot;R$ &quot;* &quot;-&quot;??_ ;_ @_ "/>
    <numFmt numFmtId="165" formatCode="_ * #,##0.00_ ;_ * \-#,##0.00_ ;_ * &quot;-&quot;??_ ;_ @_ "/>
    <numFmt numFmtId="166" formatCode="0.0"/>
    <numFmt numFmtId="167" formatCode="_ * #,##0_ ;_ * \-#,##0_ ;_ * &quot;-&quot;??_ ;_ @_ "/>
    <numFmt numFmtId="168" formatCode="_-[$R$ -416]* #,##0.00_ ;_-[$R$ -416]* \-#,##0.00\ ;_-[$R$ -416]* &quot;-&quot;??_ ;_-@_ "/>
    <numFmt numFmtId="169" formatCode="_ * #,##0.0_ ;_ * \-#,##0.0_ ;_ * &quot;-&quot;??_ ;_ @_ "/>
    <numFmt numFmtId="170" formatCode="_ &quot;R$ &quot;* #,##0.000_ ;_ &quot;R$ &quot;* \-#,##0.000_ ;_ &quot;R$ &quot;* &quot;-&quot;???_ ;_ @_ "/>
    <numFmt numFmtId="171" formatCode="d&quot;d&quot;hh&quot;h&quot;"/>
    <numFmt numFmtId="172" formatCode="&quot;R$ &quot;#,##0.00"/>
    <numFmt numFmtId="173" formatCode="dddd\ hh:mm"/>
    <numFmt numFmtId="174" formatCode="h:mm;@"/>
    <numFmt numFmtId="175" formatCode="dd/mm\ hh:mm"/>
    <numFmt numFmtId="176" formatCode="ddd\,\ hh:mm"/>
    <numFmt numFmtId="177" formatCode="ddd\ hh:mm"/>
    <numFmt numFmtId="178" formatCode="[h]:mm"/>
    <numFmt numFmtId="179" formatCode="[h]&quot;h&quot;"/>
    <numFmt numFmtId="180" formatCode="ddd\,\ dd/mm/yyyy\ hh:mm"/>
    <numFmt numFmtId="181" formatCode="_ * #,##0.000_ ;_ * \-#,##0.0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medium">
        <color indexed="64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1" applyNumberFormat="1" applyFont="1" applyAlignment="1">
      <alignment horizontal="center"/>
    </xf>
    <xf numFmtId="167" fontId="1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4" fontId="0" fillId="0" borderId="0" xfId="2" applyFont="1"/>
    <xf numFmtId="164" fontId="1" fillId="0" borderId="0" xfId="2" applyFont="1"/>
    <xf numFmtId="168" fontId="1" fillId="0" borderId="0" xfId="0" applyNumberFormat="1" applyFont="1"/>
    <xf numFmtId="169" fontId="1" fillId="0" borderId="0" xfId="1" applyNumberFormat="1" applyFont="1"/>
    <xf numFmtId="170" fontId="1" fillId="0" borderId="0" xfId="0" applyNumberFormat="1" applyFont="1"/>
    <xf numFmtId="170" fontId="0" fillId="0" borderId="0" xfId="0" applyNumberFormat="1"/>
    <xf numFmtId="171" fontId="1" fillId="0" borderId="0" xfId="1" applyNumberFormat="1" applyFont="1"/>
    <xf numFmtId="171" fontId="0" fillId="0" borderId="0" xfId="1" applyNumberFormat="1" applyFont="1"/>
    <xf numFmtId="165" fontId="0" fillId="0" borderId="0" xfId="1" applyNumberFormat="1" applyFont="1"/>
    <xf numFmtId="20" fontId="0" fillId="0" borderId="0" xfId="0" applyNumberFormat="1"/>
    <xf numFmtId="9" fontId="0" fillId="0" borderId="0" xfId="0" applyNumberFormat="1"/>
    <xf numFmtId="167" fontId="1" fillId="0" borderId="0" xfId="1" applyNumberFormat="1" applyFont="1" applyAlignment="1">
      <alignment horizontal="left"/>
    </xf>
    <xf numFmtId="167" fontId="0" fillId="0" borderId="0" xfId="0" applyNumberFormat="1"/>
    <xf numFmtId="172" fontId="1" fillId="0" borderId="0" xfId="0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7" fontId="0" fillId="2" borderId="0" xfId="1" applyNumberFormat="1" applyFont="1" applyFill="1"/>
    <xf numFmtId="0" fontId="0" fillId="4" borderId="0" xfId="0" applyFill="1"/>
    <xf numFmtId="167" fontId="0" fillId="4" borderId="0" xfId="1" applyNumberFormat="1" applyFont="1" applyFill="1"/>
    <xf numFmtId="0" fontId="0" fillId="2" borderId="5" xfId="0" applyFill="1" applyBorder="1"/>
    <xf numFmtId="0" fontId="0" fillId="2" borderId="6" xfId="0" applyFill="1" applyBorder="1"/>
    <xf numFmtId="167" fontId="0" fillId="2" borderId="6" xfId="1" applyNumberFormat="1" applyFont="1" applyFill="1" applyBorder="1"/>
    <xf numFmtId="164" fontId="0" fillId="4" borderId="6" xfId="2" applyFont="1" applyFill="1" applyBorder="1"/>
    <xf numFmtId="167" fontId="0" fillId="4" borderId="6" xfId="1" applyNumberFormat="1" applyFont="1" applyFill="1" applyBorder="1"/>
    <xf numFmtId="164" fontId="0" fillId="4" borderId="6" xfId="0" applyNumberFormat="1" applyFill="1" applyBorder="1"/>
    <xf numFmtId="167" fontId="0" fillId="4" borderId="6" xfId="0" applyNumberFormat="1" applyFill="1" applyBorder="1"/>
    <xf numFmtId="172" fontId="0" fillId="4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167" fontId="0" fillId="2" borderId="9" xfId="1" applyNumberFormat="1" applyFont="1" applyFill="1" applyBorder="1"/>
    <xf numFmtId="164" fontId="0" fillId="4" borderId="9" xfId="2" applyFont="1" applyFill="1" applyBorder="1"/>
    <xf numFmtId="167" fontId="0" fillId="4" borderId="9" xfId="1" applyNumberFormat="1" applyFont="1" applyFill="1" applyBorder="1"/>
    <xf numFmtId="164" fontId="0" fillId="4" borderId="9" xfId="0" applyNumberFormat="1" applyFill="1" applyBorder="1"/>
    <xf numFmtId="167" fontId="0" fillId="4" borderId="9" xfId="0" applyNumberFormat="1" applyFill="1" applyBorder="1"/>
    <xf numFmtId="172" fontId="0" fillId="4" borderId="10" xfId="0" applyNumberFormat="1" applyFill="1" applyBorder="1"/>
    <xf numFmtId="0" fontId="0" fillId="2" borderId="11" xfId="0" applyFill="1" applyBorder="1"/>
    <xf numFmtId="0" fontId="0" fillId="2" borderId="12" xfId="0" applyFill="1" applyBorder="1"/>
    <xf numFmtId="167" fontId="0" fillId="2" borderId="12" xfId="1" applyNumberFormat="1" applyFont="1" applyFill="1" applyBorder="1"/>
    <xf numFmtId="167" fontId="0" fillId="4" borderId="12" xfId="1" applyNumberFormat="1" applyFont="1" applyFill="1" applyBorder="1"/>
    <xf numFmtId="0" fontId="0" fillId="6" borderId="1" xfId="0" applyFill="1" applyBorder="1"/>
    <xf numFmtId="0" fontId="0" fillId="5" borderId="4" xfId="0" applyFill="1" applyBorder="1"/>
    <xf numFmtId="168" fontId="0" fillId="2" borderId="6" xfId="0" applyNumberFormat="1" applyFill="1" applyBorder="1"/>
    <xf numFmtId="170" fontId="0" fillId="4" borderId="7" xfId="2" applyNumberFormat="1" applyFont="1" applyFill="1" applyBorder="1"/>
    <xf numFmtId="168" fontId="0" fillId="2" borderId="9" xfId="0" applyNumberFormat="1" applyFill="1" applyBorder="1"/>
    <xf numFmtId="170" fontId="0" fillId="4" borderId="10" xfId="2" applyNumberFormat="1" applyFont="1" applyFill="1" applyBorder="1"/>
    <xf numFmtId="168" fontId="0" fillId="2" borderId="12" xfId="0" applyNumberFormat="1" applyFill="1" applyBorder="1"/>
    <xf numFmtId="170" fontId="0" fillId="4" borderId="13" xfId="2" applyNumberFormat="1" applyFont="1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9" xfId="0" applyFont="1" applyFill="1" applyBorder="1"/>
    <xf numFmtId="0" fontId="0" fillId="2" borderId="13" xfId="0" applyFill="1" applyBorder="1"/>
    <xf numFmtId="169" fontId="1" fillId="4" borderId="0" xfId="1" applyNumberFormat="1" applyFont="1" applyFill="1"/>
    <xf numFmtId="0" fontId="0" fillId="4" borderId="5" xfId="0" applyFill="1" applyBorder="1"/>
    <xf numFmtId="171" fontId="0" fillId="4" borderId="6" xfId="1" applyNumberFormat="1" applyFont="1" applyFill="1" applyBorder="1"/>
    <xf numFmtId="169" fontId="1" fillId="4" borderId="6" xfId="1" applyNumberFormat="1" applyFont="1" applyFill="1" applyBorder="1"/>
    <xf numFmtId="165" fontId="0" fillId="4" borderId="6" xfId="1" applyNumberFormat="1" applyFont="1" applyFill="1" applyBorder="1"/>
    <xf numFmtId="0" fontId="0" fillId="4" borderId="8" xfId="0" applyFill="1" applyBorder="1"/>
    <xf numFmtId="171" fontId="0" fillId="4" borderId="9" xfId="1" applyNumberFormat="1" applyFont="1" applyFill="1" applyBorder="1"/>
    <xf numFmtId="169" fontId="1" fillId="4" borderId="9" xfId="1" applyNumberFormat="1" applyFont="1" applyFill="1" applyBorder="1"/>
    <xf numFmtId="0" fontId="0" fillId="4" borderId="11" xfId="0" applyFill="1" applyBorder="1"/>
    <xf numFmtId="171" fontId="0" fillId="4" borderId="12" xfId="1" applyNumberFormat="1" applyFont="1" applyFill="1" applyBorder="1"/>
    <xf numFmtId="169" fontId="1" fillId="4" borderId="12" xfId="1" applyNumberFormat="1" applyFont="1" applyFill="1" applyBorder="1"/>
    <xf numFmtId="1" fontId="0" fillId="4" borderId="0" xfId="0" applyNumberFormat="1" applyFill="1"/>
    <xf numFmtId="169" fontId="2" fillId="4" borderId="0" xfId="1" applyNumberFormat="1" applyFont="1" applyFill="1"/>
    <xf numFmtId="166" fontId="0" fillId="4" borderId="0" xfId="0" applyNumberFormat="1" applyFill="1"/>
    <xf numFmtId="167" fontId="1" fillId="3" borderId="0" xfId="1" applyNumberFormat="1" applyFont="1" applyFill="1"/>
    <xf numFmtId="0" fontId="1" fillId="3" borderId="0" xfId="0" applyNumberFormat="1" applyFont="1" applyFill="1"/>
    <xf numFmtId="167" fontId="1" fillId="3" borderId="0" xfId="0" applyNumberFormat="1" applyFont="1" applyFill="1"/>
    <xf numFmtId="0" fontId="1" fillId="3" borderId="0" xfId="1" applyNumberFormat="1" applyFont="1" applyFill="1"/>
    <xf numFmtId="1" fontId="1" fillId="3" borderId="0" xfId="0" applyNumberFormat="1" applyFont="1" applyFill="1"/>
    <xf numFmtId="169" fontId="1" fillId="3" borderId="0" xfId="1" applyNumberFormat="1" applyFont="1" applyFill="1"/>
    <xf numFmtId="166" fontId="1" fillId="3" borderId="0" xfId="0" applyNumberFormat="1" applyFont="1" applyFill="1"/>
    <xf numFmtId="2" fontId="0" fillId="4" borderId="6" xfId="0" applyNumberFormat="1" applyFill="1" applyBorder="1"/>
    <xf numFmtId="0" fontId="0" fillId="0" borderId="6" xfId="0" applyBorder="1"/>
    <xf numFmtId="2" fontId="0" fillId="4" borderId="9" xfId="0" applyNumberFormat="1" applyFill="1" applyBorder="1"/>
    <xf numFmtId="0" fontId="0" fillId="0" borderId="9" xfId="0" applyBorder="1"/>
    <xf numFmtId="0" fontId="0" fillId="0" borderId="12" xfId="0" applyBorder="1"/>
    <xf numFmtId="167" fontId="1" fillId="3" borderId="12" xfId="1" applyNumberFormat="1" applyFont="1" applyFill="1" applyBorder="1"/>
    <xf numFmtId="2" fontId="1" fillId="3" borderId="13" xfId="0" applyNumberFormat="1" applyFont="1" applyFill="1" applyBorder="1"/>
    <xf numFmtId="0" fontId="1" fillId="0" borderId="11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0" xfId="0" applyFont="1" applyFill="1"/>
    <xf numFmtId="0" fontId="1" fillId="0" borderId="11" xfId="0" applyFont="1" applyFill="1" applyBorder="1"/>
    <xf numFmtId="9" fontId="0" fillId="4" borderId="6" xfId="3" applyFont="1" applyFill="1" applyBorder="1"/>
    <xf numFmtId="9" fontId="0" fillId="0" borderId="0" xfId="3" applyFont="1"/>
    <xf numFmtId="173" fontId="0" fillId="0" borderId="0" xfId="0" applyNumberFormat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" fillId="0" borderId="14" xfId="0" applyFont="1" applyBorder="1"/>
    <xf numFmtId="167" fontId="1" fillId="0" borderId="14" xfId="1" applyNumberFormat="1" applyFont="1" applyBorder="1"/>
    <xf numFmtId="22" fontId="0" fillId="0" borderId="0" xfId="0" applyNumberFormat="1"/>
    <xf numFmtId="2" fontId="1" fillId="3" borderId="12" xfId="1" applyNumberFormat="1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167" fontId="0" fillId="0" borderId="0" xfId="0" applyNumberFormat="1" applyBorder="1"/>
    <xf numFmtId="0" fontId="0" fillId="5" borderId="18" xfId="0" applyFill="1" applyBorder="1"/>
    <xf numFmtId="167" fontId="1" fillId="3" borderId="1" xfId="1" applyNumberFormat="1" applyFont="1" applyFill="1" applyBorder="1"/>
    <xf numFmtId="0" fontId="0" fillId="5" borderId="19" xfId="0" applyFill="1" applyBorder="1"/>
    <xf numFmtId="167" fontId="0" fillId="5" borderId="19" xfId="1" applyNumberFormat="1" applyFont="1" applyFill="1" applyBorder="1" applyAlignment="1"/>
    <xf numFmtId="174" fontId="0" fillId="5" borderId="19" xfId="0" applyNumberFormat="1" applyFill="1" applyBorder="1" applyAlignment="1">
      <alignment horizontal="center"/>
    </xf>
    <xf numFmtId="167" fontId="1" fillId="0" borderId="0" xfId="0" applyNumberFormat="1" applyFont="1"/>
    <xf numFmtId="0" fontId="0" fillId="5" borderId="18" xfId="0" applyNumberFormat="1" applyFill="1" applyBorder="1" applyAlignment="1"/>
    <xf numFmtId="175" fontId="0" fillId="5" borderId="18" xfId="0" applyNumberFormat="1" applyFill="1" applyBorder="1"/>
    <xf numFmtId="0" fontId="0" fillId="5" borderId="19" xfId="1" applyNumberFormat="1" applyFont="1" applyFill="1" applyBorder="1" applyAlignment="1"/>
    <xf numFmtId="0" fontId="3" fillId="7" borderId="0" xfId="0" applyFont="1" applyFill="1"/>
    <xf numFmtId="167" fontId="3" fillId="7" borderId="0" xfId="1" applyNumberFormat="1" applyFont="1" applyFill="1"/>
    <xf numFmtId="22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right"/>
    </xf>
    <xf numFmtId="176" fontId="0" fillId="0" borderId="0" xfId="0" applyNumberFormat="1" applyAlignment="1">
      <alignment horizontal="left"/>
    </xf>
    <xf numFmtId="176" fontId="0" fillId="5" borderId="19" xfId="0" applyNumberFormat="1" applyFill="1" applyBorder="1" applyAlignment="1">
      <alignment horizontal="left"/>
    </xf>
    <xf numFmtId="167" fontId="3" fillId="7" borderId="0" xfId="1" applyNumberFormat="1" applyFont="1" applyFill="1" applyAlignment="1">
      <alignment horizontal="right"/>
    </xf>
    <xf numFmtId="167" fontId="0" fillId="0" borderId="0" xfId="1" applyNumberFormat="1" applyFont="1" applyAlignment="1">
      <alignment horizontal="right"/>
    </xf>
    <xf numFmtId="171" fontId="1" fillId="0" borderId="0" xfId="1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22" fontId="2" fillId="0" borderId="0" xfId="1" applyNumberFormat="1" applyFont="1" applyAlignment="1">
      <alignment horizontal="center"/>
    </xf>
    <xf numFmtId="178" fontId="0" fillId="0" borderId="0" xfId="0" applyNumberFormat="1"/>
    <xf numFmtId="1" fontId="0" fillId="0" borderId="0" xfId="0" applyNumberFormat="1"/>
    <xf numFmtId="165" fontId="1" fillId="0" borderId="0" xfId="1" applyFont="1"/>
    <xf numFmtId="167" fontId="0" fillId="2" borderId="5" xfId="1" applyNumberFormat="1" applyFont="1" applyFill="1" applyBorder="1"/>
    <xf numFmtId="167" fontId="0" fillId="2" borderId="8" xfId="1" applyNumberFormat="1" applyFont="1" applyFill="1" applyBorder="1"/>
    <xf numFmtId="167" fontId="2" fillId="4" borderId="6" xfId="1" applyNumberFormat="1" applyFont="1" applyFill="1" applyBorder="1"/>
    <xf numFmtId="167" fontId="1" fillId="4" borderId="9" xfId="1" applyNumberFormat="1" applyFont="1" applyFill="1" applyBorder="1"/>
    <xf numFmtId="167" fontId="2" fillId="4" borderId="9" xfId="1" applyNumberFormat="1" applyFont="1" applyFill="1" applyBorder="1"/>
    <xf numFmtId="167" fontId="2" fillId="4" borderId="12" xfId="1" applyNumberFormat="1" applyFont="1" applyFill="1" applyBorder="1"/>
    <xf numFmtId="49" fontId="1" fillId="0" borderId="0" xfId="0" applyNumberFormat="1" applyFont="1" applyFill="1"/>
    <xf numFmtId="49" fontId="1" fillId="0" borderId="0" xfId="0" applyNumberFormat="1" applyFont="1"/>
    <xf numFmtId="49" fontId="1" fillId="0" borderId="0" xfId="1" applyNumberFormat="1" applyFont="1"/>
    <xf numFmtId="49" fontId="1" fillId="0" borderId="0" xfId="3" applyNumberFormat="1" applyFont="1"/>
    <xf numFmtId="49" fontId="1" fillId="0" borderId="5" xfId="0" applyNumberFormat="1" applyFont="1" applyFill="1" applyBorder="1"/>
    <xf numFmtId="49" fontId="1" fillId="0" borderId="8" xfId="0" applyNumberFormat="1" applyFont="1" applyFill="1" applyBorder="1"/>
    <xf numFmtId="49" fontId="1" fillId="0" borderId="11" xfId="0" applyNumberFormat="1" applyFont="1" applyFill="1" applyBorder="1"/>
    <xf numFmtId="1" fontId="0" fillId="5" borderId="8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1" fillId="3" borderId="0" xfId="0" applyFont="1" applyFill="1"/>
    <xf numFmtId="9" fontId="0" fillId="4" borderId="21" xfId="3" applyFont="1" applyFill="1" applyBorder="1"/>
    <xf numFmtId="167" fontId="0" fillId="4" borderId="21" xfId="1" applyNumberFormat="1" applyFont="1" applyFill="1" applyBorder="1"/>
    <xf numFmtId="167" fontId="0" fillId="4" borderId="21" xfId="3" applyNumberFormat="1" applyFont="1" applyFill="1" applyBorder="1"/>
    <xf numFmtId="167" fontId="0" fillId="4" borderId="22" xfId="1" applyNumberFormat="1" applyFont="1" applyFill="1" applyBorder="1"/>
    <xf numFmtId="9" fontId="0" fillId="4" borderId="9" xfId="3" applyFont="1" applyFill="1" applyBorder="1"/>
    <xf numFmtId="167" fontId="0" fillId="4" borderId="9" xfId="3" applyNumberFormat="1" applyFont="1" applyFill="1" applyBorder="1"/>
    <xf numFmtId="167" fontId="1" fillId="3" borderId="23" xfId="0" applyNumberFormat="1" applyFont="1" applyFill="1" applyBorder="1"/>
    <xf numFmtId="9" fontId="1" fillId="3" borderId="24" xfId="3" applyFont="1" applyFill="1" applyBorder="1"/>
    <xf numFmtId="167" fontId="1" fillId="3" borderId="24" xfId="0" applyNumberFormat="1" applyFont="1" applyFill="1" applyBorder="1"/>
    <xf numFmtId="167" fontId="1" fillId="3" borderId="25" xfId="0" applyNumberFormat="1" applyFont="1" applyFill="1" applyBorder="1"/>
    <xf numFmtId="9" fontId="0" fillId="4" borderId="20" xfId="3" applyFont="1" applyFill="1" applyBorder="1"/>
    <xf numFmtId="9" fontId="0" fillId="4" borderId="22" xfId="3" applyFont="1" applyFill="1" applyBorder="1"/>
    <xf numFmtId="167" fontId="1" fillId="4" borderId="7" xfId="1" applyNumberFormat="1" applyFont="1" applyFill="1" applyBorder="1"/>
    <xf numFmtId="167" fontId="1" fillId="4" borderId="10" xfId="1" applyNumberFormat="1" applyFont="1" applyFill="1" applyBorder="1"/>
    <xf numFmtId="167" fontId="1" fillId="4" borderId="13" xfId="1" applyNumberFormat="1" applyFont="1" applyFill="1" applyBorder="1"/>
    <xf numFmtId="165" fontId="1" fillId="4" borderId="9" xfId="1" applyFont="1" applyFill="1" applyBorder="1"/>
    <xf numFmtId="169" fontId="0" fillId="0" borderId="0" xfId="1" applyNumberFormat="1" applyFont="1"/>
    <xf numFmtId="178" fontId="0" fillId="4" borderId="8" xfId="0" applyNumberFormat="1" applyFill="1" applyBorder="1"/>
    <xf numFmtId="0" fontId="0" fillId="4" borderId="9" xfId="0" applyFill="1" applyBorder="1"/>
    <xf numFmtId="167" fontId="0" fillId="4" borderId="6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179" fontId="0" fillId="2" borderId="5" xfId="0" applyNumberFormat="1" applyFill="1" applyBorder="1"/>
    <xf numFmtId="9" fontId="0" fillId="0" borderId="0" xfId="3" applyFont="1" applyAlignment="1">
      <alignment horizontal="left"/>
    </xf>
    <xf numFmtId="0" fontId="1" fillId="0" borderId="14" xfId="0" applyFont="1" applyBorder="1" applyAlignment="1">
      <alignment horizontal="left"/>
    </xf>
    <xf numFmtId="174" fontId="0" fillId="5" borderId="19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169" fontId="1" fillId="0" borderId="0" xfId="1" applyNumberFormat="1" applyFont="1" applyAlignment="1">
      <alignment horizontal="left"/>
    </xf>
    <xf numFmtId="169" fontId="0" fillId="4" borderId="6" xfId="1" applyNumberFormat="1" applyFont="1" applyFill="1" applyBorder="1" applyAlignment="1">
      <alignment horizontal="right"/>
    </xf>
    <xf numFmtId="0" fontId="0" fillId="0" borderId="28" xfId="0" applyBorder="1"/>
    <xf numFmtId="49" fontId="1" fillId="0" borderId="28" xfId="0" applyNumberFormat="1" applyFont="1" applyBorder="1"/>
    <xf numFmtId="0" fontId="0" fillId="4" borderId="29" xfId="0" applyFill="1" applyBorder="1"/>
    <xf numFmtId="0" fontId="0" fillId="4" borderId="30" xfId="0" applyFill="1" applyBorder="1"/>
    <xf numFmtId="1" fontId="1" fillId="0" borderId="0" xfId="0" applyNumberFormat="1" applyFont="1"/>
    <xf numFmtId="1" fontId="1" fillId="0" borderId="0" xfId="0" applyNumberFormat="1" applyFont="1" applyAlignment="1"/>
    <xf numFmtId="167" fontId="0" fillId="4" borderId="5" xfId="0" applyNumberFormat="1" applyFill="1" applyBorder="1"/>
    <xf numFmtId="169" fontId="1" fillId="0" borderId="28" xfId="1" applyNumberFormat="1" applyFont="1" applyBorder="1"/>
    <xf numFmtId="171" fontId="0" fillId="4" borderId="33" xfId="1" applyNumberFormat="1" applyFont="1" applyFill="1" applyBorder="1" applyAlignment="1">
      <alignment horizontal="right"/>
    </xf>
    <xf numFmtId="0" fontId="1" fillId="0" borderId="14" xfId="0" applyFont="1" applyFill="1" applyBorder="1"/>
    <xf numFmtId="0" fontId="0" fillId="0" borderId="14" xfId="0" applyBorder="1"/>
    <xf numFmtId="171" fontId="0" fillId="0" borderId="14" xfId="1" applyNumberFormat="1" applyFont="1" applyBorder="1"/>
    <xf numFmtId="167" fontId="0" fillId="0" borderId="14" xfId="1" applyNumberFormat="1" applyFont="1" applyBorder="1"/>
    <xf numFmtId="0" fontId="0" fillId="0" borderId="34" xfId="0" applyBorder="1"/>
    <xf numFmtId="1" fontId="0" fillId="0" borderId="14" xfId="0" applyNumberFormat="1" applyBorder="1"/>
    <xf numFmtId="169" fontId="0" fillId="0" borderId="14" xfId="1" applyNumberFormat="1" applyFont="1" applyBorder="1"/>
    <xf numFmtId="167" fontId="0" fillId="5" borderId="35" xfId="1" applyNumberFormat="1" applyFont="1" applyFill="1" applyBorder="1"/>
    <xf numFmtId="167" fontId="0" fillId="5" borderId="36" xfId="1" applyNumberFormat="1" applyFont="1" applyFill="1" applyBorder="1"/>
    <xf numFmtId="180" fontId="0" fillId="4" borderId="9" xfId="3" applyNumberFormat="1" applyFont="1" applyFill="1" applyBorder="1"/>
    <xf numFmtId="0" fontId="0" fillId="5" borderId="37" xfId="0" applyFill="1" applyBorder="1"/>
    <xf numFmtId="0" fontId="0" fillId="5" borderId="38" xfId="1" applyNumberFormat="1" applyFont="1" applyFill="1" applyBorder="1" applyAlignment="1"/>
    <xf numFmtId="0" fontId="0" fillId="5" borderId="18" xfId="0" applyNumberFormat="1" applyFill="1" applyBorder="1"/>
    <xf numFmtId="178" fontId="0" fillId="5" borderId="18" xfId="0" applyNumberFormat="1" applyFill="1" applyBorder="1"/>
    <xf numFmtId="0" fontId="0" fillId="5" borderId="39" xfId="0" applyFill="1" applyBorder="1"/>
    <xf numFmtId="0" fontId="0" fillId="5" borderId="40" xfId="1" applyNumberFormat="1" applyFont="1" applyFill="1" applyBorder="1" applyAlignment="1"/>
    <xf numFmtId="0" fontId="0" fillId="5" borderId="19" xfId="0" applyNumberFormat="1" applyFill="1" applyBorder="1" applyAlignment="1"/>
    <xf numFmtId="171" fontId="0" fillId="4" borderId="16" xfId="1" applyNumberFormat="1" applyFont="1" applyFill="1" applyBorder="1" applyAlignment="1"/>
    <xf numFmtId="165" fontId="1" fillId="0" borderId="0" xfId="1" applyNumberFormat="1" applyFont="1"/>
    <xf numFmtId="165" fontId="1" fillId="0" borderId="14" xfId="1" applyNumberFormat="1" applyFont="1" applyBorder="1"/>
    <xf numFmtId="167" fontId="1" fillId="4" borderId="6" xfId="1" applyNumberFormat="1" applyFont="1" applyFill="1" applyBorder="1"/>
    <xf numFmtId="176" fontId="0" fillId="2" borderId="0" xfId="0" applyNumberFormat="1" applyFill="1" applyAlignment="1">
      <alignment horizontal="left"/>
    </xf>
    <xf numFmtId="0" fontId="1" fillId="3" borderId="2" xfId="0" applyNumberFormat="1" applyFont="1" applyFill="1" applyBorder="1" applyAlignment="1">
      <alignment horizontal="center"/>
    </xf>
    <xf numFmtId="0" fontId="1" fillId="0" borderId="14" xfId="0" applyFont="1" applyBorder="1" applyAlignment="1"/>
    <xf numFmtId="171" fontId="1" fillId="3" borderId="1" xfId="1" applyNumberFormat="1" applyFont="1" applyFill="1" applyBorder="1" applyAlignment="1"/>
    <xf numFmtId="173" fontId="0" fillId="0" borderId="0" xfId="0" applyNumberFormat="1" applyAlignment="1"/>
    <xf numFmtId="0" fontId="0" fillId="0" borderId="0" xfId="0" applyBorder="1" applyAlignment="1"/>
    <xf numFmtId="176" fontId="0" fillId="4" borderId="9" xfId="0" applyNumberFormat="1" applyFill="1" applyBorder="1" applyAlignment="1"/>
    <xf numFmtId="0" fontId="1" fillId="0" borderId="0" xfId="0" applyFont="1" applyAlignment="1"/>
    <xf numFmtId="0" fontId="0" fillId="0" borderId="0" xfId="0" applyAlignment="1"/>
    <xf numFmtId="171" fontId="0" fillId="4" borderId="21" xfId="1" applyNumberFormat="1" applyFont="1" applyFill="1" applyBorder="1" applyAlignment="1"/>
    <xf numFmtId="171" fontId="0" fillId="4" borderId="42" xfId="1" applyNumberFormat="1" applyFont="1" applyFill="1" applyBorder="1" applyAlignment="1"/>
    <xf numFmtId="176" fontId="1" fillId="4" borderId="9" xfId="0" applyNumberFormat="1" applyFont="1" applyFill="1" applyBorder="1" applyAlignment="1"/>
    <xf numFmtId="177" fontId="1" fillId="3" borderId="3" xfId="0" applyNumberFormat="1" applyFont="1" applyFill="1" applyBorder="1" applyAlignment="1"/>
    <xf numFmtId="173" fontId="1" fillId="0" borderId="0" xfId="0" applyNumberFormat="1" applyFont="1" applyAlignment="1"/>
    <xf numFmtId="0" fontId="1" fillId="0" borderId="0" xfId="0" applyFont="1" applyBorder="1" applyAlignment="1"/>
    <xf numFmtId="176" fontId="1" fillId="4" borderId="21" xfId="0" applyNumberFormat="1" applyFont="1" applyFill="1" applyBorder="1" applyAlignment="1"/>
    <xf numFmtId="14" fontId="0" fillId="4" borderId="16" xfId="0" applyNumberFormat="1" applyFill="1" applyBorder="1" applyAlignment="1"/>
    <xf numFmtId="14" fontId="0" fillId="4" borderId="21" xfId="0" applyNumberFormat="1" applyFill="1" applyBorder="1" applyAlignment="1"/>
    <xf numFmtId="14" fontId="0" fillId="4" borderId="42" xfId="0" applyNumberFormat="1" applyFill="1" applyBorder="1" applyAlignment="1"/>
    <xf numFmtId="171" fontId="0" fillId="4" borderId="17" xfId="1" applyNumberFormat="1" applyFont="1" applyFill="1" applyBorder="1" applyAlignment="1"/>
    <xf numFmtId="176" fontId="0" fillId="4" borderId="26" xfId="0" applyNumberFormat="1" applyFill="1" applyBorder="1" applyAlignment="1"/>
    <xf numFmtId="176" fontId="0" fillId="4" borderId="27" xfId="0" applyNumberFormat="1" applyFill="1" applyBorder="1" applyAlignment="1"/>
    <xf numFmtId="171" fontId="0" fillId="4" borderId="27" xfId="1" applyNumberFormat="1" applyFont="1" applyFill="1" applyBorder="1" applyAlignment="1"/>
    <xf numFmtId="176" fontId="0" fillId="4" borderId="21" xfId="0" applyNumberFormat="1" applyFill="1" applyBorder="1" applyAlignment="1"/>
    <xf numFmtId="171" fontId="0" fillId="4" borderId="41" xfId="1" applyNumberFormat="1" applyFont="1" applyFill="1" applyBorder="1" applyAlignment="1"/>
    <xf numFmtId="176" fontId="0" fillId="4" borderId="42" xfId="0" applyNumberFormat="1" applyFill="1" applyBorder="1" applyAlignment="1"/>
    <xf numFmtId="171" fontId="0" fillId="4" borderId="43" xfId="1" applyNumberFormat="1" applyFont="1" applyFill="1" applyBorder="1" applyAlignment="1"/>
    <xf numFmtId="167" fontId="1" fillId="5" borderId="44" xfId="1" applyNumberFormat="1" applyFont="1" applyFill="1" applyBorder="1"/>
    <xf numFmtId="167" fontId="1" fillId="5" borderId="45" xfId="1" applyNumberFormat="1" applyFont="1" applyFill="1" applyBorder="1"/>
    <xf numFmtId="0" fontId="1" fillId="0" borderId="0" xfId="0" applyNumberFormat="1" applyFont="1"/>
    <xf numFmtId="0" fontId="0" fillId="4" borderId="0" xfId="0" applyNumberFormat="1" applyFill="1"/>
    <xf numFmtId="0" fontId="0" fillId="3" borderId="0" xfId="0" applyNumberFormat="1" applyFill="1"/>
    <xf numFmtId="0" fontId="0" fillId="0" borderId="0" xfId="0" applyNumberFormat="1"/>
    <xf numFmtId="1" fontId="1" fillId="3" borderId="0" xfId="1" applyNumberFormat="1" applyFont="1" applyFill="1" applyAlignment="1"/>
    <xf numFmtId="0" fontId="0" fillId="4" borderId="6" xfId="0" applyFill="1" applyBorder="1"/>
    <xf numFmtId="1" fontId="0" fillId="4" borderId="6" xfId="0" applyNumberFormat="1" applyFill="1" applyBorder="1"/>
    <xf numFmtId="166" fontId="1" fillId="4" borderId="6" xfId="0" applyNumberFormat="1" applyFont="1" applyFill="1" applyBorder="1"/>
    <xf numFmtId="179" fontId="0" fillId="2" borderId="6" xfId="0" applyNumberFormat="1" applyFill="1" applyBorder="1"/>
    <xf numFmtId="1" fontId="0" fillId="4" borderId="7" xfId="0" applyNumberFormat="1" applyFill="1" applyBorder="1"/>
    <xf numFmtId="1" fontId="0" fillId="4" borderId="9" xfId="0" applyNumberFormat="1" applyFill="1" applyBorder="1"/>
    <xf numFmtId="166" fontId="1" fillId="4" borderId="9" xfId="0" applyNumberFormat="1" applyFont="1" applyFill="1" applyBorder="1"/>
    <xf numFmtId="179" fontId="0" fillId="2" borderId="9" xfId="0" applyNumberFormat="1" applyFill="1" applyBorder="1"/>
    <xf numFmtId="1" fontId="0" fillId="4" borderId="10" xfId="0" applyNumberFormat="1" applyFill="1" applyBorder="1"/>
    <xf numFmtId="167" fontId="1" fillId="3" borderId="11" xfId="1" applyNumberFormat="1" applyFont="1" applyFill="1" applyBorder="1"/>
    <xf numFmtId="167" fontId="1" fillId="3" borderId="12" xfId="0" applyNumberFormat="1" applyFont="1" applyFill="1" applyBorder="1"/>
    <xf numFmtId="0" fontId="1" fillId="3" borderId="12" xfId="0" applyNumberFormat="1" applyFont="1" applyFill="1" applyBorder="1"/>
    <xf numFmtId="1" fontId="1" fillId="3" borderId="12" xfId="0" applyNumberFormat="1" applyFont="1" applyFill="1" applyBorder="1"/>
    <xf numFmtId="166" fontId="1" fillId="3" borderId="12" xfId="0" applyNumberFormat="1" applyFont="1" applyFill="1" applyBorder="1"/>
    <xf numFmtId="1" fontId="1" fillId="3" borderId="13" xfId="1" applyNumberFormat="1" applyFont="1" applyFill="1" applyBorder="1" applyAlignment="1"/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right"/>
    </xf>
    <xf numFmtId="169" fontId="1" fillId="0" borderId="34" xfId="1" applyNumberFormat="1" applyFont="1" applyBorder="1"/>
    <xf numFmtId="167" fontId="1" fillId="4" borderId="6" xfId="0" applyNumberFormat="1" applyFont="1" applyFill="1" applyBorder="1" applyAlignment="1">
      <alignment horizontal="right"/>
    </xf>
    <xf numFmtId="169" fontId="1" fillId="4" borderId="31" xfId="1" applyNumberFormat="1" applyFont="1" applyFill="1" applyBorder="1"/>
    <xf numFmtId="169" fontId="1" fillId="4" borderId="32" xfId="1" applyNumberFormat="1" applyFont="1" applyFill="1" applyBorder="1"/>
    <xf numFmtId="179" fontId="0" fillId="2" borderId="46" xfId="0" applyNumberFormat="1" applyFill="1" applyBorder="1"/>
    <xf numFmtId="49" fontId="1" fillId="0" borderId="5" xfId="0" applyNumberFormat="1" applyFont="1" applyBorder="1"/>
    <xf numFmtId="0" fontId="0" fillId="0" borderId="8" xfId="0" applyBorder="1"/>
    <xf numFmtId="2" fontId="1" fillId="0" borderId="0" xfId="1" applyNumberFormat="1" applyFont="1"/>
    <xf numFmtId="2" fontId="0" fillId="0" borderId="0" xfId="1" applyNumberFormat="1" applyFont="1"/>
    <xf numFmtId="165" fontId="0" fillId="0" borderId="0" xfId="1" applyFont="1"/>
    <xf numFmtId="165" fontId="0" fillId="4" borderId="6" xfId="1" applyFont="1" applyFill="1" applyBorder="1"/>
    <xf numFmtId="165" fontId="0" fillId="4" borderId="9" xfId="1" applyFont="1" applyFill="1" applyBorder="1"/>
    <xf numFmtId="2" fontId="0" fillId="4" borderId="6" xfId="1" applyNumberFormat="1" applyFont="1" applyFill="1" applyBorder="1"/>
    <xf numFmtId="2" fontId="0" fillId="4" borderId="9" xfId="1" applyNumberFormat="1" applyFont="1" applyFill="1" applyBorder="1"/>
    <xf numFmtId="167" fontId="1" fillId="2" borderId="6" xfId="1" applyNumberFormat="1" applyFont="1" applyFill="1" applyBorder="1"/>
    <xf numFmtId="167" fontId="1" fillId="2" borderId="9" xfId="1" applyNumberFormat="1" applyFont="1" applyFill="1" applyBorder="1"/>
    <xf numFmtId="165" fontId="1" fillId="4" borderId="6" xfId="1" applyFont="1" applyFill="1" applyBorder="1"/>
    <xf numFmtId="181" fontId="1" fillId="0" borderId="0" xfId="1" applyNumberFormat="1" applyFont="1"/>
    <xf numFmtId="181" fontId="1" fillId="4" borderId="6" xfId="1" applyNumberFormat="1" applyFont="1" applyFill="1" applyBorder="1"/>
    <xf numFmtId="181" fontId="1" fillId="4" borderId="9" xfId="1" applyNumberFormat="1" applyFont="1" applyFill="1" applyBorder="1"/>
    <xf numFmtId="166" fontId="0" fillId="4" borderId="6" xfId="1" applyNumberFormat="1" applyFont="1" applyFill="1" applyBorder="1"/>
    <xf numFmtId="166" fontId="1" fillId="0" borderId="0" xfId="1" applyNumberFormat="1" applyFont="1"/>
    <xf numFmtId="166" fontId="0" fillId="4" borderId="9" xfId="1" applyNumberFormat="1" applyFont="1" applyFill="1" applyBorder="1"/>
    <xf numFmtId="166" fontId="0" fillId="0" borderId="0" xfId="1" applyNumberFormat="1" applyFont="1"/>
    <xf numFmtId="167" fontId="1" fillId="4" borderId="5" xfId="1" applyNumberFormat="1" applyFont="1" applyFill="1" applyBorder="1"/>
    <xf numFmtId="0" fontId="1" fillId="0" borderId="0" xfId="0" applyNumberFormat="1" applyFont="1" applyBorder="1"/>
    <xf numFmtId="0" fontId="0" fillId="5" borderId="5" xfId="0" applyNumberFormat="1" applyFill="1" applyBorder="1"/>
    <xf numFmtId="0" fontId="0" fillId="0" borderId="0" xfId="0" applyNumberFormat="1" applyBorder="1"/>
    <xf numFmtId="167" fontId="0" fillId="4" borderId="5" xfId="1" applyNumberFormat="1" applyFont="1" applyFill="1" applyBorder="1"/>
    <xf numFmtId="0" fontId="1" fillId="0" borderId="0" xfId="0" applyFont="1" applyFill="1" applyBorder="1"/>
    <xf numFmtId="0" fontId="1" fillId="5" borderId="48" xfId="0" applyFont="1" applyFill="1" applyBorder="1" applyAlignment="1">
      <alignment horizontal="center"/>
    </xf>
    <xf numFmtId="0" fontId="0" fillId="2" borderId="49" xfId="0" applyFill="1" applyBorder="1"/>
    <xf numFmtId="0" fontId="0" fillId="2" borderId="50" xfId="0" applyFill="1" applyBorder="1"/>
    <xf numFmtId="167" fontId="0" fillId="2" borderId="50" xfId="1" applyNumberFormat="1" applyFont="1" applyFill="1" applyBorder="1"/>
    <xf numFmtId="164" fontId="0" fillId="4" borderId="50" xfId="2" applyFont="1" applyFill="1" applyBorder="1"/>
    <xf numFmtId="167" fontId="0" fillId="4" borderId="47" xfId="1" applyNumberFormat="1" applyFont="1" applyFill="1" applyBorder="1"/>
    <xf numFmtId="167" fontId="0" fillId="4" borderId="50" xfId="1" applyNumberFormat="1" applyFont="1" applyFill="1" applyBorder="1"/>
    <xf numFmtId="164" fontId="0" fillId="4" borderId="50" xfId="0" applyNumberFormat="1" applyFill="1" applyBorder="1"/>
    <xf numFmtId="167" fontId="0" fillId="4" borderId="50" xfId="0" applyNumberFormat="1" applyFill="1" applyBorder="1"/>
    <xf numFmtId="172" fontId="0" fillId="4" borderId="51" xfId="0" applyNumberFormat="1" applyFill="1" applyBorder="1"/>
    <xf numFmtId="167" fontId="0" fillId="4" borderId="47" xfId="0" applyNumberFormat="1" applyFill="1" applyBorder="1"/>
    <xf numFmtId="0" fontId="1" fillId="5" borderId="52" xfId="0" applyFont="1" applyFill="1" applyBorder="1" applyAlignment="1">
      <alignment horizontal="center"/>
    </xf>
    <xf numFmtId="0" fontId="0" fillId="2" borderId="53" xfId="0" applyFill="1" applyBorder="1"/>
    <xf numFmtId="0" fontId="0" fillId="2" borderId="54" xfId="0" applyFill="1" applyBorder="1"/>
    <xf numFmtId="167" fontId="0" fillId="2" borderId="54" xfId="1" applyNumberFormat="1" applyFont="1" applyFill="1" applyBorder="1"/>
    <xf numFmtId="164" fontId="0" fillId="4" borderId="54" xfId="2" applyFont="1" applyFill="1" applyBorder="1"/>
    <xf numFmtId="167" fontId="0" fillId="4" borderId="54" xfId="1" applyNumberFormat="1" applyFont="1" applyFill="1" applyBorder="1"/>
    <xf numFmtId="164" fontId="0" fillId="4" borderId="54" xfId="0" applyNumberFormat="1" applyFill="1" applyBorder="1"/>
    <xf numFmtId="167" fontId="0" fillId="4" borderId="54" xfId="0" applyNumberFormat="1" applyFill="1" applyBorder="1"/>
    <xf numFmtId="172" fontId="0" fillId="4" borderId="55" xfId="0" applyNumberFormat="1" applyFill="1" applyBorder="1"/>
    <xf numFmtId="0" fontId="1" fillId="6" borderId="56" xfId="0" applyFont="1" applyFill="1" applyBorder="1"/>
    <xf numFmtId="0" fontId="1" fillId="6" borderId="14" xfId="0" applyFont="1" applyFill="1" applyBorder="1"/>
    <xf numFmtId="167" fontId="1" fillId="6" borderId="14" xfId="1" applyNumberFormat="1" applyFont="1" applyFill="1" applyBorder="1"/>
    <xf numFmtId="164" fontId="1" fillId="6" borderId="57" xfId="2" applyFont="1" applyFill="1" applyBorder="1"/>
    <xf numFmtId="178" fontId="1" fillId="0" borderId="0" xfId="0" applyNumberFormat="1" applyFont="1"/>
    <xf numFmtId="0" fontId="0" fillId="5" borderId="46" xfId="0" applyNumberFormat="1" applyFill="1" applyBorder="1"/>
    <xf numFmtId="0" fontId="0" fillId="5" borderId="58" xfId="0" applyNumberFormat="1" applyFill="1" applyBorder="1"/>
    <xf numFmtId="0" fontId="0" fillId="5" borderId="59" xfId="0" applyNumberFormat="1" applyFill="1" applyBorder="1"/>
    <xf numFmtId="0" fontId="0" fillId="5" borderId="19" xfId="0" applyNumberFormat="1" applyFill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184"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F0"/>
      </font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  <dxf>
      <numFmt numFmtId="182" formatCode="h:mm"/>
    </dxf>
    <dxf>
      <numFmt numFmtId="183" formatCode="d&quot;d &quot;hh&quot;h&quot;"/>
    </dxf>
    <dxf>
      <numFmt numFmtId="184" formatCode="0&quot; dias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zoomScale="85" zoomScaleNormal="85" workbookViewId="0">
      <pane ySplit="1" topLeftCell="A2" activePane="bottomLeft" state="frozen"/>
      <selection pane="bottomLeft" activeCell="C2" sqref="C2:C4"/>
    </sheetView>
  </sheetViews>
  <sheetFormatPr defaultRowHeight="15"/>
  <cols>
    <col min="1" max="1" width="5.7109375" bestFit="1" customWidth="1"/>
    <col min="2" max="3" width="8.42578125" style="5" bestFit="1" customWidth="1"/>
  </cols>
  <sheetData>
    <row r="1" spans="1:3" s="1" customFormat="1">
      <c r="A1" s="114" t="s">
        <v>7</v>
      </c>
      <c r="B1" s="115" t="s">
        <v>234</v>
      </c>
      <c r="C1" s="115" t="s">
        <v>125</v>
      </c>
    </row>
    <row r="2" spans="1:3">
      <c r="A2">
        <f>ROW(A2)-1</f>
        <v>1</v>
      </c>
      <c r="B2" s="5">
        <v>10</v>
      </c>
      <c r="C2" s="5">
        <f>B2*2</f>
        <v>20</v>
      </c>
    </row>
    <row r="3" spans="1:3">
      <c r="A3">
        <f t="shared" ref="A3:A11" si="0">ROW(A3)-1</f>
        <v>2</v>
      </c>
      <c r="B3" s="5">
        <v>20</v>
      </c>
      <c r="C3" s="5">
        <f>B3*2</f>
        <v>40</v>
      </c>
    </row>
    <row r="4" spans="1:3">
      <c r="A4">
        <f t="shared" si="0"/>
        <v>3</v>
      </c>
      <c r="B4" s="5">
        <v>30</v>
      </c>
      <c r="C4" s="5">
        <f>B4*2</f>
        <v>60</v>
      </c>
    </row>
    <row r="5" spans="1:3">
      <c r="A5">
        <f t="shared" si="0"/>
        <v>4</v>
      </c>
      <c r="B5" s="5">
        <v>40</v>
      </c>
      <c r="C5" s="5">
        <f>B5*2</f>
        <v>80</v>
      </c>
    </row>
    <row r="6" spans="1:3">
      <c r="A6">
        <f t="shared" si="0"/>
        <v>5</v>
      </c>
    </row>
    <row r="7" spans="1:3">
      <c r="A7">
        <f t="shared" si="0"/>
        <v>6</v>
      </c>
    </row>
    <row r="8" spans="1:3" s="1" customFormat="1">
      <c r="A8">
        <f t="shared" si="0"/>
        <v>7</v>
      </c>
      <c r="B8" s="5"/>
      <c r="C8" s="5"/>
    </row>
    <row r="9" spans="1:3">
      <c r="A9">
        <f t="shared" si="0"/>
        <v>8</v>
      </c>
    </row>
    <row r="10" spans="1:3">
      <c r="A10">
        <f t="shared" si="0"/>
        <v>9</v>
      </c>
    </row>
    <row r="11" spans="1:3">
      <c r="A11">
        <f t="shared" si="0"/>
        <v>10</v>
      </c>
    </row>
    <row r="35" spans="4:4">
      <c r="D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2"/>
  <sheetViews>
    <sheetView zoomScale="85" zoomScaleNormal="85" workbookViewId="0">
      <pane ySplit="1" topLeftCell="A2" activePane="bottomLeft" state="frozen"/>
      <selection pane="bottomLeft" activeCell="F3" sqref="F3"/>
    </sheetView>
  </sheetViews>
  <sheetFormatPr defaultRowHeight="15"/>
  <cols>
    <col min="2" max="2" width="8.42578125" style="5" bestFit="1" customWidth="1"/>
    <col min="3" max="3" width="4.85546875" bestFit="1" customWidth="1"/>
    <col min="4" max="4" width="5.5703125" bestFit="1" customWidth="1"/>
    <col min="5" max="5" width="6.140625" bestFit="1" customWidth="1"/>
    <col min="6" max="6" width="11" style="5" bestFit="1" customWidth="1"/>
    <col min="7" max="7" width="6" style="5" bestFit="1" customWidth="1"/>
    <col min="8" max="8" width="7.5703125" bestFit="1" customWidth="1"/>
    <col min="9" max="9" width="4" bestFit="1" customWidth="1"/>
    <col min="10" max="10" width="3.5703125" style="235" bestFit="1" customWidth="1"/>
    <col min="11" max="11" width="3.5703125" customWidth="1"/>
    <col min="12" max="12" width="5.42578125" bestFit="1" customWidth="1"/>
    <col min="13" max="13" width="8.28515625" style="5" bestFit="1" customWidth="1"/>
    <col min="14" max="14" width="8.42578125" style="5" bestFit="1" customWidth="1"/>
    <col min="15" max="15" width="8.140625" bestFit="1" customWidth="1"/>
    <col min="16" max="16" width="9.7109375" style="5" bestFit="1" customWidth="1"/>
    <col min="17" max="17" width="10" style="5" bestFit="1" customWidth="1"/>
    <col min="18" max="18" width="10" style="10" bestFit="1" customWidth="1"/>
    <col min="19" max="19" width="8.5703125" style="10" bestFit="1" customWidth="1"/>
    <col min="20" max="20" width="5.28515625" bestFit="1" customWidth="1"/>
    <col min="21" max="21" width="7.5703125" bestFit="1" customWidth="1"/>
    <col min="22" max="22" width="4.5703125" style="5" bestFit="1" customWidth="1"/>
    <col min="23" max="23" width="7.42578125" style="5" bestFit="1" customWidth="1"/>
    <col min="24" max="24" width="6" bestFit="1" customWidth="1"/>
  </cols>
  <sheetData>
    <row r="1" spans="1:24" s="1" customFormat="1">
      <c r="A1" s="1" t="s">
        <v>0</v>
      </c>
      <c r="B1" s="4" t="s">
        <v>1</v>
      </c>
      <c r="C1" s="1" t="s">
        <v>24</v>
      </c>
      <c r="D1" s="1" t="s">
        <v>210</v>
      </c>
      <c r="E1" s="1" t="s">
        <v>89</v>
      </c>
      <c r="F1" s="4" t="s">
        <v>25</v>
      </c>
      <c r="G1" s="4" t="s">
        <v>71</v>
      </c>
      <c r="H1" s="1" t="s">
        <v>80</v>
      </c>
      <c r="I1" s="1" t="s">
        <v>123</v>
      </c>
      <c r="J1" s="232"/>
      <c r="K1" s="1" t="s">
        <v>91</v>
      </c>
      <c r="L1" s="1" t="s">
        <v>68</v>
      </c>
      <c r="M1" s="4" t="s">
        <v>90</v>
      </c>
      <c r="N1" s="4" t="s">
        <v>88</v>
      </c>
      <c r="O1" s="1" t="s">
        <v>87</v>
      </c>
      <c r="P1" s="4" t="s">
        <v>86</v>
      </c>
      <c r="Q1" s="4" t="s">
        <v>92</v>
      </c>
      <c r="R1" s="10" t="s">
        <v>73</v>
      </c>
      <c r="S1" s="10" t="s">
        <v>72</v>
      </c>
      <c r="T1" s="1" t="s">
        <v>79</v>
      </c>
      <c r="U1" s="1" t="s">
        <v>211</v>
      </c>
      <c r="V1" s="4" t="s">
        <v>125</v>
      </c>
      <c r="W1" s="4" t="s">
        <v>212</v>
      </c>
      <c r="X1" s="1" t="s">
        <v>175</v>
      </c>
    </row>
    <row r="2" spans="1:24">
      <c r="A2" s="90" t="s">
        <v>23</v>
      </c>
      <c r="B2" s="24">
        <v>8000</v>
      </c>
      <c r="C2" s="23">
        <v>30</v>
      </c>
      <c r="D2" s="23">
        <v>60</v>
      </c>
      <c r="E2" s="23">
        <v>160</v>
      </c>
      <c r="F2" s="24">
        <v>288000</v>
      </c>
      <c r="G2" s="24">
        <v>40</v>
      </c>
      <c r="H2" s="23">
        <v>40</v>
      </c>
      <c r="I2" s="23">
        <v>8</v>
      </c>
      <c r="J2" s="233" t="str">
        <f t="shared" ref="J2:J7" si="0">IF(F2=C2*D2*E2,"OK","ERRO")</f>
        <v>OK</v>
      </c>
      <c r="K2" s="25">
        <f t="shared" ref="K2:K7" si="1">24/I2</f>
        <v>3</v>
      </c>
      <c r="L2" s="25">
        <f t="shared" ref="L2:L7" si="2">D2/K2</f>
        <v>20</v>
      </c>
      <c r="M2" s="26">
        <f t="shared" ref="M2:M7" si="3">L2*E2</f>
        <v>3200</v>
      </c>
      <c r="N2" s="26">
        <f t="shared" ref="N2:N7" si="4">D2*E2</f>
        <v>9600</v>
      </c>
      <c r="O2" s="70">
        <f t="shared" ref="O2:O7" si="5">H2*K2</f>
        <v>120</v>
      </c>
      <c r="P2" s="26">
        <f t="shared" ref="P2:P7" si="6">N2-O2</f>
        <v>9480</v>
      </c>
      <c r="Q2" s="26">
        <f t="shared" ref="Q2:Q7" si="7">P2*C2-B2</f>
        <v>276400</v>
      </c>
      <c r="R2" s="71">
        <f t="shared" ref="R2:R7" si="8">Q2/C2</f>
        <v>9213.3333333333339</v>
      </c>
      <c r="S2" s="59">
        <f t="shared" ref="S2:S7" si="9">Q2/(C2*24)</f>
        <v>383.88888888888891</v>
      </c>
      <c r="T2" s="70">
        <f t="shared" ref="T2:T7" si="10">G2*K2</f>
        <v>120</v>
      </c>
      <c r="U2" s="72">
        <f t="shared" ref="U2:U7" si="11">B2/P2</f>
        <v>0.84388185654008441</v>
      </c>
      <c r="V2" s="24">
        <v>9</v>
      </c>
      <c r="W2" s="26">
        <f t="shared" ref="W2:W7" si="12">P2*C2/V2</f>
        <v>31600</v>
      </c>
      <c r="X2" s="70">
        <f t="shared" ref="X2:X7" si="13">T2*C2/V2</f>
        <v>400</v>
      </c>
    </row>
    <row r="3" spans="1:24">
      <c r="A3" s="90" t="s">
        <v>27</v>
      </c>
      <c r="B3" s="24">
        <v>50000</v>
      </c>
      <c r="C3" s="23">
        <v>60</v>
      </c>
      <c r="D3" s="23">
        <v>72</v>
      </c>
      <c r="E3" s="23">
        <v>220</v>
      </c>
      <c r="F3" s="24">
        <v>950400</v>
      </c>
      <c r="G3" s="24">
        <v>40</v>
      </c>
      <c r="H3" s="23">
        <v>60</v>
      </c>
      <c r="I3" s="23">
        <v>8</v>
      </c>
      <c r="J3" s="233" t="str">
        <f t="shared" si="0"/>
        <v>OK</v>
      </c>
      <c r="K3" s="25">
        <f t="shared" si="1"/>
        <v>3</v>
      </c>
      <c r="L3" s="25">
        <f t="shared" si="2"/>
        <v>24</v>
      </c>
      <c r="M3" s="26">
        <f t="shared" si="3"/>
        <v>5280</v>
      </c>
      <c r="N3" s="26">
        <f t="shared" si="4"/>
        <v>15840</v>
      </c>
      <c r="O3" s="70">
        <f t="shared" si="5"/>
        <v>180</v>
      </c>
      <c r="P3" s="26">
        <f t="shared" si="6"/>
        <v>15660</v>
      </c>
      <c r="Q3" s="26">
        <f t="shared" si="7"/>
        <v>889600</v>
      </c>
      <c r="R3" s="71">
        <f t="shared" si="8"/>
        <v>14826.666666666666</v>
      </c>
      <c r="S3" s="59">
        <f t="shared" si="9"/>
        <v>617.77777777777783</v>
      </c>
      <c r="T3" s="70">
        <f t="shared" si="10"/>
        <v>120</v>
      </c>
      <c r="U3" s="72">
        <f t="shared" si="11"/>
        <v>3.1928480204342273</v>
      </c>
      <c r="V3" s="24">
        <v>50</v>
      </c>
      <c r="W3" s="26">
        <f t="shared" si="12"/>
        <v>18792</v>
      </c>
      <c r="X3" s="70">
        <f t="shared" si="13"/>
        <v>144</v>
      </c>
    </row>
    <row r="4" spans="1:24">
      <c r="A4" s="90" t="s">
        <v>30</v>
      </c>
      <c r="B4" s="24">
        <v>180000</v>
      </c>
      <c r="C4" s="23">
        <v>25</v>
      </c>
      <c r="D4" s="23">
        <v>72</v>
      </c>
      <c r="E4" s="23">
        <v>390</v>
      </c>
      <c r="F4" s="24">
        <v>702000</v>
      </c>
      <c r="G4" s="24">
        <v>40</v>
      </c>
      <c r="H4" s="23">
        <v>120</v>
      </c>
      <c r="I4" s="23">
        <v>8</v>
      </c>
      <c r="J4" s="233" t="str">
        <f t="shared" si="0"/>
        <v>OK</v>
      </c>
      <c r="K4" s="25">
        <f t="shared" si="1"/>
        <v>3</v>
      </c>
      <c r="L4" s="25">
        <f t="shared" si="2"/>
        <v>24</v>
      </c>
      <c r="M4" s="26">
        <f t="shared" si="3"/>
        <v>9360</v>
      </c>
      <c r="N4" s="26">
        <f t="shared" si="4"/>
        <v>28080</v>
      </c>
      <c r="O4" s="70">
        <f t="shared" si="5"/>
        <v>360</v>
      </c>
      <c r="P4" s="26">
        <f t="shared" si="6"/>
        <v>27720</v>
      </c>
      <c r="Q4" s="26">
        <f t="shared" si="7"/>
        <v>513000</v>
      </c>
      <c r="R4" s="71">
        <f t="shared" si="8"/>
        <v>20520</v>
      </c>
      <c r="S4" s="59">
        <f t="shared" si="9"/>
        <v>855</v>
      </c>
      <c r="T4" s="70">
        <f t="shared" si="10"/>
        <v>120</v>
      </c>
      <c r="U4" s="72">
        <f>B4/P4</f>
        <v>6.4935064935064934</v>
      </c>
      <c r="V4" s="24">
        <v>79</v>
      </c>
      <c r="W4" s="26">
        <f t="shared" si="12"/>
        <v>8772.1518987341769</v>
      </c>
      <c r="X4" s="70">
        <f t="shared" si="13"/>
        <v>37.974683544303801</v>
      </c>
    </row>
    <row r="5" spans="1:24">
      <c r="A5" s="90" t="s">
        <v>96</v>
      </c>
      <c r="B5" s="24">
        <v>0</v>
      </c>
      <c r="C5" s="23">
        <v>14</v>
      </c>
      <c r="D5" s="23">
        <v>93</v>
      </c>
      <c r="E5" s="23">
        <v>379</v>
      </c>
      <c r="F5" s="24">
        <v>493458</v>
      </c>
      <c r="G5" s="24">
        <v>40</v>
      </c>
      <c r="H5" s="23">
        <v>120</v>
      </c>
      <c r="I5" s="23">
        <v>8</v>
      </c>
      <c r="J5" s="233" t="str">
        <f t="shared" si="0"/>
        <v>OK</v>
      </c>
      <c r="K5" s="25">
        <f t="shared" si="1"/>
        <v>3</v>
      </c>
      <c r="L5" s="25">
        <f t="shared" si="2"/>
        <v>31</v>
      </c>
      <c r="M5" s="26">
        <f t="shared" si="3"/>
        <v>11749</v>
      </c>
      <c r="N5" s="26">
        <f t="shared" si="4"/>
        <v>35247</v>
      </c>
      <c r="O5" s="70">
        <f t="shared" si="5"/>
        <v>360</v>
      </c>
      <c r="P5" s="26">
        <f t="shared" si="6"/>
        <v>34887</v>
      </c>
      <c r="Q5" s="26">
        <f t="shared" si="7"/>
        <v>488418</v>
      </c>
      <c r="R5" s="71">
        <f t="shared" si="8"/>
        <v>34887</v>
      </c>
      <c r="S5" s="59">
        <f t="shared" si="9"/>
        <v>1453.625</v>
      </c>
      <c r="T5" s="70">
        <f t="shared" si="10"/>
        <v>120</v>
      </c>
      <c r="U5" s="72">
        <f t="shared" si="11"/>
        <v>0</v>
      </c>
      <c r="V5" s="24">
        <v>69</v>
      </c>
      <c r="W5" s="26">
        <f t="shared" si="12"/>
        <v>7078.521739130435</v>
      </c>
      <c r="X5" s="70">
        <f t="shared" si="13"/>
        <v>24.347826086956523</v>
      </c>
    </row>
    <row r="6" spans="1:24">
      <c r="A6" s="90" t="s">
        <v>97</v>
      </c>
      <c r="B6" s="24">
        <v>0</v>
      </c>
      <c r="C6" s="23">
        <v>7</v>
      </c>
      <c r="D6" s="23">
        <v>72</v>
      </c>
      <c r="E6" s="23">
        <v>320</v>
      </c>
      <c r="F6" s="24">
        <v>161280</v>
      </c>
      <c r="G6" s="24">
        <v>40</v>
      </c>
      <c r="H6" s="23">
        <v>120</v>
      </c>
      <c r="I6" s="23">
        <v>8</v>
      </c>
      <c r="J6" s="233" t="str">
        <f t="shared" si="0"/>
        <v>OK</v>
      </c>
      <c r="K6" s="25">
        <f t="shared" si="1"/>
        <v>3</v>
      </c>
      <c r="L6" s="25">
        <f t="shared" si="2"/>
        <v>24</v>
      </c>
      <c r="M6" s="26">
        <f t="shared" si="3"/>
        <v>7680</v>
      </c>
      <c r="N6" s="26">
        <f t="shared" si="4"/>
        <v>23040</v>
      </c>
      <c r="O6" s="70">
        <f t="shared" si="5"/>
        <v>360</v>
      </c>
      <c r="P6" s="26">
        <f t="shared" si="6"/>
        <v>22680</v>
      </c>
      <c r="Q6" s="26">
        <f t="shared" si="7"/>
        <v>158760</v>
      </c>
      <c r="R6" s="71">
        <f t="shared" si="8"/>
        <v>22680</v>
      </c>
      <c r="S6" s="59">
        <f t="shared" si="9"/>
        <v>945</v>
      </c>
      <c r="T6" s="70">
        <f t="shared" si="10"/>
        <v>120</v>
      </c>
      <c r="U6" s="72">
        <f t="shared" si="11"/>
        <v>0</v>
      </c>
      <c r="V6" s="24">
        <v>28</v>
      </c>
      <c r="W6" s="26">
        <f t="shared" si="12"/>
        <v>5670</v>
      </c>
      <c r="X6" s="70">
        <f t="shared" si="13"/>
        <v>30</v>
      </c>
    </row>
    <row r="7" spans="1:24">
      <c r="A7" s="90" t="s">
        <v>98</v>
      </c>
      <c r="B7" s="24">
        <v>0</v>
      </c>
      <c r="C7" s="23">
        <v>26</v>
      </c>
      <c r="D7" s="23">
        <v>60</v>
      </c>
      <c r="E7" s="23">
        <v>420</v>
      </c>
      <c r="F7" s="24">
        <v>655200</v>
      </c>
      <c r="G7" s="24">
        <v>40</v>
      </c>
      <c r="H7" s="23">
        <v>120</v>
      </c>
      <c r="I7" s="23">
        <v>8</v>
      </c>
      <c r="J7" s="233" t="str">
        <f t="shared" si="0"/>
        <v>OK</v>
      </c>
      <c r="K7" s="25">
        <f t="shared" si="1"/>
        <v>3</v>
      </c>
      <c r="L7" s="25">
        <f t="shared" si="2"/>
        <v>20</v>
      </c>
      <c r="M7" s="26">
        <f t="shared" si="3"/>
        <v>8400</v>
      </c>
      <c r="N7" s="26">
        <f t="shared" si="4"/>
        <v>25200</v>
      </c>
      <c r="O7" s="70">
        <f t="shared" si="5"/>
        <v>360</v>
      </c>
      <c r="P7" s="26">
        <f t="shared" si="6"/>
        <v>24840</v>
      </c>
      <c r="Q7" s="26">
        <f t="shared" si="7"/>
        <v>645840</v>
      </c>
      <c r="R7" s="71">
        <f t="shared" si="8"/>
        <v>24840</v>
      </c>
      <c r="S7" s="59">
        <f t="shared" si="9"/>
        <v>1035</v>
      </c>
      <c r="T7" s="70">
        <f t="shared" si="10"/>
        <v>120</v>
      </c>
      <c r="U7" s="72">
        <f t="shared" si="11"/>
        <v>0</v>
      </c>
      <c r="V7" s="24">
        <v>99</v>
      </c>
      <c r="W7" s="26">
        <f t="shared" si="12"/>
        <v>6523.636363636364</v>
      </c>
      <c r="X7" s="70">
        <f t="shared" si="13"/>
        <v>31.515151515151516</v>
      </c>
    </row>
    <row r="8" spans="1:24" s="1" customFormat="1">
      <c r="A8" s="90" t="s">
        <v>56</v>
      </c>
      <c r="B8" s="73">
        <f t="shared" ref="B8:H8" si="14">SUM(B2:B7)</f>
        <v>238000</v>
      </c>
      <c r="C8" s="74"/>
      <c r="D8" s="74">
        <f t="shared" si="14"/>
        <v>429</v>
      </c>
      <c r="E8" s="74">
        <f t="shared" si="14"/>
        <v>1889</v>
      </c>
      <c r="F8" s="73">
        <f t="shared" si="14"/>
        <v>3250338</v>
      </c>
      <c r="G8" s="73">
        <f t="shared" si="14"/>
        <v>240</v>
      </c>
      <c r="H8" s="74">
        <f t="shared" si="14"/>
        <v>580</v>
      </c>
      <c r="I8" s="75"/>
      <c r="J8" s="234"/>
      <c r="K8" s="75"/>
      <c r="L8" s="76">
        <f t="shared" ref="L8:T8" si="15">SUM(L2:L7)</f>
        <v>143</v>
      </c>
      <c r="M8" s="73">
        <f t="shared" si="15"/>
        <v>45669</v>
      </c>
      <c r="N8" s="73">
        <f t="shared" si="15"/>
        <v>137007</v>
      </c>
      <c r="O8" s="77">
        <f t="shared" si="15"/>
        <v>1740</v>
      </c>
      <c r="P8" s="73">
        <f t="shared" si="15"/>
        <v>135267</v>
      </c>
      <c r="Q8" s="73">
        <f t="shared" si="15"/>
        <v>2972018</v>
      </c>
      <c r="R8" s="78">
        <f t="shared" si="15"/>
        <v>126967</v>
      </c>
      <c r="S8" s="78">
        <f t="shared" si="15"/>
        <v>5290.291666666667</v>
      </c>
      <c r="T8" s="76">
        <f t="shared" si="15"/>
        <v>720</v>
      </c>
      <c r="U8" s="79"/>
      <c r="V8" s="73">
        <f>SUM(V2:V7)</f>
        <v>334</v>
      </c>
      <c r="W8" s="73">
        <f>SUMPRODUCT(W2:W7,V2:V7)/V8</f>
        <v>9610.8323353293417</v>
      </c>
      <c r="X8" s="236">
        <f>SUMPRODUCT(X2:X7,V2:V7)/V8</f>
        <v>58.203592814371255</v>
      </c>
    </row>
    <row r="10" spans="1:24">
      <c r="A10" t="s">
        <v>83</v>
      </c>
    </row>
    <row r="11" spans="1:24">
      <c r="A11" t="s">
        <v>84</v>
      </c>
    </row>
    <row r="12" spans="1:24">
      <c r="A12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6"/>
  <sheetViews>
    <sheetView zoomScale="85" zoomScaleNormal="85" workbookViewId="0">
      <pane ySplit="1" topLeftCell="A2" activePane="bottomLeft" state="frozen"/>
      <selection pane="bottomLeft" activeCell="S34" sqref="S34"/>
    </sheetView>
  </sheetViews>
  <sheetFormatPr defaultRowHeight="15"/>
  <cols>
    <col min="1" max="1" width="7.28515625" style="90" bestFit="1" customWidth="1"/>
    <col min="2" max="2" width="8.5703125" style="5" bestFit="1" customWidth="1"/>
    <col min="3" max="3" width="4.85546875" bestFit="1" customWidth="1"/>
    <col min="4" max="4" width="6.42578125" bestFit="1" customWidth="1"/>
    <col min="5" max="5" width="6.5703125" style="5" bestFit="1" customWidth="1"/>
    <col min="6" max="6" width="9.85546875" style="5" bestFit="1" customWidth="1"/>
    <col min="7" max="7" width="6" style="5" bestFit="1" customWidth="1"/>
    <col min="8" max="8" width="7.7109375" bestFit="1" customWidth="1"/>
    <col min="9" max="9" width="8.28515625" bestFit="1" customWidth="1"/>
    <col min="10" max="10" width="3.5703125" bestFit="1" customWidth="1"/>
    <col min="11" max="11" width="3.5703125" customWidth="1"/>
    <col min="12" max="12" width="8.140625" bestFit="1" customWidth="1"/>
    <col min="13" max="13" width="8.7109375" style="5" bestFit="1" customWidth="1"/>
    <col min="14" max="14" width="8.5703125" style="5" customWidth="1"/>
    <col min="15" max="15" width="7.7109375" style="1" bestFit="1" customWidth="1"/>
    <col min="16" max="16" width="5.28515625" bestFit="1" customWidth="1"/>
    <col min="17" max="17" width="4.85546875" style="5" bestFit="1" customWidth="1"/>
    <col min="18" max="18" width="7.42578125" style="5" bestFit="1" customWidth="1"/>
    <col min="19" max="19" width="6" bestFit="1" customWidth="1"/>
    <col min="20" max="21" width="4.140625" bestFit="1" customWidth="1"/>
    <col min="22" max="22" width="4.28515625" bestFit="1" customWidth="1"/>
    <col min="23" max="23" width="4.140625" bestFit="1" customWidth="1"/>
  </cols>
  <sheetData>
    <row r="1" spans="1:23" s="1" customFormat="1">
      <c r="A1" s="90" t="s">
        <v>0</v>
      </c>
      <c r="B1" s="4" t="s">
        <v>1</v>
      </c>
      <c r="C1" s="1" t="s">
        <v>24</v>
      </c>
      <c r="D1" s="1" t="s">
        <v>94</v>
      </c>
      <c r="E1" s="4" t="s">
        <v>89</v>
      </c>
      <c r="F1" s="4" t="s">
        <v>95</v>
      </c>
      <c r="G1" s="4" t="s">
        <v>71</v>
      </c>
      <c r="H1" s="1" t="s">
        <v>80</v>
      </c>
      <c r="I1" s="1" t="s">
        <v>93</v>
      </c>
      <c r="K1" s="1" t="s">
        <v>91</v>
      </c>
      <c r="L1" s="1" t="s">
        <v>87</v>
      </c>
      <c r="M1" s="4" t="s">
        <v>9</v>
      </c>
      <c r="N1" s="4" t="s">
        <v>73</v>
      </c>
      <c r="O1" s="1" t="s">
        <v>72</v>
      </c>
      <c r="P1" s="1" t="s">
        <v>79</v>
      </c>
      <c r="Q1" s="4" t="s">
        <v>125</v>
      </c>
      <c r="R1" s="4" t="s">
        <v>212</v>
      </c>
      <c r="S1" s="1" t="s">
        <v>175</v>
      </c>
      <c r="T1" s="1">
        <v>2</v>
      </c>
      <c r="U1" s="1">
        <v>3</v>
      </c>
      <c r="V1" s="1">
        <v>4</v>
      </c>
      <c r="W1" s="1">
        <v>5</v>
      </c>
    </row>
    <row r="2" spans="1:23">
      <c r="A2" s="90" t="s">
        <v>29</v>
      </c>
      <c r="B2" s="128">
        <v>100000</v>
      </c>
      <c r="C2" s="28">
        <v>7</v>
      </c>
      <c r="D2" s="28">
        <v>100</v>
      </c>
      <c r="E2" s="29">
        <v>1800</v>
      </c>
      <c r="F2" s="29">
        <v>180000</v>
      </c>
      <c r="G2" s="29">
        <v>60</v>
      </c>
      <c r="H2" s="28">
        <v>60</v>
      </c>
      <c r="I2" s="28">
        <v>12</v>
      </c>
      <c r="J2" s="237" t="str">
        <f>IF(F2=D2*E2,"OK","ERRO")</f>
        <v>OK</v>
      </c>
      <c r="K2" s="237">
        <f>24/I2</f>
        <v>2</v>
      </c>
      <c r="L2" s="238">
        <f>H2*K2</f>
        <v>120</v>
      </c>
      <c r="M2" s="31">
        <f>F2-B2-C2*L2</f>
        <v>79160</v>
      </c>
      <c r="N2" s="31">
        <f>M2/C2</f>
        <v>11308.571428571429</v>
      </c>
      <c r="O2" s="239">
        <f>M2/(C2*24)</f>
        <v>471.1904761904762</v>
      </c>
      <c r="P2" s="238">
        <f>G2*K2</f>
        <v>120</v>
      </c>
      <c r="Q2" s="29">
        <v>100</v>
      </c>
      <c r="R2" s="31">
        <f>(F2-L2*C2)/Q2</f>
        <v>1791.6</v>
      </c>
      <c r="S2" s="241">
        <f>P2*C2/Q2</f>
        <v>8.4</v>
      </c>
      <c r="T2" s="240">
        <v>1</v>
      </c>
      <c r="U2" s="244">
        <v>2</v>
      </c>
      <c r="V2" s="240">
        <v>2</v>
      </c>
      <c r="W2" s="240">
        <v>2</v>
      </c>
    </row>
    <row r="3" spans="1:23">
      <c r="A3" s="90" t="s">
        <v>31</v>
      </c>
      <c r="B3" s="129">
        <v>100000</v>
      </c>
      <c r="C3" s="36">
        <v>10</v>
      </c>
      <c r="D3" s="36">
        <v>160</v>
      </c>
      <c r="E3" s="37">
        <v>1299</v>
      </c>
      <c r="F3" s="37">
        <v>207840</v>
      </c>
      <c r="G3" s="37">
        <v>60</v>
      </c>
      <c r="H3" s="36">
        <v>80</v>
      </c>
      <c r="I3" s="36">
        <v>12</v>
      </c>
      <c r="J3" s="163" t="str">
        <f>IF(F3=D3*E3,"OK","ERRO")</f>
        <v>OK</v>
      </c>
      <c r="K3" s="163">
        <f>24/I3</f>
        <v>2</v>
      </c>
      <c r="L3" s="242">
        <f>H3*K3</f>
        <v>160</v>
      </c>
      <c r="M3" s="39">
        <f>F3-B3-C3*L3</f>
        <v>106240</v>
      </c>
      <c r="N3" s="39">
        <f>M3/C3</f>
        <v>10624</v>
      </c>
      <c r="O3" s="243">
        <f>M3/(C3*24)</f>
        <v>442.66666666666669</v>
      </c>
      <c r="P3" s="242">
        <f>G3*K3</f>
        <v>120</v>
      </c>
      <c r="Q3" s="37">
        <v>100</v>
      </c>
      <c r="R3" s="31">
        <f>(F3-L3*C3)/Q3</f>
        <v>2062.4</v>
      </c>
      <c r="S3" s="245">
        <f>P3*C3/Q3</f>
        <v>12</v>
      </c>
      <c r="T3" s="244">
        <v>3</v>
      </c>
      <c r="U3" s="244">
        <v>2</v>
      </c>
      <c r="V3" s="244">
        <v>3</v>
      </c>
      <c r="W3" s="244">
        <v>2</v>
      </c>
    </row>
    <row r="4" spans="1:23">
      <c r="A4" s="90" t="s">
        <v>99</v>
      </c>
      <c r="B4" s="129">
        <v>0</v>
      </c>
      <c r="C4" s="36">
        <v>6</v>
      </c>
      <c r="D4" s="36">
        <v>630</v>
      </c>
      <c r="E4" s="37">
        <v>388</v>
      </c>
      <c r="F4" s="37">
        <v>244440</v>
      </c>
      <c r="G4" s="37">
        <v>60</v>
      </c>
      <c r="H4" s="36">
        <v>80</v>
      </c>
      <c r="I4" s="36">
        <v>12</v>
      </c>
      <c r="J4" s="163" t="str">
        <f>IF(F4=D4*E4,"OK","ERRO")</f>
        <v>OK</v>
      </c>
      <c r="K4" s="163">
        <f>24/I4</f>
        <v>2</v>
      </c>
      <c r="L4" s="242">
        <f>H4*K4</f>
        <v>160</v>
      </c>
      <c r="M4" s="39">
        <f>F4-B4-C4*L4</f>
        <v>243480</v>
      </c>
      <c r="N4" s="39">
        <f>M4/C4</f>
        <v>40580</v>
      </c>
      <c r="O4" s="243">
        <f>M4/(C4*24)</f>
        <v>1690.8333333333333</v>
      </c>
      <c r="P4" s="242">
        <f>G4*K4</f>
        <v>120</v>
      </c>
      <c r="Q4" s="37">
        <v>59</v>
      </c>
      <c r="R4" s="31">
        <f>(F4-L4*C4)/Q4</f>
        <v>4126.7796610169489</v>
      </c>
      <c r="S4" s="245">
        <f>P4*C4/Q4</f>
        <v>12.203389830508474</v>
      </c>
      <c r="T4" s="244"/>
      <c r="U4" s="244"/>
      <c r="V4" s="244"/>
      <c r="W4" s="244"/>
    </row>
    <row r="5" spans="1:23">
      <c r="A5" s="90" t="s">
        <v>100</v>
      </c>
      <c r="B5" s="129">
        <v>0</v>
      </c>
      <c r="C5" s="36">
        <v>7</v>
      </c>
      <c r="D5" s="36">
        <v>480</v>
      </c>
      <c r="E5" s="37">
        <v>298</v>
      </c>
      <c r="F5" s="37">
        <v>143040</v>
      </c>
      <c r="G5" s="37">
        <v>60</v>
      </c>
      <c r="H5" s="36">
        <v>80</v>
      </c>
      <c r="I5" s="36">
        <v>12</v>
      </c>
      <c r="J5" s="163" t="str">
        <f>IF(F5=D5*E5,"OK","ERRO")</f>
        <v>OK</v>
      </c>
      <c r="K5" s="163">
        <f>24/I5</f>
        <v>2</v>
      </c>
      <c r="L5" s="242">
        <f>H5*K5</f>
        <v>160</v>
      </c>
      <c r="M5" s="39">
        <f>F5-B5-C5*L5</f>
        <v>141920</v>
      </c>
      <c r="N5" s="39">
        <f>M5/C5</f>
        <v>20274.285714285714</v>
      </c>
      <c r="O5" s="243">
        <f>M5/(C5*24)</f>
        <v>844.76190476190482</v>
      </c>
      <c r="P5" s="242">
        <f>G5*K5</f>
        <v>120</v>
      </c>
      <c r="Q5" s="37">
        <v>36</v>
      </c>
      <c r="R5" s="31">
        <f>(F5-L5*C5)/Q5</f>
        <v>3942.2222222222222</v>
      </c>
      <c r="S5" s="245">
        <f>P5*C5/Q5</f>
        <v>23.333333333333332</v>
      </c>
      <c r="T5" s="244"/>
      <c r="U5" s="244"/>
      <c r="V5" s="244"/>
      <c r="W5" s="244"/>
    </row>
    <row r="6" spans="1:23" s="1" customFormat="1">
      <c r="A6" s="90" t="s">
        <v>56</v>
      </c>
      <c r="B6" s="246">
        <f t="shared" ref="B6:O6" si="0">SUM(B2:B5)</f>
        <v>200000</v>
      </c>
      <c r="C6" s="247"/>
      <c r="D6" s="247">
        <f t="shared" si="0"/>
        <v>1370</v>
      </c>
      <c r="E6" s="85">
        <f t="shared" si="0"/>
        <v>3785</v>
      </c>
      <c r="F6" s="85">
        <f t="shared" si="0"/>
        <v>775320</v>
      </c>
      <c r="G6" s="85">
        <f t="shared" si="0"/>
        <v>240</v>
      </c>
      <c r="H6" s="248">
        <f t="shared" si="0"/>
        <v>300</v>
      </c>
      <c r="I6" s="248"/>
      <c r="J6" s="247"/>
      <c r="K6" s="247"/>
      <c r="L6" s="249">
        <f t="shared" si="0"/>
        <v>600</v>
      </c>
      <c r="M6" s="85">
        <f t="shared" si="0"/>
        <v>570800</v>
      </c>
      <c r="N6" s="85">
        <f t="shared" si="0"/>
        <v>82786.857142857145</v>
      </c>
      <c r="O6" s="250">
        <f t="shared" si="0"/>
        <v>3449.4523809523807</v>
      </c>
      <c r="P6" s="249">
        <f>SUM(P2:P5)</f>
        <v>480</v>
      </c>
      <c r="Q6" s="85">
        <f>SUM(Q2:Q5)</f>
        <v>295</v>
      </c>
      <c r="R6" s="85">
        <f>(F6-L6*C6)/Q6</f>
        <v>2628.2033898305085</v>
      </c>
      <c r="S6" s="251">
        <f>SUMPRODUCT(S2:S5,Q2:Q5)/Q6</f>
        <v>12.203389830508474</v>
      </c>
      <c r="T6" s="248"/>
      <c r="U6" s="248"/>
      <c r="V6" s="248"/>
      <c r="W6" s="24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26"/>
  <sheetViews>
    <sheetView zoomScaleNormal="100" workbookViewId="0">
      <pane ySplit="1" topLeftCell="A2" activePane="bottomLeft" state="frozen"/>
      <selection pane="bottomLeft" activeCell="B7" sqref="B7:C7"/>
    </sheetView>
  </sheetViews>
  <sheetFormatPr defaultRowHeight="15"/>
  <cols>
    <col min="1" max="1" width="16.42578125" bestFit="1" customWidth="1"/>
    <col min="2" max="2" width="8.42578125" style="5" bestFit="1" customWidth="1"/>
    <col min="3" max="3" width="8.140625" style="5" bestFit="1" customWidth="1"/>
    <col min="4" max="4" width="7.140625" style="5" bestFit="1" customWidth="1"/>
    <col min="5" max="5" width="4.85546875" style="5" bestFit="1" customWidth="1"/>
    <col min="6" max="6" width="4.42578125" style="4" bestFit="1" customWidth="1"/>
    <col min="7" max="7" width="7.42578125" style="4" bestFit="1" customWidth="1"/>
    <col min="8" max="8" width="6.28515625" style="263" bestFit="1" customWidth="1"/>
    <col min="9" max="9" width="6" style="277" bestFit="1" customWidth="1"/>
    <col min="10" max="10" width="6.5703125" style="262" bestFit="1" customWidth="1"/>
    <col min="11" max="11" width="5.28515625" style="4" bestFit="1" customWidth="1"/>
    <col min="12" max="12" width="6.42578125" style="271" bestFit="1" customWidth="1"/>
    <col min="13" max="13" width="8" style="127" bestFit="1" customWidth="1"/>
    <col min="14" max="14" width="6" style="10" customWidth="1"/>
    <col min="15" max="19" width="4.140625" bestFit="1" customWidth="1"/>
    <col min="20" max="20" width="3.42578125" style="260" customWidth="1"/>
    <col min="21" max="23" width="2.140625" style="281" bestFit="1" customWidth="1"/>
    <col min="24" max="24" width="2" style="281" bestFit="1" customWidth="1"/>
    <col min="25" max="25" width="10.42578125" style="5" bestFit="1" customWidth="1"/>
    <col min="26" max="26" width="7.140625" style="5" bestFit="1" customWidth="1"/>
    <col min="27" max="27" width="5.140625" style="235" bestFit="1" customWidth="1"/>
    <col min="28" max="28" width="5.7109375" style="125" bestFit="1" customWidth="1"/>
  </cols>
  <sheetData>
    <row r="1" spans="1:28" s="1" customFormat="1">
      <c r="A1" s="1" t="s">
        <v>0</v>
      </c>
      <c r="B1" s="136" t="s">
        <v>50</v>
      </c>
      <c r="C1" s="136" t="s">
        <v>53</v>
      </c>
      <c r="D1" s="136" t="s">
        <v>161</v>
      </c>
      <c r="E1" s="136" t="s">
        <v>82</v>
      </c>
      <c r="F1" s="136" t="s">
        <v>213</v>
      </c>
      <c r="G1" s="4" t="s">
        <v>196</v>
      </c>
      <c r="H1" s="127" t="s">
        <v>43</v>
      </c>
      <c r="I1" s="275" t="s">
        <v>175</v>
      </c>
      <c r="J1" s="261" t="s">
        <v>75</v>
      </c>
      <c r="K1" s="136" t="s">
        <v>79</v>
      </c>
      <c r="L1" s="271" t="s">
        <v>214</v>
      </c>
      <c r="M1" s="127" t="s">
        <v>215</v>
      </c>
      <c r="N1" s="10" t="s">
        <v>219</v>
      </c>
      <c r="O1" s="1" t="s">
        <v>216</v>
      </c>
      <c r="T1" s="259"/>
      <c r="U1" s="279">
        <v>1</v>
      </c>
      <c r="V1" s="279">
        <v>2</v>
      </c>
      <c r="W1" s="279">
        <v>3</v>
      </c>
      <c r="X1" s="279" t="s">
        <v>231</v>
      </c>
      <c r="Y1" s="4" t="s">
        <v>229</v>
      </c>
      <c r="Z1" s="4" t="s">
        <v>230</v>
      </c>
      <c r="AA1" s="232"/>
      <c r="AB1" s="308"/>
    </row>
    <row r="2" spans="1:28">
      <c r="A2" t="s">
        <v>149</v>
      </c>
      <c r="B2" s="29"/>
      <c r="C2" s="29">
        <v>10</v>
      </c>
      <c r="D2" s="29">
        <v>16</v>
      </c>
      <c r="E2" s="29">
        <v>100</v>
      </c>
      <c r="F2" s="268">
        <v>22</v>
      </c>
      <c r="G2" s="278"/>
      <c r="H2" s="264"/>
      <c r="I2" s="274">
        <f>IF(C2=0,0,$E2/C2)</f>
        <v>10</v>
      </c>
      <c r="J2" s="266">
        <f>(E2+Param!$B$1+Param!$B$2)/D2</f>
        <v>6.625</v>
      </c>
      <c r="K2" s="202">
        <f>J2*24</f>
        <v>159</v>
      </c>
      <c r="L2" s="272"/>
      <c r="M2" s="270">
        <f t="shared" ref="M2:M10" si="0">IF(C2=0,0,F2/C2)</f>
        <v>2.2000000000000002</v>
      </c>
      <c r="N2" s="62">
        <f>24*F2/D2</f>
        <v>33</v>
      </c>
      <c r="O2" s="166">
        <v>0.16666666666666666</v>
      </c>
      <c r="P2" s="166">
        <v>0.16666666666666666</v>
      </c>
      <c r="Q2" s="166">
        <v>0.16666666666666666</v>
      </c>
      <c r="R2" s="166">
        <v>0</v>
      </c>
      <c r="S2" s="258">
        <v>0.16666666666666666</v>
      </c>
      <c r="T2" s="64" t="str">
        <f t="shared" ref="T2:T14" si="1">IF(SUM(O2:S2)=D2/24,"OK")</f>
        <v>OK</v>
      </c>
      <c r="U2" s="280"/>
      <c r="V2" s="280"/>
      <c r="W2" s="309"/>
      <c r="X2" s="311"/>
      <c r="Y2" s="282"/>
      <c r="Z2" s="282"/>
    </row>
    <row r="3" spans="1:28">
      <c r="A3" t="s">
        <v>226</v>
      </c>
      <c r="B3" s="29"/>
      <c r="C3" s="29">
        <v>18</v>
      </c>
      <c r="D3" s="29">
        <v>18</v>
      </c>
      <c r="E3" s="29">
        <v>180</v>
      </c>
      <c r="F3" s="268">
        <v>42</v>
      </c>
      <c r="G3" s="278"/>
      <c r="H3" s="264"/>
      <c r="I3" s="274">
        <f t="shared" ref="I3:I10" si="2">IF(C3=0,0,$E3/C3)</f>
        <v>10</v>
      </c>
      <c r="J3" s="266">
        <f>(E3+Param!$B$1+Param!$B$2)/D3</f>
        <v>10.333333333333334</v>
      </c>
      <c r="K3" s="202">
        <f t="shared" ref="K3:K19" si="3">J3*24</f>
        <v>248</v>
      </c>
      <c r="L3" s="272"/>
      <c r="M3" s="270">
        <f t="shared" si="0"/>
        <v>2.3333333333333335</v>
      </c>
      <c r="N3" s="62">
        <f t="shared" ref="N3:N19" si="4">24*F3/D3</f>
        <v>56</v>
      </c>
      <c r="O3" s="166">
        <v>0.16666666666666666</v>
      </c>
      <c r="P3" s="166">
        <v>0.125</v>
      </c>
      <c r="Q3" s="166">
        <v>0.16666666666666666</v>
      </c>
      <c r="R3" s="166">
        <v>0.125</v>
      </c>
      <c r="S3" s="258">
        <v>0.16666666666666666</v>
      </c>
      <c r="T3" s="64" t="str">
        <f t="shared" si="1"/>
        <v>OK</v>
      </c>
      <c r="U3" s="280"/>
      <c r="V3" s="280"/>
      <c r="W3" s="309"/>
      <c r="X3" s="310"/>
      <c r="Y3" s="282"/>
      <c r="Z3" s="282"/>
    </row>
    <row r="4" spans="1:28">
      <c r="A4" t="s">
        <v>150</v>
      </c>
      <c r="B4" s="37"/>
      <c r="C4" s="37">
        <v>14</v>
      </c>
      <c r="D4" s="37">
        <v>17</v>
      </c>
      <c r="E4" s="37">
        <v>140</v>
      </c>
      <c r="F4" s="269">
        <v>32</v>
      </c>
      <c r="G4" s="278"/>
      <c r="H4" s="265"/>
      <c r="I4" s="274">
        <f t="shared" si="2"/>
        <v>10</v>
      </c>
      <c r="J4" s="267">
        <f>(E4+Param!$B$1+Param!$B$2)/D4</f>
        <v>8.5882352941176467</v>
      </c>
      <c r="K4" s="131">
        <f t="shared" si="3"/>
        <v>206.11764705882354</v>
      </c>
      <c r="L4" s="273"/>
      <c r="M4" s="160">
        <f t="shared" si="0"/>
        <v>2.2857142857142856</v>
      </c>
      <c r="N4" s="66">
        <f t="shared" si="4"/>
        <v>45.176470588235297</v>
      </c>
      <c r="O4" s="166">
        <v>0.125</v>
      </c>
      <c r="P4" s="166">
        <v>0.125</v>
      </c>
      <c r="Q4" s="166">
        <v>0.16666666666666666</v>
      </c>
      <c r="R4" s="166">
        <v>0.125</v>
      </c>
      <c r="S4" s="258">
        <v>0.16666666666666666</v>
      </c>
      <c r="T4" s="64" t="str">
        <f t="shared" si="1"/>
        <v>OK</v>
      </c>
      <c r="U4" s="280"/>
      <c r="V4" s="280"/>
      <c r="W4" s="309"/>
      <c r="X4" s="310"/>
      <c r="Y4" s="282"/>
      <c r="Z4" s="282"/>
    </row>
    <row r="5" spans="1:28">
      <c r="A5" t="s">
        <v>227</v>
      </c>
      <c r="B5" s="37"/>
      <c r="C5" s="37">
        <v>10</v>
      </c>
      <c r="D5" s="37">
        <v>19</v>
      </c>
      <c r="E5" s="37">
        <v>120</v>
      </c>
      <c r="F5" s="269">
        <v>27</v>
      </c>
      <c r="G5" s="278"/>
      <c r="H5" s="265"/>
      <c r="I5" s="274">
        <f t="shared" si="2"/>
        <v>12</v>
      </c>
      <c r="J5" s="267">
        <f>(E5+Param!$B$1+Param!$B$2)/D5</f>
        <v>6.6315789473684212</v>
      </c>
      <c r="K5" s="131">
        <f t="shared" si="3"/>
        <v>159.15789473684211</v>
      </c>
      <c r="L5" s="273"/>
      <c r="M5" s="160">
        <f t="shared" si="0"/>
        <v>2.7</v>
      </c>
      <c r="N5" s="66">
        <f t="shared" si="4"/>
        <v>34.10526315789474</v>
      </c>
      <c r="O5" s="166">
        <v>0.16666666666666666</v>
      </c>
      <c r="P5" s="166">
        <v>0.125</v>
      </c>
      <c r="Q5" s="166">
        <v>0.16666666666666666</v>
      </c>
      <c r="R5" s="166">
        <v>0.16666666666666666</v>
      </c>
      <c r="S5" s="258">
        <v>0.16666666666666666</v>
      </c>
      <c r="T5" s="64" t="str">
        <f t="shared" si="1"/>
        <v>OK</v>
      </c>
      <c r="U5" s="280"/>
      <c r="V5" s="280"/>
      <c r="W5" s="309"/>
      <c r="X5" s="310"/>
      <c r="Y5" s="282"/>
      <c r="Z5" s="282"/>
    </row>
    <row r="6" spans="1:28">
      <c r="A6" t="s">
        <v>152</v>
      </c>
      <c r="B6" s="37"/>
      <c r="C6" s="37">
        <v>20</v>
      </c>
      <c r="D6" s="37">
        <v>18</v>
      </c>
      <c r="E6" s="37">
        <v>200</v>
      </c>
      <c r="F6" s="269">
        <v>47</v>
      </c>
      <c r="G6" s="278"/>
      <c r="H6" s="265"/>
      <c r="I6" s="274">
        <f t="shared" si="2"/>
        <v>10</v>
      </c>
      <c r="J6" s="267">
        <f>(E6+Param!$B$1+Param!$B$2)/D6</f>
        <v>11.444444444444445</v>
      </c>
      <c r="K6" s="131">
        <f t="shared" si="3"/>
        <v>274.66666666666669</v>
      </c>
      <c r="L6" s="273"/>
      <c r="M6" s="160">
        <f t="shared" si="0"/>
        <v>2.35</v>
      </c>
      <c r="N6" s="66">
        <f t="shared" si="4"/>
        <v>62.666666666666664</v>
      </c>
      <c r="O6" s="166"/>
      <c r="P6" s="166"/>
      <c r="Q6" s="166"/>
      <c r="R6" s="166"/>
      <c r="S6" s="258">
        <v>0.16666666666666666</v>
      </c>
      <c r="T6" s="64" t="b">
        <f t="shared" si="1"/>
        <v>0</v>
      </c>
      <c r="U6" s="280"/>
      <c r="V6" s="280"/>
      <c r="W6" s="309"/>
      <c r="X6" s="310"/>
      <c r="Y6" s="282"/>
      <c r="Z6" s="282"/>
    </row>
    <row r="7" spans="1:28">
      <c r="A7" t="s">
        <v>153</v>
      </c>
      <c r="B7" s="37"/>
      <c r="C7" s="37">
        <v>16</v>
      </c>
      <c r="D7" s="37">
        <v>17</v>
      </c>
      <c r="E7" s="37">
        <v>160</v>
      </c>
      <c r="F7" s="269">
        <v>37</v>
      </c>
      <c r="G7" s="278"/>
      <c r="H7" s="265"/>
      <c r="I7" s="274">
        <f t="shared" si="2"/>
        <v>10</v>
      </c>
      <c r="J7" s="267">
        <f>(E7+Param!$B$1+Param!$B$2)/D7</f>
        <v>9.764705882352942</v>
      </c>
      <c r="K7" s="131">
        <f t="shared" si="3"/>
        <v>234.35294117647061</v>
      </c>
      <c r="L7" s="273"/>
      <c r="M7" s="160">
        <f t="shared" si="0"/>
        <v>2.3125</v>
      </c>
      <c r="N7" s="66">
        <f t="shared" si="4"/>
        <v>52.235294117647058</v>
      </c>
      <c r="O7" s="166">
        <v>0.125</v>
      </c>
      <c r="P7" s="166">
        <v>0.125</v>
      </c>
      <c r="Q7" s="166">
        <v>0.125</v>
      </c>
      <c r="R7" s="166">
        <v>0.16666666666666666</v>
      </c>
      <c r="S7" s="258">
        <v>0.16666666666666666</v>
      </c>
      <c r="T7" s="64" t="str">
        <f t="shared" si="1"/>
        <v>OK</v>
      </c>
      <c r="U7" s="280"/>
      <c r="V7" s="280"/>
      <c r="W7" s="309"/>
      <c r="X7" s="310"/>
      <c r="Y7" s="282"/>
      <c r="Z7" s="282"/>
    </row>
    <row r="8" spans="1:28">
      <c r="A8" t="s">
        <v>154</v>
      </c>
      <c r="B8" s="37"/>
      <c r="C8" s="37">
        <v>12</v>
      </c>
      <c r="D8" s="37">
        <v>16</v>
      </c>
      <c r="E8" s="37">
        <v>120</v>
      </c>
      <c r="F8" s="269">
        <v>27</v>
      </c>
      <c r="G8" s="278"/>
      <c r="H8" s="265"/>
      <c r="I8" s="274">
        <f t="shared" si="2"/>
        <v>10</v>
      </c>
      <c r="J8" s="267">
        <f>(E8+Param!$B$1+Param!$B$2)/D8</f>
        <v>7.875</v>
      </c>
      <c r="K8" s="131">
        <f t="shared" si="3"/>
        <v>189</v>
      </c>
      <c r="L8" s="273"/>
      <c r="M8" s="160">
        <f t="shared" si="0"/>
        <v>2.25</v>
      </c>
      <c r="N8" s="66">
        <f t="shared" si="4"/>
        <v>40.5</v>
      </c>
      <c r="O8" s="166">
        <v>0.125</v>
      </c>
      <c r="P8" s="166">
        <v>0.125</v>
      </c>
      <c r="Q8" s="166">
        <v>0.16666666666666666</v>
      </c>
      <c r="R8" s="166">
        <v>0.125</v>
      </c>
      <c r="S8" s="258">
        <v>0.125</v>
      </c>
      <c r="T8" s="64" t="str">
        <f t="shared" si="1"/>
        <v>OK</v>
      </c>
      <c r="U8" s="280"/>
      <c r="V8" s="280"/>
      <c r="W8" s="309"/>
      <c r="X8" s="310"/>
      <c r="Y8" s="282"/>
      <c r="Z8" s="282"/>
    </row>
    <row r="9" spans="1:28">
      <c r="A9" t="s">
        <v>155</v>
      </c>
      <c r="B9" s="37"/>
      <c r="C9" s="37">
        <v>26</v>
      </c>
      <c r="D9" s="37">
        <v>20</v>
      </c>
      <c r="E9" s="37">
        <v>260</v>
      </c>
      <c r="F9" s="269">
        <v>62</v>
      </c>
      <c r="G9" s="278"/>
      <c r="H9" s="265"/>
      <c r="I9" s="274">
        <f t="shared" si="2"/>
        <v>10</v>
      </c>
      <c r="J9" s="267">
        <f>(E9+Param!$B$1+Param!$B$2)/D9</f>
        <v>13.3</v>
      </c>
      <c r="K9" s="131">
        <f t="shared" si="3"/>
        <v>319.20000000000005</v>
      </c>
      <c r="L9" s="273"/>
      <c r="M9" s="160">
        <f t="shared" si="0"/>
        <v>2.3846153846153846</v>
      </c>
      <c r="N9" s="66">
        <f t="shared" si="4"/>
        <v>74.400000000000006</v>
      </c>
      <c r="O9" s="166"/>
      <c r="P9" s="166"/>
      <c r="Q9" s="166"/>
      <c r="R9" s="166"/>
      <c r="S9" s="258"/>
      <c r="T9" s="64" t="b">
        <f t="shared" si="1"/>
        <v>0</v>
      </c>
      <c r="U9" s="280"/>
      <c r="V9" s="280"/>
      <c r="W9" s="309"/>
      <c r="X9" s="310"/>
      <c r="Y9" s="282"/>
      <c r="Z9" s="282"/>
    </row>
    <row r="10" spans="1:28">
      <c r="A10" t="s">
        <v>156</v>
      </c>
      <c r="B10" s="37"/>
      <c r="C10" s="37">
        <v>22</v>
      </c>
      <c r="D10" s="37">
        <v>29</v>
      </c>
      <c r="E10" s="37">
        <v>220</v>
      </c>
      <c r="F10" s="269">
        <v>52</v>
      </c>
      <c r="G10" s="278"/>
      <c r="H10" s="265"/>
      <c r="I10" s="274">
        <f t="shared" si="2"/>
        <v>10</v>
      </c>
      <c r="J10" s="267">
        <f>(E10+Param!$B$1+Param!$B$2)/D10</f>
        <v>7.7931034482758621</v>
      </c>
      <c r="K10" s="131">
        <f t="shared" si="3"/>
        <v>187.0344827586207</v>
      </c>
      <c r="L10" s="273"/>
      <c r="M10" s="160">
        <f t="shared" si="0"/>
        <v>2.3636363636363638</v>
      </c>
      <c r="N10" s="66">
        <f t="shared" si="4"/>
        <v>43.03448275862069</v>
      </c>
      <c r="O10" s="166"/>
      <c r="P10" s="166"/>
      <c r="Q10" s="166"/>
      <c r="R10" s="166"/>
      <c r="S10" s="258"/>
      <c r="T10" s="64" t="b">
        <f t="shared" si="1"/>
        <v>0</v>
      </c>
      <c r="U10" s="280"/>
      <c r="V10" s="280"/>
      <c r="W10" s="309"/>
      <c r="X10" s="310"/>
      <c r="Y10" s="282"/>
      <c r="Z10" s="282"/>
    </row>
    <row r="11" spans="1:28">
      <c r="A11" t="s">
        <v>157</v>
      </c>
      <c r="B11" s="37">
        <v>11120</v>
      </c>
      <c r="C11" s="37"/>
      <c r="D11" s="37">
        <v>53</v>
      </c>
      <c r="E11" s="37">
        <v>85</v>
      </c>
      <c r="F11" s="269">
        <v>11</v>
      </c>
      <c r="G11" s="278">
        <f t="shared" ref="G11:G19" si="5">24*B11/D11</f>
        <v>5035.4716981132078</v>
      </c>
      <c r="H11" s="265">
        <f t="shared" ref="H11:H19" si="6">IF(B11=0,0,1000*$E11/B11)</f>
        <v>7.6438848920863309</v>
      </c>
      <c r="I11" s="276"/>
      <c r="J11" s="267">
        <f>(E11+Param!$B$1+Param!$B$2)/D11</f>
        <v>1.7169811320754718</v>
      </c>
      <c r="K11" s="131">
        <f>J11*24</f>
        <v>41.20754716981132</v>
      </c>
      <c r="L11" s="273">
        <f t="shared" ref="L11:L19" si="7">IF(B11=0,0,1000*F11/B11)</f>
        <v>0.98920863309352514</v>
      </c>
      <c r="M11" s="160"/>
      <c r="N11" s="66">
        <f>24*F11/D11</f>
        <v>4.9811320754716979</v>
      </c>
      <c r="O11" s="166">
        <v>0.41666666666666669</v>
      </c>
      <c r="P11" s="166">
        <v>0.41666666666666669</v>
      </c>
      <c r="Q11" s="166">
        <v>0.45833333333333331</v>
      </c>
      <c r="R11" s="166">
        <v>0.45833333333333331</v>
      </c>
      <c r="S11" s="258">
        <v>0.45833333333333331</v>
      </c>
      <c r="T11" s="64" t="str">
        <f t="shared" si="1"/>
        <v>OK</v>
      </c>
      <c r="U11" s="280"/>
      <c r="V11" s="280"/>
      <c r="W11" s="309"/>
      <c r="X11" s="310">
        <v>6</v>
      </c>
      <c r="Y11" s="282">
        <f>G11*X11</f>
        <v>30212.830188679247</v>
      </c>
      <c r="Z11" s="282">
        <f>N11*X11</f>
        <v>29.886792452830186</v>
      </c>
    </row>
    <row r="12" spans="1:28">
      <c r="A12" t="s">
        <v>158</v>
      </c>
      <c r="B12" s="37">
        <v>12168</v>
      </c>
      <c r="C12" s="37"/>
      <c r="D12" s="37">
        <v>50</v>
      </c>
      <c r="E12" s="37">
        <v>88</v>
      </c>
      <c r="F12" s="269">
        <v>12</v>
      </c>
      <c r="G12" s="278">
        <f t="shared" si="5"/>
        <v>5840.64</v>
      </c>
      <c r="H12" s="265">
        <f t="shared" si="6"/>
        <v>7.2320841551610782</v>
      </c>
      <c r="I12" s="276"/>
      <c r="J12" s="267">
        <f>(E12+Param!$B$1+Param!$B$2)/D12</f>
        <v>1.88</v>
      </c>
      <c r="K12" s="131">
        <f>J12*24</f>
        <v>45.12</v>
      </c>
      <c r="L12" s="273">
        <f t="shared" si="7"/>
        <v>0.98619329388560162</v>
      </c>
      <c r="M12" s="160"/>
      <c r="N12" s="66">
        <f>24*F12/D12</f>
        <v>5.76</v>
      </c>
      <c r="O12" s="166">
        <v>0.41666666666666669</v>
      </c>
      <c r="P12" s="166">
        <v>0.41666666666666669</v>
      </c>
      <c r="Q12" s="166">
        <v>0.41666666666666669</v>
      </c>
      <c r="R12" s="166">
        <v>0.41666666666666669</v>
      </c>
      <c r="S12" s="258">
        <v>0.41666666666666669</v>
      </c>
      <c r="T12" s="64" t="str">
        <f t="shared" si="1"/>
        <v>OK</v>
      </c>
      <c r="U12" s="280"/>
      <c r="V12" s="280"/>
      <c r="W12" s="309"/>
      <c r="X12" s="310">
        <v>3</v>
      </c>
      <c r="Y12" s="282">
        <f>G12*X12</f>
        <v>17521.920000000002</v>
      </c>
      <c r="Z12" s="282">
        <f>N12*X12</f>
        <v>17.28</v>
      </c>
    </row>
    <row r="13" spans="1:28">
      <c r="A13" t="s">
        <v>159</v>
      </c>
      <c r="B13" s="37">
        <v>13520</v>
      </c>
      <c r="C13" s="37"/>
      <c r="D13" s="37">
        <v>57</v>
      </c>
      <c r="E13" s="37">
        <v>92</v>
      </c>
      <c r="F13" s="269">
        <v>13</v>
      </c>
      <c r="G13" s="278">
        <f t="shared" si="5"/>
        <v>5692.6315789473683</v>
      </c>
      <c r="H13" s="265">
        <f t="shared" si="6"/>
        <v>6.8047337278106506</v>
      </c>
      <c r="I13" s="276"/>
      <c r="J13" s="267">
        <f>(E13+Param!$B$1+Param!$B$2)/D13</f>
        <v>1.7192982456140351</v>
      </c>
      <c r="K13" s="131">
        <f>J13*24</f>
        <v>41.263157894736842</v>
      </c>
      <c r="L13" s="273">
        <f t="shared" si="7"/>
        <v>0.96153846153846156</v>
      </c>
      <c r="M13" s="160"/>
      <c r="N13" s="66">
        <f>24*F13/D13</f>
        <v>5.4736842105263159</v>
      </c>
      <c r="O13" s="166">
        <v>0.41666666666666669</v>
      </c>
      <c r="P13" s="166">
        <v>0.45833333333333331</v>
      </c>
      <c r="Q13" s="166">
        <v>0.5</v>
      </c>
      <c r="R13" s="166">
        <v>0.5</v>
      </c>
      <c r="S13" s="258">
        <v>0.5</v>
      </c>
      <c r="T13" s="64" t="str">
        <f t="shared" si="1"/>
        <v>OK</v>
      </c>
      <c r="U13" s="280"/>
      <c r="V13" s="280"/>
      <c r="W13" s="309"/>
      <c r="X13" s="310">
        <v>6</v>
      </c>
      <c r="Y13" s="282">
        <f>G13*X13</f>
        <v>34155.789473684214</v>
      </c>
      <c r="Z13" s="282">
        <f>N13*X13</f>
        <v>32.842105263157897</v>
      </c>
    </row>
    <row r="14" spans="1:28">
      <c r="A14" t="s">
        <v>160</v>
      </c>
      <c r="B14" s="37">
        <v>14800</v>
      </c>
      <c r="C14" s="37"/>
      <c r="D14" s="37">
        <v>60</v>
      </c>
      <c r="E14" s="37">
        <v>96</v>
      </c>
      <c r="F14" s="269">
        <v>14</v>
      </c>
      <c r="G14" s="278">
        <f t="shared" si="5"/>
        <v>5920</v>
      </c>
      <c r="H14" s="265">
        <f t="shared" si="6"/>
        <v>6.4864864864864868</v>
      </c>
      <c r="I14" s="276"/>
      <c r="J14" s="267">
        <f>(E14+Param!$B$1+Param!$B$2)/D14</f>
        <v>1.7</v>
      </c>
      <c r="K14" s="131">
        <f>J14*24</f>
        <v>40.799999999999997</v>
      </c>
      <c r="L14" s="273">
        <f t="shared" si="7"/>
        <v>0.94594594594594594</v>
      </c>
      <c r="M14" s="160"/>
      <c r="N14" s="66">
        <f>24*F14/D14</f>
        <v>5.6</v>
      </c>
      <c r="O14" s="166">
        <v>0.5</v>
      </c>
      <c r="P14" s="166">
        <v>0.5</v>
      </c>
      <c r="Q14" s="166">
        <v>0.5</v>
      </c>
      <c r="R14" s="166">
        <v>0.5</v>
      </c>
      <c r="S14" s="258">
        <v>0.5</v>
      </c>
      <c r="T14" s="64" t="str">
        <f t="shared" si="1"/>
        <v>OK</v>
      </c>
      <c r="U14" s="280"/>
      <c r="V14" s="280"/>
      <c r="W14" s="309"/>
      <c r="X14" s="310">
        <v>6</v>
      </c>
      <c r="Y14" s="282">
        <f>G14*X14</f>
        <v>35520</v>
      </c>
      <c r="Z14" s="282">
        <f>N14*X14</f>
        <v>33.599999999999994</v>
      </c>
    </row>
    <row r="15" spans="1:28">
      <c r="A15" t="s">
        <v>151</v>
      </c>
      <c r="B15" s="37">
        <v>19999</v>
      </c>
      <c r="C15" s="37"/>
      <c r="D15" s="37">
        <v>19</v>
      </c>
      <c r="E15" s="37">
        <v>120</v>
      </c>
      <c r="F15" s="269">
        <v>27</v>
      </c>
      <c r="G15" s="278">
        <f>24*B15/D15</f>
        <v>25261.894736842107</v>
      </c>
      <c r="H15" s="265">
        <f>IF(B15=0,0,1000*$E15/B15)</f>
        <v>6.0003000150007502</v>
      </c>
      <c r="I15" s="276"/>
      <c r="J15" s="267">
        <f>(E15+Param!$B$1+Param!$B$2)/D15</f>
        <v>6.6315789473684212</v>
      </c>
      <c r="K15" s="131">
        <f>J15*24</f>
        <v>159.15789473684211</v>
      </c>
      <c r="L15" s="273">
        <f>IF(B15=0,0,1000*F15/B15)</f>
        <v>1.3500675033751688</v>
      </c>
      <c r="M15" s="160"/>
      <c r="N15" s="66">
        <f>24*F15/D15</f>
        <v>34.10526315789474</v>
      </c>
      <c r="O15" s="166">
        <v>0.16666666666666666</v>
      </c>
      <c r="P15" s="166">
        <v>0.125</v>
      </c>
      <c r="Q15" s="166">
        <v>0.16666666666666666</v>
      </c>
      <c r="R15" s="166">
        <v>0.16666666666666666</v>
      </c>
      <c r="S15" s="258">
        <v>0.16666666666666666</v>
      </c>
      <c r="T15" s="64" t="str">
        <f>IF(SUM(O15:S15)=D15/24,"OK")</f>
        <v>OK</v>
      </c>
      <c r="U15" s="280"/>
      <c r="V15" s="280"/>
      <c r="W15" s="309"/>
      <c r="X15" s="310">
        <v>2</v>
      </c>
      <c r="Y15" s="282">
        <f>G15*X15</f>
        <v>50523.789473684214</v>
      </c>
      <c r="Z15" s="282">
        <f>N15*X15</f>
        <v>68.21052631578948</v>
      </c>
    </row>
    <row r="16" spans="1:28">
      <c r="A16" t="s">
        <v>221</v>
      </c>
      <c r="B16" s="37">
        <f>B11+AA16</f>
        <v>14520</v>
      </c>
      <c r="C16" s="37"/>
      <c r="D16" s="37">
        <f>D11-AB16*24</f>
        <v>33</v>
      </c>
      <c r="E16" s="37">
        <v>85</v>
      </c>
      <c r="F16" s="269">
        <v>11</v>
      </c>
      <c r="G16" s="278">
        <f t="shared" si="5"/>
        <v>10560</v>
      </c>
      <c r="H16" s="265">
        <f t="shared" si="6"/>
        <v>5.8539944903581267</v>
      </c>
      <c r="I16" s="276"/>
      <c r="J16" s="267">
        <f>(E16+Param!$B$1+Param!$B$2)/D16</f>
        <v>2.7575757575757578</v>
      </c>
      <c r="K16" s="131">
        <f t="shared" si="3"/>
        <v>66.181818181818187</v>
      </c>
      <c r="L16" s="273">
        <f t="shared" si="7"/>
        <v>0.75757575757575757</v>
      </c>
      <c r="M16" s="160"/>
      <c r="N16" s="66">
        <f t="shared" si="4"/>
        <v>8</v>
      </c>
      <c r="O16" s="166">
        <v>0.41666666666666669</v>
      </c>
      <c r="P16" s="166">
        <v>0.41666666666666669</v>
      </c>
      <c r="Q16" s="166">
        <v>0.45833333333333331</v>
      </c>
      <c r="R16" s="166">
        <v>0.45833333333333331</v>
      </c>
      <c r="S16" s="258">
        <v>0.45833333333333331</v>
      </c>
      <c r="T16" s="64" t="str">
        <f>IF(SUM(O16:S16)=D11/24,"OK")</f>
        <v>OK</v>
      </c>
      <c r="U16" s="280">
        <v>1</v>
      </c>
      <c r="V16" s="280">
        <v>1</v>
      </c>
      <c r="W16" s="309">
        <v>3</v>
      </c>
      <c r="X16" s="310">
        <v>1</v>
      </c>
      <c r="Y16" s="282">
        <f>G16*6</f>
        <v>63360</v>
      </c>
      <c r="Z16" s="282">
        <f>N16*6</f>
        <v>48</v>
      </c>
      <c r="AA16" s="235">
        <f>$U16*Param!B$5+$V16*Param!B$6+$W16*Param!B$7</f>
        <v>3400</v>
      </c>
      <c r="AB16" s="125">
        <f>$U16*Param!C$5+$V16*Param!C$6+$W16*Param!C$7</f>
        <v>0.83333333333333337</v>
      </c>
    </row>
    <row r="17" spans="1:28">
      <c r="A17" t="s">
        <v>220</v>
      </c>
      <c r="B17" s="37">
        <f>B12+AA17</f>
        <v>15168</v>
      </c>
      <c r="C17" s="37"/>
      <c r="D17" s="37">
        <f>D12-AB17*24</f>
        <v>33.5</v>
      </c>
      <c r="E17" s="37">
        <v>88</v>
      </c>
      <c r="F17" s="269">
        <v>12</v>
      </c>
      <c r="G17" s="278">
        <f t="shared" si="5"/>
        <v>10866.626865671642</v>
      </c>
      <c r="H17" s="265">
        <f t="shared" si="6"/>
        <v>5.8016877637130806</v>
      </c>
      <c r="I17" s="276"/>
      <c r="J17" s="267">
        <f>(E17+Param!$B$1+Param!$B$2)/D17</f>
        <v>2.8059701492537314</v>
      </c>
      <c r="K17" s="131">
        <f t="shared" si="3"/>
        <v>67.343283582089555</v>
      </c>
      <c r="L17" s="273">
        <f t="shared" si="7"/>
        <v>0.79113924050632911</v>
      </c>
      <c r="M17" s="160"/>
      <c r="N17" s="66">
        <f t="shared" si="4"/>
        <v>8.5970149253731343</v>
      </c>
      <c r="O17" s="166">
        <v>0.41666666666666669</v>
      </c>
      <c r="P17" s="166">
        <v>0.41666666666666669</v>
      </c>
      <c r="Q17" s="166">
        <v>0.41666666666666669</v>
      </c>
      <c r="R17" s="166">
        <v>0.41666666666666669</v>
      </c>
      <c r="S17" s="258">
        <v>0.41666666666666669</v>
      </c>
      <c r="T17" s="64" t="str">
        <f>IF(SUM(O17:S17)=D12/24,"OK")</f>
        <v>OK</v>
      </c>
      <c r="U17" s="280">
        <v>0</v>
      </c>
      <c r="V17" s="280">
        <v>0</v>
      </c>
      <c r="W17" s="309">
        <v>3</v>
      </c>
      <c r="X17" s="310">
        <v>0</v>
      </c>
      <c r="Y17" s="282">
        <f>G17*6</f>
        <v>65199.761194029852</v>
      </c>
      <c r="Z17" s="282">
        <f>N17*6</f>
        <v>51.582089552238806</v>
      </c>
      <c r="AA17" s="235">
        <f>$U17*Param!B$5+$V17*Param!B$6+$W17*Param!B$7</f>
        <v>3000</v>
      </c>
      <c r="AB17" s="125">
        <f>$U17*Param!C$5+$V17*Param!C$6+$W17*Param!C$7</f>
        <v>0.6875</v>
      </c>
    </row>
    <row r="18" spans="1:28">
      <c r="A18" t="s">
        <v>222</v>
      </c>
      <c r="B18" s="37">
        <f>B13+AA18</f>
        <v>16920</v>
      </c>
      <c r="C18" s="37"/>
      <c r="D18" s="37">
        <f>D13-AB18*24</f>
        <v>37</v>
      </c>
      <c r="E18" s="37">
        <v>92</v>
      </c>
      <c r="F18" s="269">
        <v>13</v>
      </c>
      <c r="G18" s="278">
        <f t="shared" si="5"/>
        <v>10975.135135135135</v>
      </c>
      <c r="H18" s="265">
        <f t="shared" si="6"/>
        <v>5.4373522458628845</v>
      </c>
      <c r="I18" s="276"/>
      <c r="J18" s="267">
        <f>(E18+Param!$B$1+Param!$B$2)/D18</f>
        <v>2.6486486486486487</v>
      </c>
      <c r="K18" s="131">
        <f t="shared" si="3"/>
        <v>63.567567567567565</v>
      </c>
      <c r="L18" s="273">
        <f t="shared" si="7"/>
        <v>0.76832151300236406</v>
      </c>
      <c r="M18" s="160"/>
      <c r="N18" s="66">
        <f t="shared" si="4"/>
        <v>8.4324324324324316</v>
      </c>
      <c r="O18" s="166">
        <v>0.41666666666666669</v>
      </c>
      <c r="P18" s="166">
        <v>0.45833333333333331</v>
      </c>
      <c r="Q18" s="166">
        <v>0.5</v>
      </c>
      <c r="R18" s="166">
        <v>0.5</v>
      </c>
      <c r="S18" s="258">
        <v>0.5</v>
      </c>
      <c r="T18" s="64" t="str">
        <f>IF(SUM(O18:S18)=D13/24,"OK")</f>
        <v>OK</v>
      </c>
      <c r="U18" s="280">
        <v>1</v>
      </c>
      <c r="V18" s="280">
        <v>1</v>
      </c>
      <c r="W18" s="309">
        <v>3</v>
      </c>
      <c r="X18" s="310">
        <v>1</v>
      </c>
      <c r="Y18" s="282">
        <f>G18*6</f>
        <v>65850.810810810814</v>
      </c>
      <c r="Z18" s="282">
        <f>N18*6</f>
        <v>50.594594594594589</v>
      </c>
      <c r="AA18" s="235">
        <f>$U18*Param!B$5+$V18*Param!B$6+$W18*Param!B$7</f>
        <v>3400</v>
      </c>
      <c r="AB18" s="125">
        <f>$U18*Param!C$5+$V18*Param!C$6+$W18*Param!C$7</f>
        <v>0.83333333333333337</v>
      </c>
    </row>
    <row r="19" spans="1:28">
      <c r="A19" t="s">
        <v>223</v>
      </c>
      <c r="B19" s="37">
        <f>B14+AA19</f>
        <v>18200</v>
      </c>
      <c r="C19" s="37"/>
      <c r="D19" s="37">
        <f>D14-AB19*24</f>
        <v>40</v>
      </c>
      <c r="E19" s="37">
        <v>96</v>
      </c>
      <c r="F19" s="269">
        <v>14</v>
      </c>
      <c r="G19" s="278">
        <f t="shared" si="5"/>
        <v>10920</v>
      </c>
      <c r="H19" s="265">
        <f t="shared" si="6"/>
        <v>5.2747252747252746</v>
      </c>
      <c r="I19" s="276"/>
      <c r="J19" s="267">
        <f>(E19+Param!$B$1+Param!$B$2)/D19</f>
        <v>2.5499999999999998</v>
      </c>
      <c r="K19" s="131">
        <f t="shared" si="3"/>
        <v>61.199999999999996</v>
      </c>
      <c r="L19" s="273">
        <f t="shared" si="7"/>
        <v>0.76923076923076927</v>
      </c>
      <c r="M19" s="160"/>
      <c r="N19" s="66">
        <f t="shared" si="4"/>
        <v>8.4</v>
      </c>
      <c r="O19" s="166">
        <v>0.5</v>
      </c>
      <c r="P19" s="166">
        <v>0.5</v>
      </c>
      <c r="Q19" s="166">
        <v>0.5</v>
      </c>
      <c r="R19" s="166">
        <v>0.5</v>
      </c>
      <c r="S19" s="258">
        <v>0.5</v>
      </c>
      <c r="T19" s="64" t="str">
        <f>IF(SUM(O19:S19)=D14/24,"OK")</f>
        <v>OK</v>
      </c>
      <c r="U19" s="280">
        <v>1</v>
      </c>
      <c r="V19" s="280">
        <v>1</v>
      </c>
      <c r="W19" s="309">
        <v>3</v>
      </c>
      <c r="X19" s="310">
        <v>1</v>
      </c>
      <c r="Y19" s="282">
        <f>G19*6</f>
        <v>65520</v>
      </c>
      <c r="Z19" s="282">
        <f>N19*6</f>
        <v>50.400000000000006</v>
      </c>
      <c r="AA19" s="235">
        <f>$U19*Param!B$5+$V19*Param!B$6+$W19*Param!B$7</f>
        <v>3400</v>
      </c>
      <c r="AB19" s="125">
        <f>$U19*Param!C$5+$V19*Param!C$6+$W19*Param!C$7</f>
        <v>0.83333333333333337</v>
      </c>
    </row>
    <row r="20" spans="1:28">
      <c r="A20" t="s">
        <v>228</v>
      </c>
      <c r="B20" s="37">
        <f>B15+AA20</f>
        <v>19999</v>
      </c>
      <c r="C20" s="37"/>
      <c r="D20" s="37">
        <f>D15-AB20*24</f>
        <v>19</v>
      </c>
      <c r="E20" s="37">
        <v>120</v>
      </c>
      <c r="F20" s="269">
        <v>27</v>
      </c>
      <c r="G20" s="278">
        <f>24*B20/D20</f>
        <v>25261.894736842107</v>
      </c>
      <c r="H20" s="265">
        <f>IF(B20=0,0,1000*$E20/B20)</f>
        <v>6.0003000150007502</v>
      </c>
      <c r="I20" s="276"/>
      <c r="J20" s="267">
        <f>(E20+Param!$B$1+Param!$B$2)/D20</f>
        <v>6.6315789473684212</v>
      </c>
      <c r="K20" s="131">
        <f>J20*24</f>
        <v>159.15789473684211</v>
      </c>
      <c r="L20" s="273">
        <f>IF(B20=0,0,1000*F20/B20)</f>
        <v>1.3500675033751688</v>
      </c>
      <c r="M20" s="160"/>
      <c r="N20" s="66">
        <f>24*F20/D20</f>
        <v>34.10526315789474</v>
      </c>
      <c r="O20" s="166">
        <v>0.16666666666666666</v>
      </c>
      <c r="P20" s="166">
        <v>0.125</v>
      </c>
      <c r="Q20" s="166">
        <v>0.16666666666666666</v>
      </c>
      <c r="R20" s="166">
        <v>0.16666666666666666</v>
      </c>
      <c r="S20" s="258">
        <v>0.16666666666666666</v>
      </c>
      <c r="T20" s="64" t="str">
        <f>IF(SUM(O20:S20)=D15/24,"OK")</f>
        <v>OK</v>
      </c>
      <c r="U20" s="280">
        <v>0</v>
      </c>
      <c r="V20" s="280">
        <v>0</v>
      </c>
      <c r="W20" s="309">
        <v>0</v>
      </c>
      <c r="X20" s="312">
        <v>0</v>
      </c>
      <c r="Y20" s="282">
        <f>G20*6</f>
        <v>151571.36842105264</v>
      </c>
      <c r="Z20" s="282">
        <f>N20*6</f>
        <v>204.63157894736844</v>
      </c>
      <c r="AA20" s="235">
        <f>$U20*Param!B$5+$V20*Param!B$6+$W20*Param!B$7</f>
        <v>0</v>
      </c>
      <c r="AB20" s="125">
        <f>$U20*Param!C$5+$V20*Param!C$6+$W20*Param!C$7</f>
        <v>0</v>
      </c>
    </row>
    <row r="26" spans="1:28">
      <c r="P26" s="1"/>
    </row>
  </sheetData>
  <conditionalFormatting sqref="B1:B1048576">
    <cfRule type="top10" dxfId="23" priority="29" bottom="1" rank="1"/>
    <cfRule type="top10" dxfId="22" priority="30" rank="1"/>
  </conditionalFormatting>
  <conditionalFormatting sqref="D1:D1048576">
    <cfRule type="top10" dxfId="21" priority="27" bottom="1" rank="1"/>
    <cfRule type="top10" dxfId="20" priority="28" rank="1"/>
  </conditionalFormatting>
  <conditionalFormatting sqref="E1:E1048576">
    <cfRule type="top10" dxfId="19" priority="25" bottom="1" rank="1"/>
    <cfRule type="top10" dxfId="18" priority="26" rank="1"/>
  </conditionalFormatting>
  <conditionalFormatting sqref="J1:J1048576">
    <cfRule type="top10" dxfId="17" priority="23" bottom="1" rank="1"/>
    <cfRule type="top10" dxfId="16" priority="24" rank="1"/>
  </conditionalFormatting>
  <conditionalFormatting sqref="K1:K1048576">
    <cfRule type="top10" dxfId="15" priority="21" bottom="1" rank="1"/>
    <cfRule type="top10" dxfId="14" priority="22" rank="1"/>
  </conditionalFormatting>
  <conditionalFormatting sqref="F1:F1048576">
    <cfRule type="top10" dxfId="13" priority="19" bottom="1" rank="1"/>
    <cfRule type="top10" dxfId="12" priority="20" rank="1"/>
  </conditionalFormatting>
  <conditionalFormatting sqref="L1:L1048576">
    <cfRule type="top10" dxfId="11" priority="17" bottom="1" rank="1"/>
    <cfRule type="top10" dxfId="10" priority="18" rank="1"/>
  </conditionalFormatting>
  <conditionalFormatting sqref="M1:N1048576 G1:G1048576">
    <cfRule type="top10" dxfId="9" priority="15" bottom="1" rank="1"/>
    <cfRule type="top10" dxfId="8" priority="16" rank="1"/>
  </conditionalFormatting>
  <conditionalFormatting sqref="H1:H1048576">
    <cfRule type="top10" dxfId="7" priority="9" bottom="1" rank="1"/>
    <cfRule type="top10" dxfId="6" priority="10" rank="1"/>
  </conditionalFormatting>
  <conditionalFormatting sqref="C1:C1048576">
    <cfRule type="top10" dxfId="5" priority="5" bottom="1" rank="1"/>
    <cfRule type="top10" dxfId="4" priority="6" rank="1"/>
  </conditionalFormatting>
  <conditionalFormatting sqref="N1:N1048576 G1:G1048576">
    <cfRule type="top10" dxfId="3" priority="3" bottom="1" rank="1"/>
    <cfRule type="top10" dxfId="2" priority="4" rank="1"/>
  </conditionalFormatting>
  <conditionalFormatting sqref="N1:N1048576">
    <cfRule type="top10" dxfId="1" priority="1" bottom="1" rank="1"/>
    <cfRule type="top10" dxfId="0" priority="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4" sqref="B4"/>
    </sheetView>
  </sheetViews>
  <sheetFormatPr defaultRowHeight="15"/>
  <cols>
    <col min="1" max="1" width="19.5703125" bestFit="1" customWidth="1"/>
    <col min="2" max="2" width="5" bestFit="1" customWidth="1"/>
    <col min="4" max="4" width="4" bestFit="1" customWidth="1"/>
    <col min="5" max="5" width="5.5703125" bestFit="1" customWidth="1"/>
  </cols>
  <sheetData>
    <row r="1" spans="1:5">
      <c r="A1" t="s">
        <v>166</v>
      </c>
      <c r="B1">
        <v>3</v>
      </c>
    </row>
    <row r="2" spans="1:5">
      <c r="A2" t="s">
        <v>167</v>
      </c>
      <c r="B2">
        <v>3</v>
      </c>
    </row>
    <row r="3" spans="1:5">
      <c r="A3" t="s">
        <v>233</v>
      </c>
      <c r="B3" s="17">
        <v>0.2</v>
      </c>
    </row>
    <row r="4" spans="1:5">
      <c r="A4" t="s">
        <v>171</v>
      </c>
      <c r="B4">
        <v>0</v>
      </c>
      <c r="C4">
        <v>0</v>
      </c>
      <c r="D4" t="s">
        <v>218</v>
      </c>
      <c r="E4" t="s">
        <v>164</v>
      </c>
    </row>
    <row r="5" spans="1:5">
      <c r="A5" t="s">
        <v>168</v>
      </c>
      <c r="B5">
        <v>50</v>
      </c>
      <c r="C5" s="16">
        <v>4.1666666666666664E-2</v>
      </c>
      <c r="D5" s="126">
        <f>B5/(C5*24)</f>
        <v>50</v>
      </c>
      <c r="E5" s="126">
        <f>D5*24</f>
        <v>1200</v>
      </c>
    </row>
    <row r="6" spans="1:5">
      <c r="A6" t="s">
        <v>169</v>
      </c>
      <c r="B6">
        <v>350</v>
      </c>
      <c r="C6" s="16">
        <v>0.10416666666666667</v>
      </c>
      <c r="D6" s="126">
        <f>B6/(C6*24)</f>
        <v>140</v>
      </c>
      <c r="E6" s="126">
        <f>D6*24</f>
        <v>3360</v>
      </c>
    </row>
    <row r="7" spans="1:5">
      <c r="A7" t="s">
        <v>170</v>
      </c>
      <c r="B7">
        <v>1000</v>
      </c>
      <c r="C7" s="16">
        <v>0.22916666666666666</v>
      </c>
      <c r="D7" s="126">
        <f>B7/(C7*24)</f>
        <v>181.81818181818181</v>
      </c>
      <c r="E7" s="126">
        <f>D7*24</f>
        <v>4363.636363636364</v>
      </c>
    </row>
    <row r="8" spans="1:5">
      <c r="A8" t="s">
        <v>183</v>
      </c>
      <c r="B8">
        <v>1</v>
      </c>
      <c r="C8" t="s">
        <v>179</v>
      </c>
    </row>
    <row r="9" spans="1:5">
      <c r="A9" t="s">
        <v>184</v>
      </c>
      <c r="B9">
        <v>2</v>
      </c>
      <c r="C9" t="s">
        <v>180</v>
      </c>
    </row>
    <row r="10" spans="1:5">
      <c r="A10" t="s">
        <v>185</v>
      </c>
      <c r="B10">
        <v>3</v>
      </c>
      <c r="C10" t="s">
        <v>181</v>
      </c>
    </row>
    <row r="11" spans="1:5">
      <c r="A11" t="s">
        <v>186</v>
      </c>
      <c r="B11">
        <v>4</v>
      </c>
      <c r="C11" t="s">
        <v>190</v>
      </c>
    </row>
    <row r="12" spans="1:5">
      <c r="A12" t="s">
        <v>187</v>
      </c>
      <c r="B12">
        <v>5</v>
      </c>
      <c r="C12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2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RowHeight="15"/>
  <cols>
    <col min="2" max="2" width="8.7109375" style="5" bestFit="1" customWidth="1"/>
    <col min="3" max="3" width="4.85546875" bestFit="1" customWidth="1"/>
    <col min="4" max="4" width="5.5703125" bestFit="1" customWidth="1"/>
    <col min="5" max="5" width="6.140625" bestFit="1" customWidth="1"/>
    <col min="6" max="6" width="11" style="5" bestFit="1" customWidth="1"/>
    <col min="7" max="7" width="6" style="5" bestFit="1" customWidth="1"/>
    <col min="8" max="8" width="7.5703125" bestFit="1" customWidth="1"/>
    <col min="9" max="9" width="4" bestFit="1" customWidth="1"/>
    <col min="10" max="10" width="3.5703125" style="235" bestFit="1" customWidth="1"/>
    <col min="11" max="11" width="3.5703125" customWidth="1"/>
    <col min="12" max="12" width="5.42578125" bestFit="1" customWidth="1"/>
    <col min="13" max="13" width="8.28515625" style="5" bestFit="1" customWidth="1"/>
    <col min="14" max="14" width="8.42578125" style="5" bestFit="1" customWidth="1"/>
    <col min="15" max="15" width="8.140625" bestFit="1" customWidth="1"/>
    <col min="16" max="16" width="9.7109375" style="5" bestFit="1" customWidth="1"/>
    <col min="17" max="17" width="10" style="5" bestFit="1" customWidth="1"/>
    <col min="18" max="18" width="10" style="10" bestFit="1" customWidth="1"/>
    <col min="19" max="19" width="8.5703125" style="10" bestFit="1" customWidth="1"/>
    <col min="20" max="20" width="5.28515625" bestFit="1" customWidth="1"/>
    <col min="21" max="21" width="7.5703125" bestFit="1" customWidth="1"/>
    <col min="22" max="22" width="4.5703125" style="5" bestFit="1" customWidth="1"/>
    <col min="23" max="23" width="7.42578125" style="5" bestFit="1" customWidth="1"/>
    <col min="24" max="24" width="6" bestFit="1" customWidth="1"/>
  </cols>
  <sheetData>
    <row r="1" spans="1:24" s="1" customFormat="1">
      <c r="A1" s="1" t="s">
        <v>0</v>
      </c>
      <c r="B1" s="4" t="s">
        <v>1</v>
      </c>
      <c r="C1" s="1" t="s">
        <v>24</v>
      </c>
      <c r="D1" s="1" t="s">
        <v>210</v>
      </c>
      <c r="E1" s="1" t="s">
        <v>89</v>
      </c>
      <c r="F1" s="4" t="s">
        <v>25</v>
      </c>
      <c r="G1" s="4" t="s">
        <v>71</v>
      </c>
      <c r="H1" s="1" t="s">
        <v>80</v>
      </c>
      <c r="I1" s="1" t="s">
        <v>123</v>
      </c>
      <c r="J1" s="232"/>
      <c r="K1" s="1" t="s">
        <v>91</v>
      </c>
      <c r="L1" s="1" t="s">
        <v>68</v>
      </c>
      <c r="M1" s="4" t="s">
        <v>90</v>
      </c>
      <c r="N1" s="4" t="s">
        <v>88</v>
      </c>
      <c r="O1" s="1" t="s">
        <v>87</v>
      </c>
      <c r="P1" s="4" t="s">
        <v>86</v>
      </c>
      <c r="Q1" s="4" t="s">
        <v>92</v>
      </c>
      <c r="R1" s="10" t="s">
        <v>73</v>
      </c>
      <c r="S1" s="10" t="s">
        <v>72</v>
      </c>
      <c r="T1" s="1" t="s">
        <v>79</v>
      </c>
      <c r="U1" s="1" t="s">
        <v>211</v>
      </c>
      <c r="V1" s="4" t="s">
        <v>125</v>
      </c>
      <c r="W1" s="4" t="s">
        <v>212</v>
      </c>
      <c r="X1" s="1" t="s">
        <v>175</v>
      </c>
    </row>
    <row r="2" spans="1:24">
      <c r="A2" s="90" t="s">
        <v>23</v>
      </c>
      <c r="B2" s="24">
        <v>8000</v>
      </c>
      <c r="C2" s="23">
        <v>30</v>
      </c>
      <c r="D2" s="23">
        <v>150</v>
      </c>
      <c r="E2" s="23">
        <v>12</v>
      </c>
      <c r="F2" s="24">
        <v>54000</v>
      </c>
      <c r="G2" s="24">
        <v>40</v>
      </c>
      <c r="H2" s="23">
        <v>120</v>
      </c>
      <c r="I2" s="23">
        <v>8</v>
      </c>
      <c r="J2" s="233" t="str">
        <f t="shared" ref="J2:J7" si="0">IF(F2=C2*D2*E2,"OK","ERRO")</f>
        <v>OK</v>
      </c>
      <c r="K2" s="25">
        <f t="shared" ref="K2:K7" si="1">24/I2</f>
        <v>3</v>
      </c>
      <c r="L2" s="25">
        <f t="shared" ref="L2:L7" si="2">D2/K2</f>
        <v>50</v>
      </c>
      <c r="M2" s="26">
        <f t="shared" ref="M2:M7" si="3">L2*E2</f>
        <v>600</v>
      </c>
      <c r="N2" s="26">
        <f t="shared" ref="N2:N7" si="4">D2*E2</f>
        <v>1800</v>
      </c>
      <c r="O2" s="70">
        <f t="shared" ref="O2:O7" si="5">H2*K2</f>
        <v>360</v>
      </c>
      <c r="P2" s="26">
        <f t="shared" ref="P2:P7" si="6">N2-O2</f>
        <v>1440</v>
      </c>
      <c r="Q2" s="26">
        <f t="shared" ref="Q2:Q7" si="7">P2*C2-B2</f>
        <v>35200</v>
      </c>
      <c r="R2" s="71">
        <f t="shared" ref="R2:R7" si="8">Q2/C2</f>
        <v>1173.3333333333333</v>
      </c>
      <c r="S2" s="59">
        <f t="shared" ref="S2:S7" si="9">Q2/(C2*24)</f>
        <v>48.888888888888886</v>
      </c>
      <c r="T2" s="70">
        <f t="shared" ref="T2:T7" si="10">G2*K2</f>
        <v>120</v>
      </c>
      <c r="U2" s="72">
        <f t="shared" ref="U2:U7" si="11">B2/P2</f>
        <v>5.5555555555555554</v>
      </c>
      <c r="V2" s="24">
        <v>9</v>
      </c>
      <c r="W2" s="26">
        <f t="shared" ref="W2:W7" si="12">P2*C2/V2</f>
        <v>4800</v>
      </c>
      <c r="X2" s="70">
        <f t="shared" ref="X2:X7" si="13">T2*C2/V2</f>
        <v>400</v>
      </c>
    </row>
    <row r="3" spans="1:24">
      <c r="A3" s="90" t="s">
        <v>27</v>
      </c>
      <c r="B3" s="24">
        <v>130000</v>
      </c>
      <c r="C3" s="23">
        <v>60</v>
      </c>
      <c r="D3" s="23">
        <v>162</v>
      </c>
      <c r="E3" s="23">
        <v>45</v>
      </c>
      <c r="F3" s="24">
        <v>437400</v>
      </c>
      <c r="G3" s="24">
        <v>40</v>
      </c>
      <c r="H3" s="23">
        <v>120</v>
      </c>
      <c r="I3" s="23">
        <v>8</v>
      </c>
      <c r="J3" s="233" t="str">
        <f t="shared" si="0"/>
        <v>OK</v>
      </c>
      <c r="K3" s="25">
        <f t="shared" si="1"/>
        <v>3</v>
      </c>
      <c r="L3" s="25">
        <f t="shared" si="2"/>
        <v>54</v>
      </c>
      <c r="M3" s="26">
        <f t="shared" si="3"/>
        <v>2430</v>
      </c>
      <c r="N3" s="26">
        <f t="shared" si="4"/>
        <v>7290</v>
      </c>
      <c r="O3" s="70">
        <f t="shared" si="5"/>
        <v>360</v>
      </c>
      <c r="P3" s="26">
        <f t="shared" si="6"/>
        <v>6930</v>
      </c>
      <c r="Q3" s="26">
        <f t="shared" si="7"/>
        <v>285800</v>
      </c>
      <c r="R3" s="71">
        <f t="shared" si="8"/>
        <v>4763.333333333333</v>
      </c>
      <c r="S3" s="59">
        <f t="shared" si="9"/>
        <v>198.47222222222223</v>
      </c>
      <c r="T3" s="70">
        <f t="shared" si="10"/>
        <v>120</v>
      </c>
      <c r="U3" s="72">
        <f t="shared" si="11"/>
        <v>18.759018759018758</v>
      </c>
      <c r="V3" s="24">
        <v>50</v>
      </c>
      <c r="W3" s="26">
        <f t="shared" si="12"/>
        <v>8316</v>
      </c>
      <c r="X3" s="70">
        <f t="shared" si="13"/>
        <v>144</v>
      </c>
    </row>
    <row r="4" spans="1:24">
      <c r="A4" s="90" t="s">
        <v>30</v>
      </c>
      <c r="B4" s="24">
        <v>180000</v>
      </c>
      <c r="C4" s="23">
        <v>25</v>
      </c>
      <c r="D4" s="23">
        <v>72</v>
      </c>
      <c r="E4" s="23">
        <v>390</v>
      </c>
      <c r="F4" s="24">
        <v>702000</v>
      </c>
      <c r="G4" s="24">
        <v>40</v>
      </c>
      <c r="H4" s="23">
        <v>120</v>
      </c>
      <c r="I4" s="23">
        <v>8</v>
      </c>
      <c r="J4" s="233" t="str">
        <f t="shared" si="0"/>
        <v>OK</v>
      </c>
      <c r="K4" s="25">
        <f t="shared" si="1"/>
        <v>3</v>
      </c>
      <c r="L4" s="25">
        <f t="shared" si="2"/>
        <v>24</v>
      </c>
      <c r="M4" s="26">
        <f t="shared" si="3"/>
        <v>9360</v>
      </c>
      <c r="N4" s="26">
        <f t="shared" si="4"/>
        <v>28080</v>
      </c>
      <c r="O4" s="70">
        <f t="shared" si="5"/>
        <v>360</v>
      </c>
      <c r="P4" s="26">
        <f t="shared" si="6"/>
        <v>27720</v>
      </c>
      <c r="Q4" s="26">
        <f t="shared" si="7"/>
        <v>513000</v>
      </c>
      <c r="R4" s="71">
        <f t="shared" si="8"/>
        <v>20520</v>
      </c>
      <c r="S4" s="59">
        <f t="shared" si="9"/>
        <v>855</v>
      </c>
      <c r="T4" s="70">
        <f t="shared" si="10"/>
        <v>120</v>
      </c>
      <c r="U4" s="72">
        <f>B4/P4</f>
        <v>6.4935064935064934</v>
      </c>
      <c r="V4" s="24">
        <v>79</v>
      </c>
      <c r="W4" s="26">
        <f t="shared" si="12"/>
        <v>8772.1518987341769</v>
      </c>
      <c r="X4" s="70">
        <f t="shared" si="13"/>
        <v>37.974683544303801</v>
      </c>
    </row>
    <row r="5" spans="1:24">
      <c r="A5" s="90" t="s">
        <v>96</v>
      </c>
      <c r="B5" s="24">
        <v>0</v>
      </c>
      <c r="C5" s="23">
        <v>14</v>
      </c>
      <c r="D5" s="23">
        <v>93</v>
      </c>
      <c r="E5" s="23">
        <v>379</v>
      </c>
      <c r="F5" s="24">
        <v>493458</v>
      </c>
      <c r="G5" s="24">
        <v>40</v>
      </c>
      <c r="H5" s="23">
        <v>120</v>
      </c>
      <c r="I5" s="23">
        <v>8</v>
      </c>
      <c r="J5" s="233" t="str">
        <f t="shared" si="0"/>
        <v>OK</v>
      </c>
      <c r="K5" s="25">
        <f t="shared" si="1"/>
        <v>3</v>
      </c>
      <c r="L5" s="25">
        <f t="shared" si="2"/>
        <v>31</v>
      </c>
      <c r="M5" s="26">
        <f t="shared" si="3"/>
        <v>11749</v>
      </c>
      <c r="N5" s="26">
        <f t="shared" si="4"/>
        <v>35247</v>
      </c>
      <c r="O5" s="70">
        <f t="shared" si="5"/>
        <v>360</v>
      </c>
      <c r="P5" s="26">
        <f t="shared" si="6"/>
        <v>34887</v>
      </c>
      <c r="Q5" s="26">
        <f t="shared" si="7"/>
        <v>488418</v>
      </c>
      <c r="R5" s="71">
        <f t="shared" si="8"/>
        <v>34887</v>
      </c>
      <c r="S5" s="59">
        <f t="shared" si="9"/>
        <v>1453.625</v>
      </c>
      <c r="T5" s="70">
        <f t="shared" si="10"/>
        <v>120</v>
      </c>
      <c r="U5" s="72">
        <f t="shared" si="11"/>
        <v>0</v>
      </c>
      <c r="V5" s="24">
        <v>69</v>
      </c>
      <c r="W5" s="26">
        <f t="shared" si="12"/>
        <v>7078.521739130435</v>
      </c>
      <c r="X5" s="70">
        <f t="shared" si="13"/>
        <v>24.347826086956523</v>
      </c>
    </row>
    <row r="6" spans="1:24">
      <c r="A6" s="90" t="s">
        <v>97</v>
      </c>
      <c r="B6" s="24">
        <v>0</v>
      </c>
      <c r="C6" s="23">
        <v>7</v>
      </c>
      <c r="D6" s="23">
        <v>72</v>
      </c>
      <c r="E6" s="23">
        <v>320</v>
      </c>
      <c r="F6" s="24">
        <v>161280</v>
      </c>
      <c r="G6" s="24">
        <v>40</v>
      </c>
      <c r="H6" s="23">
        <v>120</v>
      </c>
      <c r="I6" s="23">
        <v>8</v>
      </c>
      <c r="J6" s="233" t="str">
        <f t="shared" si="0"/>
        <v>OK</v>
      </c>
      <c r="K6" s="25">
        <f t="shared" si="1"/>
        <v>3</v>
      </c>
      <c r="L6" s="25">
        <f t="shared" si="2"/>
        <v>24</v>
      </c>
      <c r="M6" s="26">
        <f t="shared" si="3"/>
        <v>7680</v>
      </c>
      <c r="N6" s="26">
        <f t="shared" si="4"/>
        <v>23040</v>
      </c>
      <c r="O6" s="70">
        <f t="shared" si="5"/>
        <v>360</v>
      </c>
      <c r="P6" s="26">
        <f t="shared" si="6"/>
        <v>22680</v>
      </c>
      <c r="Q6" s="26">
        <f t="shared" si="7"/>
        <v>158760</v>
      </c>
      <c r="R6" s="71">
        <f t="shared" si="8"/>
        <v>22680</v>
      </c>
      <c r="S6" s="59">
        <f t="shared" si="9"/>
        <v>945</v>
      </c>
      <c r="T6" s="70">
        <f t="shared" si="10"/>
        <v>120</v>
      </c>
      <c r="U6" s="72">
        <f t="shared" si="11"/>
        <v>0</v>
      </c>
      <c r="V6" s="24">
        <v>28</v>
      </c>
      <c r="W6" s="26">
        <f t="shared" si="12"/>
        <v>5670</v>
      </c>
      <c r="X6" s="70">
        <f t="shared" si="13"/>
        <v>30</v>
      </c>
    </row>
    <row r="7" spans="1:24">
      <c r="A7" s="90" t="s">
        <v>98</v>
      </c>
      <c r="B7" s="24">
        <v>0</v>
      </c>
      <c r="C7" s="23">
        <v>26</v>
      </c>
      <c r="D7" s="23">
        <v>60</v>
      </c>
      <c r="E7" s="23">
        <v>420</v>
      </c>
      <c r="F7" s="24">
        <v>655200</v>
      </c>
      <c r="G7" s="24">
        <v>40</v>
      </c>
      <c r="H7" s="23">
        <v>120</v>
      </c>
      <c r="I7" s="23">
        <v>8</v>
      </c>
      <c r="J7" s="233" t="str">
        <f t="shared" si="0"/>
        <v>OK</v>
      </c>
      <c r="K7" s="25">
        <f t="shared" si="1"/>
        <v>3</v>
      </c>
      <c r="L7" s="25">
        <f t="shared" si="2"/>
        <v>20</v>
      </c>
      <c r="M7" s="26">
        <f t="shared" si="3"/>
        <v>8400</v>
      </c>
      <c r="N7" s="26">
        <f t="shared" si="4"/>
        <v>25200</v>
      </c>
      <c r="O7" s="70">
        <f t="shared" si="5"/>
        <v>360</v>
      </c>
      <c r="P7" s="26">
        <f t="shared" si="6"/>
        <v>24840</v>
      </c>
      <c r="Q7" s="26">
        <f t="shared" si="7"/>
        <v>645840</v>
      </c>
      <c r="R7" s="71">
        <f t="shared" si="8"/>
        <v>24840</v>
      </c>
      <c r="S7" s="59">
        <f t="shared" si="9"/>
        <v>1035</v>
      </c>
      <c r="T7" s="70">
        <f t="shared" si="10"/>
        <v>120</v>
      </c>
      <c r="U7" s="72">
        <f t="shared" si="11"/>
        <v>0</v>
      </c>
      <c r="V7" s="24">
        <v>99</v>
      </c>
      <c r="W7" s="26">
        <f t="shared" si="12"/>
        <v>6523.636363636364</v>
      </c>
      <c r="X7" s="70">
        <f t="shared" si="13"/>
        <v>31.515151515151516</v>
      </c>
    </row>
    <row r="8" spans="1:24" s="1" customFormat="1">
      <c r="A8" s="90" t="s">
        <v>56</v>
      </c>
      <c r="B8" s="73">
        <f t="shared" ref="B8:H8" si="14">SUM(B2:B7)</f>
        <v>318000</v>
      </c>
      <c r="C8" s="74"/>
      <c r="D8" s="74">
        <f t="shared" si="14"/>
        <v>609</v>
      </c>
      <c r="E8" s="74">
        <f t="shared" si="14"/>
        <v>1566</v>
      </c>
      <c r="F8" s="73">
        <f t="shared" si="14"/>
        <v>2503338</v>
      </c>
      <c r="G8" s="73">
        <f t="shared" si="14"/>
        <v>240</v>
      </c>
      <c r="H8" s="74">
        <f t="shared" si="14"/>
        <v>720</v>
      </c>
      <c r="I8" s="75"/>
      <c r="J8" s="234"/>
      <c r="K8" s="75"/>
      <c r="L8" s="76">
        <f t="shared" ref="L8:T8" si="15">SUM(L2:L7)</f>
        <v>203</v>
      </c>
      <c r="M8" s="73">
        <f t="shared" si="15"/>
        <v>40219</v>
      </c>
      <c r="N8" s="73">
        <f t="shared" si="15"/>
        <v>120657</v>
      </c>
      <c r="O8" s="77">
        <f t="shared" si="15"/>
        <v>2160</v>
      </c>
      <c r="P8" s="73">
        <f t="shared" si="15"/>
        <v>118497</v>
      </c>
      <c r="Q8" s="73">
        <f t="shared" si="15"/>
        <v>2127018</v>
      </c>
      <c r="R8" s="78">
        <f t="shared" si="15"/>
        <v>108863.66666666666</v>
      </c>
      <c r="S8" s="78">
        <f t="shared" si="15"/>
        <v>4535.9861111111113</v>
      </c>
      <c r="T8" s="76">
        <f t="shared" si="15"/>
        <v>720</v>
      </c>
      <c r="U8" s="79"/>
      <c r="V8" s="73">
        <f>SUM(V2:V7)</f>
        <v>334</v>
      </c>
      <c r="W8" s="73">
        <f>SUMPRODUCT(W2:W7,V2:V7)/V8</f>
        <v>7320.4131736526942</v>
      </c>
      <c r="X8" s="236">
        <f>SUMPRODUCT(X2:X7,V2:V7)/V8</f>
        <v>58.203592814371255</v>
      </c>
    </row>
    <row r="10" spans="1:24">
      <c r="A10" t="s">
        <v>83</v>
      </c>
    </row>
    <row r="11" spans="1:24">
      <c r="A11" t="s">
        <v>84</v>
      </c>
    </row>
    <row r="12" spans="1:24">
      <c r="A12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9"/>
  <sheetViews>
    <sheetView zoomScaleNormal="100" workbookViewId="0">
      <pane ySplit="2" topLeftCell="A3" activePane="bottomLeft" state="frozen"/>
      <selection pane="bottomLeft" activeCell="L17" sqref="L17"/>
    </sheetView>
  </sheetViews>
  <sheetFormatPr defaultRowHeight="15"/>
  <cols>
    <col min="1" max="1" width="14.5703125" customWidth="1"/>
    <col min="2" max="2" width="10.85546875" customWidth="1"/>
    <col min="3" max="3" width="10.5703125" bestFit="1" customWidth="1"/>
    <col min="4" max="4" width="6.85546875" bestFit="1" customWidth="1"/>
    <col min="5" max="5" width="2.140625" bestFit="1" customWidth="1"/>
    <col min="6" max="6" width="8.7109375" bestFit="1" customWidth="1"/>
    <col min="7" max="7" width="5.7109375" bestFit="1" customWidth="1"/>
    <col min="8" max="8" width="5.5703125" bestFit="1" customWidth="1"/>
    <col min="9" max="9" width="7.7109375" bestFit="1" customWidth="1"/>
    <col min="10" max="10" width="8.85546875" bestFit="1" customWidth="1"/>
    <col min="11" max="11" width="6.7109375" bestFit="1" customWidth="1"/>
    <col min="12" max="12" width="8.85546875" bestFit="1" customWidth="1"/>
    <col min="13" max="13" width="10.28515625" style="210" customWidth="1"/>
    <col min="14" max="14" width="10.7109375" style="211" bestFit="1" customWidth="1"/>
    <col min="15" max="15" width="10.85546875" style="211" bestFit="1" customWidth="1"/>
    <col min="16" max="16" width="10.5703125" style="211" bestFit="1" customWidth="1"/>
    <col min="17" max="17" width="12" style="211" customWidth="1"/>
    <col min="18" max="18" width="7" style="211" customWidth="1"/>
  </cols>
  <sheetData>
    <row r="1" spans="1:21" s="97" customFormat="1" ht="15.75" thickBot="1">
      <c r="A1" s="97" t="s">
        <v>140</v>
      </c>
      <c r="B1" s="97" t="s">
        <v>127</v>
      </c>
      <c r="C1" s="97" t="s">
        <v>135</v>
      </c>
      <c r="D1" s="97" t="s">
        <v>213</v>
      </c>
      <c r="F1" s="97" t="s">
        <v>73</v>
      </c>
      <c r="I1" s="97" t="s">
        <v>79</v>
      </c>
      <c r="J1" s="97" t="s">
        <v>86</v>
      </c>
      <c r="L1" s="97" t="s">
        <v>205</v>
      </c>
      <c r="M1" s="205" t="s">
        <v>206</v>
      </c>
      <c r="N1" s="205" t="s">
        <v>172</v>
      </c>
      <c r="O1" s="205"/>
      <c r="P1" s="205"/>
      <c r="Q1" s="205"/>
      <c r="R1" s="205"/>
    </row>
    <row r="2" spans="1:21" ht="15.75" thickBot="1">
      <c r="A2" s="230">
        <v>2160000</v>
      </c>
      <c r="B2" s="231">
        <v>250000</v>
      </c>
      <c r="C2" s="203">
        <f ca="1">NOW()</f>
        <v>40281.370420601852</v>
      </c>
      <c r="D2" s="231">
        <v>1124</v>
      </c>
      <c r="F2" s="106">
        <f ca="1">SUM(F7,F12,F31,F20,F26)</f>
        <v>59379.571428571442</v>
      </c>
      <c r="I2" s="106">
        <f ca="1">SUM(I7,I12,I31,I20,I26)</f>
        <v>21359.999999999993</v>
      </c>
      <c r="J2" s="106">
        <f ca="1">SUM(J7,J12,J31,J20,J26)</f>
        <v>45467.000000000015</v>
      </c>
      <c r="L2" s="204" t="str">
        <f ca="1">INDEX(A4:A26,MATCH(M2,M4:M26,0))</f>
        <v>Amendoin</v>
      </c>
      <c r="M2" s="215">
        <f ca="1">MIN(M5:M26)</f>
        <v>40181.689939930555</v>
      </c>
      <c r="N2" s="206">
        <f ca="1">IF(M2="","",IF(M2&gt;NOW(),M2-NOW(),0))</f>
        <v>0</v>
      </c>
      <c r="T2" s="118"/>
      <c r="U2" s="117"/>
    </row>
    <row r="3" spans="1:21">
      <c r="B3" s="5"/>
      <c r="C3" s="5"/>
      <c r="D3" s="5"/>
      <c r="F3" s="5"/>
      <c r="G3" s="5"/>
      <c r="H3" s="5"/>
      <c r="I3" s="5"/>
      <c r="J3" s="5"/>
      <c r="K3" s="5"/>
      <c r="L3" s="5"/>
      <c r="M3" s="216"/>
      <c r="N3" s="207"/>
      <c r="O3" s="207"/>
      <c r="P3" s="207"/>
      <c r="Q3" s="207"/>
    </row>
    <row r="4" spans="1:21" s="96" customFormat="1">
      <c r="A4" s="95" t="s">
        <v>174</v>
      </c>
      <c r="C4" s="104"/>
      <c r="D4" s="93"/>
      <c r="M4" s="217"/>
      <c r="N4" s="208"/>
      <c r="O4" s="208"/>
      <c r="P4" s="208"/>
      <c r="Q4" s="208"/>
      <c r="R4" s="208"/>
    </row>
    <row r="5" spans="1:21" s="97" customFormat="1" ht="15.75" thickBot="1">
      <c r="A5" s="97" t="s">
        <v>0</v>
      </c>
      <c r="B5" s="98" t="s">
        <v>104</v>
      </c>
      <c r="C5" s="97" t="s">
        <v>136</v>
      </c>
      <c r="D5" s="97" t="s">
        <v>122</v>
      </c>
      <c r="E5" s="97" t="s">
        <v>67</v>
      </c>
      <c r="F5" s="97" t="s">
        <v>73</v>
      </c>
      <c r="G5" s="97" t="s">
        <v>119</v>
      </c>
      <c r="H5" s="97" t="s">
        <v>120</v>
      </c>
      <c r="I5" s="97" t="s">
        <v>79</v>
      </c>
      <c r="J5" s="97" t="s">
        <v>86</v>
      </c>
      <c r="K5" s="97" t="s">
        <v>68</v>
      </c>
      <c r="L5" s="97" t="s">
        <v>90</v>
      </c>
      <c r="M5" s="205" t="s">
        <v>133</v>
      </c>
      <c r="N5" s="205" t="s">
        <v>132</v>
      </c>
      <c r="O5" s="205" t="s">
        <v>129</v>
      </c>
      <c r="P5" s="205" t="s">
        <v>130</v>
      </c>
      <c r="Q5" s="205" t="s">
        <v>131</v>
      </c>
      <c r="R5" s="205" t="s">
        <v>126</v>
      </c>
    </row>
    <row r="6" spans="1:21">
      <c r="A6" s="107"/>
      <c r="B6" s="108"/>
      <c r="C6" s="119"/>
      <c r="D6" s="109"/>
      <c r="E6" s="113">
        <v>1</v>
      </c>
      <c r="F6" s="148">
        <f>IF($A6="",0,$B6*VLOOKUP($A6,Frutos!$A$2:$U$39,18,FALSE))</f>
        <v>0</v>
      </c>
      <c r="G6" s="149">
        <f>IF($F$7=0,0,F6/$F$7)</f>
        <v>0</v>
      </c>
      <c r="H6" s="149">
        <f ca="1">F6/$F$2</f>
        <v>0</v>
      </c>
      <c r="I6" s="39">
        <f>IF($A6="",0,$B6*VLOOKUP($A6,Frutos!$A$2:$U$39,21,FALSE))</f>
        <v>0</v>
      </c>
      <c r="J6" s="39">
        <f>IF($A6="",0,L6*VLOOKUP($A6,Frutos!$A$2:$U$39,4,FALSE)/VLOOKUP($A6,Frutos!$A$2:$U$39,16,FALSE))</f>
        <v>0</v>
      </c>
      <c r="K6" s="150">
        <f>IF($A6="",0,B6*VLOOKUP($A6,Frutos!$A$2:$U$39,7,FALSE))</f>
        <v>0</v>
      </c>
      <c r="L6" s="39">
        <f>IF($A6="",0,$B6*VLOOKUP($A6,Frutos!$A$2:$U$39,12,FALSE))</f>
        <v>0</v>
      </c>
      <c r="M6" s="214" t="str">
        <f>IF(E6="","",INDEX(N6:Q6,1,E6))</f>
        <v/>
      </c>
      <c r="N6" s="209" t="str">
        <f>IF(OR($A6="",$C6=""),"",$C6+VLOOKUP($A6,Frutos!$A$2:$U$39,5,FALSE)/24-$D6)</f>
        <v/>
      </c>
      <c r="O6" s="209" t="str">
        <f>IF(OR($A6="",$C6=""),"",IF(VLOOKUP($A6,Frutos!$A$2:$U$39,4,FALSE)&lt;VALUE(RIGHT(O$5,1)),"",N6+VLOOKUP($A6,Frutos!$A$2:$U$39,6,FALSE)/24))</f>
        <v/>
      </c>
      <c r="P6" s="209" t="str">
        <f>IF(OR($A6="",$C6=""),"",IF(VLOOKUP($A6,Frutos!$A$2:$U$39,4,FALSE)&lt;VALUE(RIGHT(P$5,1)),"",O6+VLOOKUP($A6,Frutos!$A$2:$U$39,6,FALSE)/24))</f>
        <v/>
      </c>
      <c r="Q6" s="209" t="str">
        <f>IF(OR($A6="",$C6=""),"",IF(VLOOKUP($A6,Frutos!$A$2:$U$39,4,FALSE)&lt;VALUE(RIGHT(Q$5,1)),"",P6+VLOOKUP($A6,Frutos!$A$2:$U$39,6,FALSE)/24))</f>
        <v/>
      </c>
      <c r="R6" s="222">
        <f ca="1">IF(MAX(N6:Q6)&gt;NOW(),MAX(N6:Q6)-NOW(),0)</f>
        <v>0</v>
      </c>
    </row>
    <row r="7" spans="1:21" s="1" customFormat="1">
      <c r="A7" s="144" t="s">
        <v>118</v>
      </c>
      <c r="B7" s="144"/>
      <c r="C7" s="144"/>
      <c r="D7" s="144"/>
      <c r="E7" s="144"/>
      <c r="F7" s="151">
        <f t="shared" ref="F7:L7" si="0">SUM(F6:F6)</f>
        <v>0</v>
      </c>
      <c r="G7" s="152">
        <f t="shared" si="0"/>
        <v>0</v>
      </c>
      <c r="H7" s="152">
        <f t="shared" ca="1" si="0"/>
        <v>0</v>
      </c>
      <c r="I7" s="153">
        <f t="shared" si="0"/>
        <v>0</v>
      </c>
      <c r="J7" s="154">
        <f t="shared" si="0"/>
        <v>0</v>
      </c>
      <c r="K7" s="154">
        <f t="shared" si="0"/>
        <v>0</v>
      </c>
      <c r="L7" s="154">
        <f t="shared" si="0"/>
        <v>0</v>
      </c>
      <c r="M7" s="210"/>
      <c r="N7" s="210"/>
      <c r="O7" s="210"/>
      <c r="P7" s="210"/>
      <c r="Q7" s="210"/>
      <c r="R7" s="210"/>
    </row>
    <row r="9" spans="1:21" s="96" customFormat="1">
      <c r="A9" s="95" t="s">
        <v>225</v>
      </c>
      <c r="C9" s="104"/>
      <c r="D9" s="93"/>
      <c r="M9" s="217"/>
      <c r="N9" s="208"/>
      <c r="O9" s="208"/>
      <c r="P9" s="208"/>
      <c r="Q9" s="208"/>
      <c r="R9" s="208"/>
    </row>
    <row r="10" spans="1:21" s="97" customFormat="1" ht="15.75" thickBot="1">
      <c r="A10" s="97" t="s">
        <v>0</v>
      </c>
      <c r="B10" s="98" t="s">
        <v>104</v>
      </c>
      <c r="C10" s="97" t="s">
        <v>136</v>
      </c>
      <c r="D10" s="97" t="s">
        <v>122</v>
      </c>
      <c r="E10" s="97" t="s">
        <v>67</v>
      </c>
      <c r="F10" s="97" t="s">
        <v>73</v>
      </c>
      <c r="G10" s="97" t="s">
        <v>119</v>
      </c>
      <c r="H10" s="97" t="s">
        <v>120</v>
      </c>
      <c r="I10" s="97" t="s">
        <v>79</v>
      </c>
      <c r="J10" s="97" t="s">
        <v>86</v>
      </c>
      <c r="K10" s="97" t="s">
        <v>68</v>
      </c>
      <c r="L10" s="97" t="s">
        <v>90</v>
      </c>
      <c r="M10" s="205" t="s">
        <v>133</v>
      </c>
      <c r="N10" s="205" t="s">
        <v>132</v>
      </c>
      <c r="O10" s="205" t="s">
        <v>129</v>
      </c>
      <c r="P10" s="205" t="s">
        <v>130</v>
      </c>
      <c r="Q10" s="205" t="s">
        <v>131</v>
      </c>
      <c r="R10" s="205" t="s">
        <v>126</v>
      </c>
    </row>
    <row r="11" spans="1:21">
      <c r="A11" s="107" t="s">
        <v>19</v>
      </c>
      <c r="B11" s="108">
        <v>20</v>
      </c>
      <c r="C11" s="119">
        <v>40181.606606597219</v>
      </c>
      <c r="D11" s="109"/>
      <c r="E11" s="113">
        <v>1</v>
      </c>
      <c r="F11" s="148">
        <f ca="1">IF($A11="",0,$B11*VLOOKUP($A11,Fertilizantes!$A$4:$AE$41,25,FALSE))</f>
        <v>-41999.999999999985</v>
      </c>
      <c r="G11" s="149">
        <f ca="1">IF($F$12=0,0,F11/$F$12)</f>
        <v>1</v>
      </c>
      <c r="H11" s="149">
        <f ca="1">F11/$F$2</f>
        <v>-0.70731396319561524</v>
      </c>
      <c r="I11" s="39">
        <f ca="1">IF($A11="",0,$B11*VLOOKUP($A11,Fertilizantes!$A$4:$AE$41,26,FALSE))</f>
        <v>20639.999999999993</v>
      </c>
      <c r="J11" s="39">
        <f ca="1">F11</f>
        <v>-41999.999999999985</v>
      </c>
      <c r="K11" s="150">
        <f>IF($A11="",0,B11*VLOOKUP($A11,Frutos!$A$2:$U$39,7,FALSE))</f>
        <v>1140</v>
      </c>
      <c r="L11" s="39">
        <f>IF($A11="",0,$B11*VLOOKUP($A11,Frutos!$A$2:$U$39,12,FALSE))</f>
        <v>142500</v>
      </c>
      <c r="M11" s="214">
        <f ca="1">IF(E11="","",INDEX(N11:Q11,1,E11))</f>
        <v>40181.689939930555</v>
      </c>
      <c r="N11" s="209">
        <f ca="1">IF(OR($A11="",$C11=""),"",$C11+VLOOKUP($A11,Fertilizantes!$A$4:$AE$41,23,FALSE)-$D11)</f>
        <v>40181.689939930555</v>
      </c>
      <c r="O11" s="209" t="str">
        <f>IF(OR($A11="",$C11=""),"",IF(VLOOKUP($A11,Frutos!$A$2:$U$39,4,FALSE)&lt;VALUE(RIGHT(O$5,1)),"",N11+VLOOKUP($A11,Frutos!$A$2:$U$39,6,FALSE)/24))</f>
        <v/>
      </c>
      <c r="P11" s="209" t="str">
        <f>IF(OR($A11="",$C11=""),"",IF(VLOOKUP($A11,Frutos!$A$2:$U$39,4,FALSE)&lt;VALUE(RIGHT(P$5,1)),"",O11+VLOOKUP($A11,Frutos!$A$2:$U$39,6,FALSE)/24))</f>
        <v/>
      </c>
      <c r="Q11" s="209" t="str">
        <f>IF(OR($A11="",$C11=""),"",IF(VLOOKUP($A11,Frutos!$A$2:$U$39,4,FALSE)&lt;VALUE(RIGHT(Q$5,1)),"",P11+VLOOKUP($A11,Frutos!$A$2:$U$39,6,FALSE)/24))</f>
        <v/>
      </c>
      <c r="R11" s="222">
        <f ca="1">IF(MAX(N11:Q11)&gt;NOW(),MAX(N11:Q11)-NOW(),0)</f>
        <v>0</v>
      </c>
    </row>
    <row r="12" spans="1:21" s="1" customFormat="1">
      <c r="A12" s="144" t="s">
        <v>118</v>
      </c>
      <c r="B12" s="144"/>
      <c r="C12" s="144"/>
      <c r="D12" s="144"/>
      <c r="E12" s="144"/>
      <c r="F12" s="151">
        <f t="shared" ref="F12:L12" ca="1" si="1">SUM(F11:F11)</f>
        <v>-41999.999999999985</v>
      </c>
      <c r="G12" s="152">
        <f t="shared" ca="1" si="1"/>
        <v>1</v>
      </c>
      <c r="H12" s="152">
        <f t="shared" ca="1" si="1"/>
        <v>-0.70731396319561524</v>
      </c>
      <c r="I12" s="153">
        <f t="shared" ca="1" si="1"/>
        <v>20639.999999999993</v>
      </c>
      <c r="J12" s="154">
        <f t="shared" ca="1" si="1"/>
        <v>-41999.999999999985</v>
      </c>
      <c r="K12" s="154">
        <f t="shared" si="1"/>
        <v>1140</v>
      </c>
      <c r="L12" s="154">
        <f t="shared" si="1"/>
        <v>142500</v>
      </c>
      <c r="M12" s="210"/>
      <c r="N12" s="210"/>
      <c r="O12" s="210"/>
      <c r="P12" s="210"/>
      <c r="Q12" s="210"/>
      <c r="R12" s="210"/>
    </row>
    <row r="14" spans="1:21">
      <c r="A14" s="1" t="s">
        <v>112</v>
      </c>
      <c r="C14" s="19"/>
      <c r="D14" s="93"/>
    </row>
    <row r="15" spans="1:21" s="97" customFormat="1" ht="15.75" thickBot="1">
      <c r="A15" s="97" t="s">
        <v>0</v>
      </c>
      <c r="B15" s="98" t="s">
        <v>121</v>
      </c>
      <c r="C15" s="97" t="s">
        <v>137</v>
      </c>
      <c r="D15" s="97" t="s">
        <v>117</v>
      </c>
      <c r="F15" s="97" t="s">
        <v>73</v>
      </c>
      <c r="G15" s="97" t="s">
        <v>119</v>
      </c>
      <c r="H15" s="97" t="s">
        <v>120</v>
      </c>
      <c r="I15" s="97" t="s">
        <v>79</v>
      </c>
      <c r="J15" s="97" t="s">
        <v>86</v>
      </c>
      <c r="K15" s="97" t="s">
        <v>68</v>
      </c>
      <c r="L15" s="97" t="s">
        <v>90</v>
      </c>
      <c r="M15" s="205" t="s">
        <v>134</v>
      </c>
      <c r="N15" s="205" t="s">
        <v>126</v>
      </c>
      <c r="O15" s="205" t="s">
        <v>114</v>
      </c>
      <c r="P15" s="205"/>
      <c r="Q15" s="205"/>
      <c r="R15" s="205"/>
    </row>
    <row r="16" spans="1:21">
      <c r="A16" s="105" t="s">
        <v>23</v>
      </c>
      <c r="B16" s="112">
        <v>40171.364151388887</v>
      </c>
      <c r="C16" s="119">
        <v>40181.605711574077</v>
      </c>
      <c r="D16" s="109">
        <v>0.33333333333333331</v>
      </c>
      <c r="E16" s="155"/>
      <c r="F16" s="146">
        <f>IF($A16="",0,VLOOKUP($A16,'Animais Produção'!$A$2:$U$7,18,FALSE))</f>
        <v>9213.3333333333339</v>
      </c>
      <c r="G16" s="145">
        <f>IF($F$20=0,0,F16/$F$20)</f>
        <v>0.11596829752329646</v>
      </c>
      <c r="H16" s="145">
        <f ca="1">F16/$F$2</f>
        <v>0.15515998367243503</v>
      </c>
      <c r="I16" s="146">
        <f>IF($A16="",0,VLOOKUP($A16,'Animais Produção'!$A$2:$U$7,20,FALSE))</f>
        <v>120</v>
      </c>
      <c r="J16" s="31">
        <f>IF($A16="",0,VLOOKUP($A16,'Animais Produção'!$A$2:$U$7,16,FALSE))</f>
        <v>9480</v>
      </c>
      <c r="K16" s="147">
        <f>IF($A16="",0,VLOOKUP($A16,'Animais Produção'!$A$2:$U$7,12,FALSE))</f>
        <v>20</v>
      </c>
      <c r="L16" s="146">
        <f>IF($A16="",0,VLOOKUP($A16,'Animais Produção'!$A$2:$U$7,13,FALSE))</f>
        <v>3200</v>
      </c>
      <c r="M16" s="214">
        <f>IF(OR($A16="",$C16=""),"",$C16+$D16)</f>
        <v>40181.939044907413</v>
      </c>
      <c r="N16" s="199">
        <f ca="1">IF(M16="",0,IF(M16&gt;NOW(),M16-NOW(),0))</f>
        <v>0</v>
      </c>
      <c r="O16" s="219">
        <f>IF(OR($A16="",$B16=""),"",B16+VLOOKUP($A16,'Animais Produção'!$A$2:$Q$7,3,FALSE))</f>
        <v>40201.364151388887</v>
      </c>
      <c r="P16" s="223">
        <f>O16</f>
        <v>40201.364151388887</v>
      </c>
      <c r="Q16" s="225" t="str">
        <f ca="1">IF(OR($A16="",$B16=""),"",IF(O16&gt;NOW(),O16-NOW(),"expirado"))</f>
        <v>expirado</v>
      </c>
    </row>
    <row r="17" spans="1:29">
      <c r="A17" s="105" t="s">
        <v>27</v>
      </c>
      <c r="B17" s="112">
        <v>40143.304760300925</v>
      </c>
      <c r="C17" s="119">
        <v>40181.605711574077</v>
      </c>
      <c r="D17" s="109">
        <v>0.33333333333333331</v>
      </c>
      <c r="E17" s="156"/>
      <c r="F17" s="39">
        <f>IF($A17="",0,VLOOKUP($A17,'Animais Produção'!$A$2:$U$7,18,FALSE))</f>
        <v>14826.666666666666</v>
      </c>
      <c r="G17" s="149">
        <f>IF($F$20=0,0,F17/$F$20)</f>
        <v>0.18662336736021079</v>
      </c>
      <c r="H17" s="149">
        <f ca="1">F17/$F$2</f>
        <v>0.24969305621381727</v>
      </c>
      <c r="I17" s="39">
        <f>IF($A17="",0,VLOOKUP($A17,'Animais Produção'!$A$2:$U$7,20,FALSE))</f>
        <v>120</v>
      </c>
      <c r="J17" s="31">
        <f>IF($A17="",0,VLOOKUP($A17,'Animais Produção'!$A$2:$U$7,16,FALSE))</f>
        <v>15660</v>
      </c>
      <c r="K17" s="150">
        <f>IF($A17="",0,VLOOKUP($A17,'Animais Produção'!$A$2:$U$7,12,FALSE))</f>
        <v>24</v>
      </c>
      <c r="L17" s="39">
        <f>IF($A17="",0,VLOOKUP($A17,'Animais Produção'!$A$2:$U$7,13,FALSE))</f>
        <v>5280</v>
      </c>
      <c r="M17" s="214">
        <f>IF(OR($A17="",$C17=""),"",$C17+$D17)</f>
        <v>40181.939044907413</v>
      </c>
      <c r="N17" s="199">
        <f ca="1">IF(M17="",0,IF(M17&gt;NOW(),M17-NOW(),0))</f>
        <v>0</v>
      </c>
      <c r="O17" s="219">
        <f>IF(OR($A17="",$B17=""),"",B17+VLOOKUP($A17,'Animais Produção'!$A$2:$Q$7,3,FALSE))</f>
        <v>40203.304760300925</v>
      </c>
      <c r="P17" s="224">
        <f>O17</f>
        <v>40203.304760300925</v>
      </c>
      <c r="Q17" s="225" t="str">
        <f ca="1">IF(OR($A17="",$B17=""),"",IF(O17&gt;NOW(),O17-NOW(),"expirado"))</f>
        <v>expirado</v>
      </c>
    </row>
    <row r="18" spans="1:29">
      <c r="A18" s="105" t="s">
        <v>30</v>
      </c>
      <c r="B18" s="112">
        <v>40175.336302546297</v>
      </c>
      <c r="C18" s="119">
        <v>40181.605711574077</v>
      </c>
      <c r="D18" s="109">
        <v>0.33333333333333331</v>
      </c>
      <c r="E18" s="156"/>
      <c r="F18" s="39">
        <f>IF($A18="",0,VLOOKUP($A18,'Animais Produção'!$A$2:$U$7,18,FALSE))</f>
        <v>20520</v>
      </c>
      <c r="G18" s="149">
        <f>IF($F$20=0,0,F18/$F$20)</f>
        <v>0.25828539781237808</v>
      </c>
      <c r="H18" s="149">
        <f ca="1">F18/$F$2</f>
        <v>0.34557339344700072</v>
      </c>
      <c r="I18" s="39">
        <f>IF($A18="",0,VLOOKUP($A18,'Animais Produção'!$A$2:$U$7,20,FALSE))</f>
        <v>120</v>
      </c>
      <c r="J18" s="31">
        <f>IF($A18="",0,VLOOKUP($A18,'Animais Produção'!$A$2:$U$7,16,FALSE))</f>
        <v>27720</v>
      </c>
      <c r="K18" s="150">
        <f>IF($A18="",0,VLOOKUP($A18,'Animais Produção'!$A$2:$U$7,12,FALSE))</f>
        <v>24</v>
      </c>
      <c r="L18" s="39">
        <f>IF($A18="",0,VLOOKUP($A18,'Animais Produção'!$A$2:$U$7,13,FALSE))</f>
        <v>9360</v>
      </c>
      <c r="M18" s="214">
        <f>IF(OR($A18="",$C18=""),"",$C18+$D18)</f>
        <v>40181.939044907413</v>
      </c>
      <c r="N18" s="199">
        <f ca="1">IF(M18="",0,IF(M18&gt;NOW(),M18-NOW(),0))</f>
        <v>0</v>
      </c>
      <c r="O18" s="219">
        <f>IF(OR($A18="",$B18=""),"",B18+VLOOKUP($A18,'Animais Produção'!$A$2:$Q$7,3,FALSE))</f>
        <v>40200.336302546297</v>
      </c>
      <c r="P18" s="224">
        <f>O18</f>
        <v>40200.336302546297</v>
      </c>
      <c r="Q18" s="225" t="str">
        <f ca="1">IF(OR($A18="",$B18=""),"",IF(O18&gt;NOW(),O18-NOW(),"expirado"))</f>
        <v>expirado</v>
      </c>
    </row>
    <row r="19" spans="1:29">
      <c r="A19" s="105" t="s">
        <v>96</v>
      </c>
      <c r="B19" s="112">
        <v>40181.264020833332</v>
      </c>
      <c r="C19" s="119">
        <v>40181.605711574077</v>
      </c>
      <c r="D19" s="109">
        <v>0.33333333333333331</v>
      </c>
      <c r="E19" s="156"/>
      <c r="F19" s="39">
        <f>IF($A19="",0,VLOOKUP($A19,'Animais Produção'!$A$2:$U$7,18,FALSE))</f>
        <v>34887</v>
      </c>
      <c r="G19" s="149">
        <f>IF($F$20=0,0,F19/$F$20)</f>
        <v>0.43912293730411467</v>
      </c>
      <c r="H19" s="149">
        <f ca="1">F19/$F$2</f>
        <v>0.58752529128584374</v>
      </c>
      <c r="I19" s="39">
        <f>IF($A19="",0,VLOOKUP($A19,'Animais Produção'!$A$2:$U$7,20,FALSE))</f>
        <v>120</v>
      </c>
      <c r="J19" s="31">
        <f>IF($A19="",0,VLOOKUP($A19,'Animais Produção'!$A$2:$U$7,16,FALSE))</f>
        <v>34887</v>
      </c>
      <c r="K19" s="150">
        <f>IF($A19="",0,VLOOKUP($A19,'Animais Produção'!$A$2:$U$7,12,FALSE))</f>
        <v>31</v>
      </c>
      <c r="L19" s="39">
        <f>IF($A19="",0,VLOOKUP($A19,'Animais Produção'!$A$2:$U$7,13,FALSE))</f>
        <v>11749</v>
      </c>
      <c r="M19" s="214">
        <f>IF(OR($A19="",$C19=""),"",$C19+$D19)</f>
        <v>40181.939044907413</v>
      </c>
      <c r="N19" s="199">
        <f ca="1">IF(M19="",0,IF(M19&gt;NOW(),M19-NOW(),0))</f>
        <v>0</v>
      </c>
      <c r="O19" s="219">
        <f>IF(OR($A19="",$B19=""),"",B19+VLOOKUP($A19,'Animais Produção'!$A$2:$Q$7,3,FALSE))</f>
        <v>40195.264020833332</v>
      </c>
      <c r="P19" s="224">
        <f>O19</f>
        <v>40195.264020833332</v>
      </c>
      <c r="Q19" s="225" t="str">
        <f ca="1">IF(OR($A19="",$B19=""),"",IF(O19&gt;NOW(),O19-NOW(),"expirado"))</f>
        <v>expirado</v>
      </c>
    </row>
    <row r="20" spans="1:29" s="1" customFormat="1">
      <c r="A20" s="144" t="s">
        <v>118</v>
      </c>
      <c r="B20" s="144"/>
      <c r="C20" s="144"/>
      <c r="D20" s="144"/>
      <c r="E20" s="144"/>
      <c r="F20" s="151">
        <f t="shared" ref="F20:L20" si="2">SUM(F16:F19)</f>
        <v>79447</v>
      </c>
      <c r="G20" s="152">
        <f t="shared" si="2"/>
        <v>1</v>
      </c>
      <c r="H20" s="152">
        <f t="shared" ca="1" si="2"/>
        <v>1.3379517246190968</v>
      </c>
      <c r="I20" s="153">
        <f t="shared" si="2"/>
        <v>480</v>
      </c>
      <c r="J20" s="154">
        <f>SUM(J16:J19)</f>
        <v>87747</v>
      </c>
      <c r="K20" s="154">
        <f t="shared" si="2"/>
        <v>99</v>
      </c>
      <c r="L20" s="154">
        <f t="shared" si="2"/>
        <v>29589</v>
      </c>
      <c r="M20" s="210"/>
      <c r="N20" s="210"/>
      <c r="O20" s="210"/>
      <c r="P20" s="210"/>
      <c r="Q20" s="210"/>
      <c r="R20" s="210"/>
    </row>
    <row r="22" spans="1:29">
      <c r="A22" s="1" t="s">
        <v>113</v>
      </c>
      <c r="C22" s="19"/>
      <c r="D22" s="93"/>
    </row>
    <row r="23" spans="1:29" s="97" customFormat="1" ht="15.75" thickBot="1">
      <c r="A23" s="97" t="s">
        <v>0</v>
      </c>
      <c r="B23" s="98" t="s">
        <v>121</v>
      </c>
      <c r="C23" s="97" t="s">
        <v>137</v>
      </c>
      <c r="D23" s="97" t="s">
        <v>138</v>
      </c>
      <c r="F23" s="97" t="s">
        <v>73</v>
      </c>
      <c r="G23" s="97" t="s">
        <v>119</v>
      </c>
      <c r="H23" s="97" t="s">
        <v>120</v>
      </c>
      <c r="I23" s="97" t="s">
        <v>79</v>
      </c>
      <c r="J23" s="97" t="s">
        <v>86</v>
      </c>
      <c r="M23" s="205" t="s">
        <v>134</v>
      </c>
      <c r="N23" s="205" t="s">
        <v>126</v>
      </c>
      <c r="O23" s="205" t="s">
        <v>114</v>
      </c>
      <c r="P23" s="205"/>
      <c r="Q23" s="205"/>
      <c r="R23" s="205"/>
    </row>
    <row r="24" spans="1:29">
      <c r="A24" s="105" t="s">
        <v>29</v>
      </c>
      <c r="B24" s="112">
        <v>40180.309849537036</v>
      </c>
      <c r="C24" s="119">
        <v>40181.605865625002</v>
      </c>
      <c r="D24" s="111">
        <v>100</v>
      </c>
      <c r="E24" s="155"/>
      <c r="F24" s="146">
        <f>IF($A24="",0,VLOOKUP($A24,'Animais Abate'!$A$2:$T$7,14,FALSE))</f>
        <v>11308.571428571429</v>
      </c>
      <c r="G24" s="145">
        <f>IF($F$26=0,0,F24/$F$26)</f>
        <v>0.51560627377416501</v>
      </c>
      <c r="H24" s="145">
        <f ca="1">F24/$F$2</f>
        <v>0.19044548750532286</v>
      </c>
      <c r="I24" s="146">
        <f>IF($A24="",0,VLOOKUP($A24,'Animais Abate'!$A$2:$T$7,16,FALSE))</f>
        <v>120</v>
      </c>
      <c r="J24" s="31">
        <f>IF($A24="",0,-VLOOKUP($A24,'Animais Abate'!$A$2:$T$7,12,FALSE))</f>
        <v>-120</v>
      </c>
      <c r="K24" s="147"/>
      <c r="L24" s="146"/>
      <c r="M24" s="218">
        <f>IF(OR($A24="",$C24=""),"",$C24+($D24/100)*VLOOKUP($A24,'Animais Abate'!$A$2:$T$7,9,FALSE)/24)</f>
        <v>40182.105865625002</v>
      </c>
      <c r="N24" s="212">
        <f ca="1">IF(M24="",0,IF(M24&gt;NOW(),M24-NOW(),0))</f>
        <v>0</v>
      </c>
      <c r="O24" s="220">
        <f>IF(OR($A24="",$B24=""),"",$B24+VLOOKUP($A24,'Animais Abate'!$A$2:$T$7,3,FALSE))</f>
        <v>40187.309849537036</v>
      </c>
      <c r="P24" s="226">
        <f>O24</f>
        <v>40187.309849537036</v>
      </c>
      <c r="Q24" s="227" t="str">
        <f ca="1">IF(OR($A24="",$B24=""),"",IF($O24&gt;NOW(),$O24-NOW(),"expirado"))</f>
        <v>expirado</v>
      </c>
    </row>
    <row r="25" spans="1:29">
      <c r="A25" s="105" t="s">
        <v>31</v>
      </c>
      <c r="B25" s="112">
        <v>40177.052378009263</v>
      </c>
      <c r="C25" s="119">
        <v>40181.605865625002</v>
      </c>
      <c r="D25" s="111">
        <v>100</v>
      </c>
      <c r="E25" s="156"/>
      <c r="F25" s="39">
        <f>IF($A25="",0,VLOOKUP($A25,'Animais Abate'!$A$2:$T$7,14,FALSE))</f>
        <v>10624</v>
      </c>
      <c r="G25" s="149">
        <f>IF($F$26=0,0,F25/$F$26)</f>
        <v>0.48439372622583504</v>
      </c>
      <c r="H25" s="149">
        <f ca="1">F25/$F$2</f>
        <v>0.17891675107119567</v>
      </c>
      <c r="I25" s="39">
        <f>IF($A25="",0,VLOOKUP($A25,'Animais Abate'!$A$2:$T$7,16,FALSE))</f>
        <v>120</v>
      </c>
      <c r="J25" s="31">
        <f>IF($A25="",0,-VLOOKUP($A25,'Animais Abate'!$A$2:$T$7,12,FALSE))</f>
        <v>-160</v>
      </c>
      <c r="K25" s="150"/>
      <c r="L25" s="39"/>
      <c r="M25" s="214">
        <f>IF(OR($A25="",$C25=""),"",$C25+($D25/100)*VLOOKUP($A25,'Animais Abate'!$A$2:$T$7,9,FALSE)/24)</f>
        <v>40182.105865625002</v>
      </c>
      <c r="N25" s="213">
        <f ca="1">IF(M25="",0,IF(M25&gt;NOW(),M25-NOW(),0))</f>
        <v>0</v>
      </c>
      <c r="O25" s="221">
        <f>IF(OR($A25="",$B25=""),"",$B25+VLOOKUP($A25,'Animais Abate'!$A$2:$T$7,3,FALSE))</f>
        <v>40187.052378009263</v>
      </c>
      <c r="P25" s="228">
        <f>O25</f>
        <v>40187.052378009263</v>
      </c>
      <c r="Q25" s="229" t="str">
        <f ca="1">IF(OR($A25="",$B25=""),"",IF($O25&gt;NOW(),$O25-NOW(),"expirado"))</f>
        <v>expirado</v>
      </c>
    </row>
    <row r="26" spans="1:29" s="1" customFormat="1">
      <c r="A26" s="144" t="s">
        <v>118</v>
      </c>
      <c r="B26" s="144"/>
      <c r="C26" s="144"/>
      <c r="D26" s="144"/>
      <c r="E26" s="144"/>
      <c r="F26" s="151">
        <f>SUM(F24:F25)</f>
        <v>21932.571428571428</v>
      </c>
      <c r="G26" s="152">
        <f>SUM(G24:G25)</f>
        <v>1</v>
      </c>
      <c r="H26" s="152">
        <f ca="1">SUM(H24:H25)</f>
        <v>0.36936223857651851</v>
      </c>
      <c r="I26" s="153">
        <f>SUM(I24:I25)</f>
        <v>240</v>
      </c>
      <c r="J26" s="153">
        <f>SUM(J24:J25)</f>
        <v>-280</v>
      </c>
      <c r="K26" s="144"/>
      <c r="L26" s="144"/>
      <c r="M26" s="210"/>
      <c r="N26" s="210"/>
      <c r="O26" s="210"/>
      <c r="P26" s="210"/>
      <c r="Q26" s="210"/>
      <c r="R26" s="210"/>
    </row>
    <row r="27" spans="1:29">
      <c r="A27" s="5"/>
      <c r="B27" s="5"/>
      <c r="C27" s="5"/>
      <c r="D27" s="5"/>
      <c r="F27" s="5"/>
      <c r="G27" s="5"/>
      <c r="H27" s="5"/>
      <c r="I27" s="5"/>
      <c r="J27" s="5"/>
      <c r="K27" s="5"/>
      <c r="L27" s="5"/>
      <c r="M27" s="216"/>
      <c r="N27" s="207"/>
      <c r="O27" s="207"/>
      <c r="P27" s="207"/>
      <c r="Q27" s="207"/>
      <c r="S27" s="5"/>
      <c r="T27" s="5"/>
      <c r="U27" s="5"/>
      <c r="V27" s="14"/>
      <c r="W27" s="10"/>
      <c r="X27" s="5"/>
      <c r="Y27" s="5"/>
      <c r="Z27" s="15"/>
      <c r="AA27" s="15"/>
      <c r="AC27" s="5"/>
    </row>
    <row r="28" spans="1:29" s="96" customFormat="1">
      <c r="A28" s="95" t="s">
        <v>173</v>
      </c>
      <c r="C28" s="104"/>
      <c r="D28" s="93"/>
      <c r="M28" s="217"/>
      <c r="N28" s="208"/>
      <c r="O28" s="208"/>
      <c r="P28" s="208"/>
      <c r="Q28" s="208"/>
      <c r="R28" s="208"/>
    </row>
    <row r="29" spans="1:29" s="97" customFormat="1" ht="15.75" thickBot="1">
      <c r="A29" s="97" t="s">
        <v>0</v>
      </c>
      <c r="B29" s="98" t="s">
        <v>104</v>
      </c>
      <c r="C29" s="97" t="s">
        <v>136</v>
      </c>
      <c r="D29" s="97" t="s">
        <v>122</v>
      </c>
      <c r="I29" s="97" t="s">
        <v>79</v>
      </c>
      <c r="M29" s="205" t="s">
        <v>133</v>
      </c>
      <c r="N29" s="205" t="s">
        <v>126</v>
      </c>
      <c r="O29" s="205"/>
      <c r="P29" s="205"/>
      <c r="Q29" s="205"/>
      <c r="R29" s="205"/>
    </row>
    <row r="30" spans="1:29">
      <c r="A30" s="107"/>
      <c r="B30" s="108"/>
      <c r="C30" s="119"/>
      <c r="D30" s="109"/>
      <c r="E30" s="149"/>
      <c r="F30" s="149"/>
      <c r="G30" s="149"/>
      <c r="H30" s="149"/>
      <c r="I30" s="39">
        <f>IF($A30="",0,$B30*VLOOKUP($A30,Flores!$A$2:$Y$36,11,FALSE))</f>
        <v>0</v>
      </c>
      <c r="J30" s="39"/>
      <c r="K30" s="150"/>
      <c r="L30" s="39"/>
      <c r="M30" s="214" t="str">
        <f>IF(OR($A30="",$C30=""),"",$C30+VLOOKUP($A30,Flores!$A$2:$Y$36,4,FALSE)/24-$D30)</f>
        <v/>
      </c>
      <c r="N30" s="199" t="str">
        <f ca="1">IF(M30="","",IF(M30&gt;NOW(),M30-NOW(),0))</f>
        <v/>
      </c>
    </row>
    <row r="31" spans="1:29" s="1" customFormat="1">
      <c r="A31" s="144" t="s">
        <v>118</v>
      </c>
      <c r="B31" s="144"/>
      <c r="C31" s="144"/>
      <c r="D31" s="144"/>
      <c r="E31" s="144"/>
      <c r="F31" s="151"/>
      <c r="G31" s="152"/>
      <c r="H31" s="152"/>
      <c r="I31" s="153">
        <f>SUM(I30:I30)</f>
        <v>0</v>
      </c>
      <c r="J31" s="151"/>
      <c r="K31" s="151"/>
      <c r="L31" s="151"/>
      <c r="M31" s="210"/>
      <c r="N31" s="210"/>
      <c r="O31" s="210"/>
      <c r="P31" s="210"/>
      <c r="Q31" s="210"/>
      <c r="R31" s="210"/>
    </row>
    <row r="32" spans="1:29">
      <c r="A32" s="5"/>
      <c r="C32" s="16"/>
    </row>
    <row r="33" spans="1:23">
      <c r="A33" s="5"/>
      <c r="C33" s="16"/>
      <c r="E33" s="16"/>
      <c r="T33" s="17"/>
      <c r="V33" s="1"/>
      <c r="W33" s="4"/>
    </row>
    <row r="34" spans="1:23">
      <c r="A34" s="5"/>
      <c r="E34" s="16"/>
      <c r="T34" s="17"/>
    </row>
    <row r="35" spans="1:23">
      <c r="A35" s="5"/>
      <c r="E35" s="16"/>
      <c r="T35" s="17"/>
    </row>
    <row r="36" spans="1:23">
      <c r="A36" s="5"/>
    </row>
    <row r="37" spans="1:23">
      <c r="A37" s="5"/>
    </row>
    <row r="38" spans="1:23">
      <c r="A38" s="5"/>
    </row>
    <row r="39" spans="1:23">
      <c r="A39" s="5"/>
    </row>
  </sheetData>
  <dataConsolidate/>
  <conditionalFormatting sqref="N30 Q24:Q25 N24:N25 N16:N19 Q16:Q19 R11 N2 U2 R6">
    <cfRule type="cellIs" dxfId="183" priority="61" operator="greaterThan">
      <formula>30</formula>
    </cfRule>
    <cfRule type="cellIs" dxfId="182" priority="62" operator="between">
      <formula>1</formula>
      <formula>30</formula>
    </cfRule>
    <cfRule type="cellIs" dxfId="181" priority="63" operator="lessThan">
      <formula>1</formula>
    </cfRule>
  </conditionalFormatting>
  <conditionalFormatting sqref="R6">
    <cfRule type="cellIs" dxfId="180" priority="10" operator="greaterThan">
      <formula>30</formula>
    </cfRule>
    <cfRule type="cellIs" dxfId="179" priority="11" operator="between">
      <formula>1</formula>
      <formula>30</formula>
    </cfRule>
    <cfRule type="cellIs" dxfId="178" priority="12" operator="lessThan">
      <formula>1</formula>
    </cfRule>
  </conditionalFormatting>
  <conditionalFormatting sqref="R6">
    <cfRule type="cellIs" dxfId="177" priority="7" operator="greaterThan">
      <formula>30</formula>
    </cfRule>
    <cfRule type="cellIs" dxfId="176" priority="8" operator="between">
      <formula>1</formula>
      <formula>30</formula>
    </cfRule>
    <cfRule type="cellIs" dxfId="175" priority="9" operator="lessThan">
      <formula>1</formula>
    </cfRule>
  </conditionalFormatting>
  <conditionalFormatting sqref="R6">
    <cfRule type="cellIs" dxfId="174" priority="4" operator="greaterThan">
      <formula>30</formula>
    </cfRule>
    <cfRule type="cellIs" dxfId="173" priority="5" operator="between">
      <formula>1</formula>
      <formula>30</formula>
    </cfRule>
    <cfRule type="cellIs" dxfId="172" priority="6" operator="lessThan">
      <formula>1</formula>
    </cfRule>
  </conditionalFormatting>
  <conditionalFormatting sqref="R6">
    <cfRule type="cellIs" dxfId="171" priority="1" operator="greaterThan">
      <formula>30</formula>
    </cfRule>
    <cfRule type="cellIs" dxfId="170" priority="2" operator="between">
      <formula>1</formula>
      <formula>30</formula>
    </cfRule>
    <cfRule type="cellIs" dxfId="169" priority="3" operator="lessThan">
      <formula>1</formula>
    </cfRule>
  </conditionalFormatting>
  <dataValidations count="4">
    <dataValidation type="list" allowBlank="1" showInputMessage="1" showErrorMessage="1" sqref="A30">
      <formula1>Flores!A2:A19</formula1>
    </dataValidation>
    <dataValidation type="list" allowBlank="1" showInputMessage="1" showErrorMessage="1" sqref="A16:A19">
      <formula1>'Animais Produção'!A2:A7</formula1>
    </dataValidation>
    <dataValidation type="list" allowBlank="1" showInputMessage="1" showErrorMessage="1" sqref="A24:A25">
      <formula1>'Animais Abate'!A2:A5</formula1>
    </dataValidation>
    <dataValidation type="list" allowBlank="1" showInputMessage="1" showErrorMessage="1" sqref="A11 A6">
      <formula1>Frutos!A2:A39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activeCell="E3" sqref="E3"/>
    </sheetView>
  </sheetViews>
  <sheetFormatPr defaultRowHeight="15"/>
  <cols>
    <col min="1" max="1" width="14.42578125" customWidth="1"/>
    <col min="2" max="2" width="6.85546875" bestFit="1" customWidth="1"/>
    <col min="3" max="3" width="7.28515625" bestFit="1" customWidth="1"/>
    <col min="4" max="4" width="16" style="170" bestFit="1" customWidth="1"/>
    <col min="5" max="5" width="21" bestFit="1" customWidth="1"/>
    <col min="6" max="6" width="20.28515625" bestFit="1" customWidth="1"/>
    <col min="7" max="7" width="15.85546875" bestFit="1" customWidth="1"/>
    <col min="8" max="8" width="12" bestFit="1" customWidth="1"/>
    <col min="9" max="9" width="5.42578125" bestFit="1" customWidth="1"/>
    <col min="10" max="10" width="7.42578125" bestFit="1" customWidth="1"/>
    <col min="11" max="11" width="10.5703125" bestFit="1" customWidth="1"/>
    <col min="12" max="13" width="10.85546875" bestFit="1" customWidth="1"/>
    <col min="14" max="15" width="10.5703125" bestFit="1" customWidth="1"/>
    <col min="16" max="16" width="7" customWidth="1"/>
  </cols>
  <sheetData>
    <row r="1" spans="1:5" s="96" customFormat="1">
      <c r="A1" s="95" t="s">
        <v>174</v>
      </c>
      <c r="C1" s="104"/>
      <c r="D1" s="167"/>
    </row>
    <row r="2" spans="1:5" s="97" customFormat="1" ht="15.75" thickBot="1">
      <c r="A2" s="97" t="s">
        <v>0</v>
      </c>
      <c r="B2" s="97" t="s">
        <v>188</v>
      </c>
      <c r="C2" s="97" t="s">
        <v>178</v>
      </c>
      <c r="D2" s="168" t="s">
        <v>177</v>
      </c>
      <c r="E2" s="97" t="s">
        <v>189</v>
      </c>
    </row>
    <row r="3" spans="1:5">
      <c r="A3" s="107" t="s">
        <v>11</v>
      </c>
      <c r="B3" s="113">
        <v>4</v>
      </c>
      <c r="C3" s="109">
        <v>0.15138888888888888</v>
      </c>
      <c r="D3" s="169" t="s">
        <v>190</v>
      </c>
      <c r="E3" s="191">
        <f ca="1">NOW()+C3+SUM(OFFSET(Fertilizantes!$A$1,MATCH(A3,Fertilizantes!A:A,0)-1,COLUMN(Fertilizantes!$L$1)+MATCH(D3,Param!$C$8:$C$12,0)-1,1,6-MATCH(D3,Param!$C$8:$C$12,0)))+IF(B3&lt;VLOOKUP(A3,Fertilizantes!$A$4:$AE$41,3,FALSE),(VLOOKUP(A3,Fertilizantes!$A$4:$AE$41,3,FALSE)-B3)*VLOOKUP(A3,Fertilizantes!$A$4:$AE$41,5,FALSE)/24,0)-VLOOKUP(A3,Fertilizantes!$A$4:$AE$41,7,FALSE)</f>
        <v>40276.27180949074</v>
      </c>
    </row>
    <row r="4" spans="1:5">
      <c r="A4" s="107" t="s">
        <v>59</v>
      </c>
      <c r="B4" s="113">
        <v>4</v>
      </c>
      <c r="C4" s="109">
        <v>0.19791666666666666</v>
      </c>
      <c r="D4" s="169" t="s">
        <v>182</v>
      </c>
      <c r="E4" s="191">
        <f ca="1">NOW()+C4+SUM(OFFSET(Fertilizantes!$A$1,MATCH(A4,Fertilizantes!A:A,0)-1,COLUMN(Fertilizantes!$L$1)+MATCH(D4,Param!$C$8:$C$12,0)-1,1,6-MATCH(D4,Param!$C$8:$C$12,0)))+IF(B4&lt;VLOOKUP(A4,Fertilizantes!$A$4:$AE$41,3,FALSE),(VLOOKUP(A4,Fertilizantes!$A$4:$AE$41,3,FALSE)-B4)*VLOOKUP(A4,Fertilizantes!$A$4:$AE$41,5,FALSE)/24,0)-VLOOKUP(A4,Fertilizantes!$A$4:$AE$41,7,FALSE)</f>
        <v>40276.526670254629</v>
      </c>
    </row>
    <row r="6" spans="1:5" s="96" customFormat="1">
      <c r="A6" s="95" t="s">
        <v>173</v>
      </c>
      <c r="C6" s="104"/>
      <c r="D6" s="167"/>
    </row>
    <row r="7" spans="1:5" s="97" customFormat="1" ht="15.75" thickBot="1">
      <c r="A7" s="97" t="s">
        <v>0</v>
      </c>
      <c r="C7" s="97" t="s">
        <v>178</v>
      </c>
      <c r="D7" s="168" t="s">
        <v>177</v>
      </c>
      <c r="E7" s="97" t="s">
        <v>189</v>
      </c>
    </row>
    <row r="8" spans="1:5">
      <c r="A8" s="192" t="s">
        <v>157</v>
      </c>
      <c r="B8" s="193"/>
      <c r="C8" s="109">
        <v>0.41666666666666669</v>
      </c>
      <c r="D8" s="169" t="s">
        <v>182</v>
      </c>
      <c r="E8" s="191">
        <f ca="1">NOW()+C8+SUM(OFFSET(Flores!$A$1,MATCH(A8,Flores!A:A,0)-1,COLUMN(Flores!$O$1)+MATCH(D8,Param!$C$8:$C$12,0)-1,1,6-MATCH(D8,Param!$C$8:$C$12,0)))-VLOOKUP(A8,Flores!$A$2:$T$19,4,FALSE)/24</f>
        <v>40279.578753587957</v>
      </c>
    </row>
    <row r="9" spans="1:5">
      <c r="A9" s="196"/>
      <c r="B9" s="197"/>
      <c r="C9" s="109"/>
      <c r="D9" s="169"/>
      <c r="E9" s="191"/>
    </row>
    <row r="11" spans="1:5">
      <c r="A11" s="1" t="s">
        <v>112</v>
      </c>
      <c r="C11" s="19"/>
      <c r="D11" s="167"/>
    </row>
    <row r="12" spans="1:5" s="97" customFormat="1" ht="15.75" thickBot="1">
      <c r="A12" s="97" t="s">
        <v>0</v>
      </c>
      <c r="B12" s="98" t="s">
        <v>24</v>
      </c>
      <c r="E12" s="97" t="s">
        <v>199</v>
      </c>
    </row>
    <row r="13" spans="1:5">
      <c r="A13" s="105" t="s">
        <v>23</v>
      </c>
      <c r="B13" s="194">
        <v>7</v>
      </c>
      <c r="D13"/>
      <c r="E13" s="191">
        <f ca="1">NOW()+B13-VLOOKUP(A13,'Animais Produção'!$A2:$U7,3,FALSE)</f>
        <v>40258.370420254629</v>
      </c>
    </row>
    <row r="14" spans="1:5">
      <c r="A14" s="105" t="s">
        <v>27</v>
      </c>
      <c r="B14" s="194">
        <v>39</v>
      </c>
      <c r="D14"/>
      <c r="E14" s="191">
        <f ca="1">NOW()+B14-VLOOKUP(A14,'Animais Produção'!$A3:$U8,3,FALSE)</f>
        <v>40260.370420254629</v>
      </c>
    </row>
    <row r="15" spans="1:5">
      <c r="A15" s="105" t="s">
        <v>30</v>
      </c>
      <c r="B15" s="194">
        <v>12</v>
      </c>
      <c r="D15"/>
      <c r="E15" s="191">
        <f ca="1">NOW()+B15-VLOOKUP(A15,'Animais Produção'!$A4:$U9,3,FALSE)</f>
        <v>40268.370420254629</v>
      </c>
    </row>
    <row r="16" spans="1:5">
      <c r="D16"/>
    </row>
    <row r="17" spans="1:21">
      <c r="A17" s="1" t="s">
        <v>113</v>
      </c>
      <c r="C17" s="19"/>
      <c r="D17" s="167"/>
    </row>
    <row r="18" spans="1:21" s="97" customFormat="1" ht="15.75" thickBot="1">
      <c r="A18" s="97" t="s">
        <v>0</v>
      </c>
      <c r="B18" s="98" t="s">
        <v>200</v>
      </c>
      <c r="C18" s="97" t="s">
        <v>201</v>
      </c>
      <c r="E18" s="97" t="s">
        <v>199</v>
      </c>
    </row>
    <row r="19" spans="1:21">
      <c r="A19" s="105" t="s">
        <v>29</v>
      </c>
      <c r="B19" s="195">
        <v>1.3333333333333333</v>
      </c>
      <c r="C19" s="198">
        <f>1</f>
        <v>1</v>
      </c>
      <c r="E19" s="191"/>
    </row>
    <row r="20" spans="1:21">
      <c r="A20" s="105" t="s">
        <v>31</v>
      </c>
      <c r="B20" s="195">
        <v>0.16458333333333333</v>
      </c>
      <c r="C20" s="198">
        <v>1</v>
      </c>
      <c r="E20" s="191"/>
    </row>
    <row r="21" spans="1:21">
      <c r="A21" s="5"/>
      <c r="B21" s="5"/>
      <c r="C21" s="5"/>
      <c r="D21" s="94"/>
      <c r="F21" s="5"/>
      <c r="G21" s="5"/>
      <c r="H21" s="5"/>
      <c r="I21" s="14"/>
      <c r="J21" s="10"/>
      <c r="K21" s="5"/>
      <c r="L21" s="5"/>
      <c r="M21" s="15"/>
      <c r="N21" s="15"/>
      <c r="P21" s="5"/>
    </row>
    <row r="22" spans="1:21">
      <c r="A22" s="1" t="s">
        <v>202</v>
      </c>
      <c r="C22" s="19"/>
      <c r="D22" s="167"/>
    </row>
    <row r="23" spans="1:21" s="97" customFormat="1" ht="15.75" thickBot="1">
      <c r="B23" s="98"/>
    </row>
    <row r="24" spans="1:21">
      <c r="A24" s="5"/>
      <c r="C24" s="16"/>
    </row>
    <row r="25" spans="1:21">
      <c r="A25" s="5"/>
      <c r="C25" s="16"/>
    </row>
    <row r="26" spans="1:21">
      <c r="A26" s="5"/>
      <c r="C26" s="16"/>
    </row>
    <row r="27" spans="1:21">
      <c r="A27" s="5"/>
      <c r="C27" s="16"/>
    </row>
    <row r="28" spans="1:21">
      <c r="A28" s="5"/>
      <c r="C28" s="16"/>
      <c r="R28" s="17"/>
      <c r="T28" s="1"/>
      <c r="U28" s="4"/>
    </row>
    <row r="29" spans="1:21">
      <c r="A29" s="5"/>
      <c r="R29" s="17"/>
    </row>
    <row r="30" spans="1:21">
      <c r="A30" s="5"/>
      <c r="R30" s="17"/>
    </row>
    <row r="31" spans="1:21">
      <c r="A31" s="5"/>
    </row>
    <row r="32" spans="1:21">
      <c r="A32" s="5"/>
    </row>
    <row r="33" spans="1:1">
      <c r="A33" s="5"/>
    </row>
    <row r="34" spans="1:1">
      <c r="A34" s="5"/>
    </row>
  </sheetData>
  <dataConsolidate/>
  <dataValidations count="5">
    <dataValidation type="list" allowBlank="1" showInputMessage="1" showErrorMessage="1" sqref="A19:A20">
      <formula1>'Animais Abate'!A2:A5</formula1>
    </dataValidation>
    <dataValidation type="list" allowBlank="1" showInputMessage="1" showErrorMessage="1" sqref="A13:A15">
      <formula1>'Animais Produção'!A2:A7</formula1>
    </dataValidation>
    <dataValidation type="list" allowBlank="1" showInputMessage="1" showErrorMessage="1" sqref="A8:A9">
      <formula1>Flores!A2:A19</formula1>
    </dataValidation>
    <dataValidation type="list" allowBlank="1" showInputMessage="1" showErrorMessage="1" sqref="D8:D9 D3:D4">
      <formula1>Param!$C$8:$C$13</formula1>
    </dataValidation>
    <dataValidation type="list" allowBlank="1" showInputMessage="1" showErrorMessage="1" sqref="A3:A4">
      <formula1>Frutos!A2:A39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pane ySplit="1" topLeftCell="A2" activePane="bottomLeft" state="frozen"/>
      <selection pane="bottomLeft" sqref="A1:C1048576"/>
    </sheetView>
  </sheetViews>
  <sheetFormatPr defaultRowHeight="15"/>
  <cols>
    <col min="1" max="1" width="5.7109375" bestFit="1" customWidth="1"/>
    <col min="2" max="3" width="8.42578125" style="5" bestFit="1" customWidth="1"/>
    <col min="4" max="4" width="15.85546875" style="5" bestFit="1" customWidth="1"/>
    <col min="5" max="5" width="7.7109375" style="121" bestFit="1" customWidth="1"/>
    <col min="6" max="6" width="2.28515625" customWidth="1"/>
    <col min="7" max="7" width="5.7109375" bestFit="1" customWidth="1"/>
    <col min="8" max="8" width="10" bestFit="1" customWidth="1"/>
    <col min="9" max="9" width="8.42578125" style="5" bestFit="1" customWidth="1"/>
    <col min="10" max="10" width="15.85546875" style="5" bestFit="1" customWidth="1"/>
    <col min="11" max="11" width="9" style="121" bestFit="1" customWidth="1"/>
    <col min="12" max="12" width="2.28515625" customWidth="1"/>
    <col min="13" max="13" width="8.5703125" bestFit="1" customWidth="1"/>
  </cols>
  <sheetData>
    <row r="1" spans="1:15" s="114" customFormat="1">
      <c r="A1" s="114" t="s">
        <v>7</v>
      </c>
      <c r="B1" s="115" t="s">
        <v>82</v>
      </c>
      <c r="C1" s="115" t="s">
        <v>126</v>
      </c>
      <c r="D1" s="115" t="s">
        <v>128</v>
      </c>
      <c r="E1" s="120"/>
      <c r="G1" s="114" t="s">
        <v>7</v>
      </c>
      <c r="H1" s="115" t="s">
        <v>82</v>
      </c>
      <c r="I1" s="115" t="s">
        <v>126</v>
      </c>
      <c r="J1" s="115" t="s">
        <v>128</v>
      </c>
      <c r="K1" s="120"/>
      <c r="M1" s="114" t="s">
        <v>127</v>
      </c>
      <c r="O1" s="114" t="s">
        <v>141</v>
      </c>
    </row>
    <row r="2" spans="1:15">
      <c r="A2">
        <f>ROW(A2)-1</f>
        <v>1</v>
      </c>
      <c r="B2" s="5">
        <f>100*A2*(A2+1)</f>
        <v>200</v>
      </c>
      <c r="C2" s="5" t="str">
        <f>IF(B2&lt;=$M$2,"",B2-$M$2)</f>
        <v/>
      </c>
      <c r="D2" s="116" t="str">
        <f t="shared" ref="D2:D17" ca="1" si="0">IF(B2&lt;=$M$2,"",NOW()+E2)</f>
        <v/>
      </c>
      <c r="E2" s="117" t="str">
        <f t="shared" ref="E2:E17" si="1">IF(B2&lt;=$M$2,"",C2/$M$5)</f>
        <v/>
      </c>
      <c r="G2">
        <f>ROW(G2)-1+MAX(A:A)</f>
        <v>31</v>
      </c>
      <c r="H2" s="5">
        <f>100*G2*(1+G2)</f>
        <v>99200</v>
      </c>
      <c r="I2" s="5" t="str">
        <f>IF(H2&lt;=$M$2,"",H2-$M$2)</f>
        <v/>
      </c>
      <c r="J2" s="116" t="str">
        <f t="shared" ref="J2:J31" ca="1" si="2">IF(H2&lt;=$M$2,"",NOW()+K2)</f>
        <v/>
      </c>
      <c r="K2" s="117" t="str">
        <f t="shared" ref="K2:K31" si="3">IF(H2&lt;=$M$2,"",I2/$M$5)</f>
        <v/>
      </c>
      <c r="M2" s="123">
        <f>Fazenda!$B$2</f>
        <v>250000</v>
      </c>
    </row>
    <row r="3" spans="1:15">
      <c r="A3">
        <f t="shared" ref="A3:A31" si="4">ROW(A3)-1</f>
        <v>2</v>
      </c>
      <c r="B3" s="5">
        <f t="shared" ref="B3:B31" si="5">100*A3*(A3+1)</f>
        <v>600</v>
      </c>
      <c r="C3" s="5" t="str">
        <f t="shared" ref="C3:C31" si="6">IF(B3&lt;=$M$2,"",B3-$M$2)</f>
        <v/>
      </c>
      <c r="D3" s="116" t="str">
        <f t="shared" ca="1" si="0"/>
        <v/>
      </c>
      <c r="E3" s="117" t="str">
        <f t="shared" si="1"/>
        <v/>
      </c>
      <c r="G3">
        <f t="shared" ref="G3:G31" si="7">ROW(G3)-1+MAX(A:A)</f>
        <v>32</v>
      </c>
      <c r="H3" s="5">
        <f t="shared" ref="H3:H31" si="8">100*G3*(1+G3)</f>
        <v>105600</v>
      </c>
      <c r="I3" s="5" t="str">
        <f t="shared" ref="I3:I31" si="9">IF(H3&lt;=$M$2,"",H3-$M$2)</f>
        <v/>
      </c>
      <c r="J3" s="116" t="str">
        <f t="shared" ca="1" si="2"/>
        <v/>
      </c>
      <c r="K3" s="117" t="str">
        <f t="shared" si="3"/>
        <v/>
      </c>
    </row>
    <row r="4" spans="1:15">
      <c r="A4">
        <f t="shared" si="4"/>
        <v>3</v>
      </c>
      <c r="B4" s="5">
        <f t="shared" si="5"/>
        <v>1200</v>
      </c>
      <c r="C4" s="5" t="str">
        <f t="shared" si="6"/>
        <v/>
      </c>
      <c r="D4" s="116" t="str">
        <f t="shared" ca="1" si="0"/>
        <v/>
      </c>
      <c r="E4" s="117" t="str">
        <f t="shared" si="1"/>
        <v/>
      </c>
      <c r="G4">
        <f t="shared" si="7"/>
        <v>33</v>
      </c>
      <c r="H4" s="5">
        <f t="shared" si="8"/>
        <v>112200</v>
      </c>
      <c r="I4" s="5" t="str">
        <f t="shared" si="9"/>
        <v/>
      </c>
      <c r="J4" s="116" t="str">
        <f t="shared" ca="1" si="2"/>
        <v/>
      </c>
      <c r="K4" s="117" t="str">
        <f t="shared" si="3"/>
        <v/>
      </c>
      <c r="M4" s="114" t="s">
        <v>124</v>
      </c>
    </row>
    <row r="5" spans="1:15">
      <c r="A5">
        <f t="shared" si="4"/>
        <v>4</v>
      </c>
      <c r="B5" s="5">
        <f t="shared" si="5"/>
        <v>2000</v>
      </c>
      <c r="C5" s="5" t="str">
        <f t="shared" si="6"/>
        <v/>
      </c>
      <c r="D5" s="116" t="str">
        <f t="shared" ca="1" si="0"/>
        <v/>
      </c>
      <c r="E5" s="117" t="str">
        <f t="shared" si="1"/>
        <v/>
      </c>
      <c r="G5">
        <f t="shared" si="7"/>
        <v>34</v>
      </c>
      <c r="H5" s="5">
        <f t="shared" si="8"/>
        <v>119000</v>
      </c>
      <c r="I5" s="5" t="str">
        <f t="shared" si="9"/>
        <v/>
      </c>
      <c r="J5" s="116" t="str">
        <f t="shared" ca="1" si="2"/>
        <v/>
      </c>
      <c r="K5" s="117" t="str">
        <f t="shared" si="3"/>
        <v/>
      </c>
      <c r="M5" s="4">
        <f ca="1">Fazenda!$I$2</f>
        <v>21359.999999999993</v>
      </c>
    </row>
    <row r="6" spans="1:15">
      <c r="A6">
        <f t="shared" si="4"/>
        <v>5</v>
      </c>
      <c r="B6" s="5">
        <f t="shared" si="5"/>
        <v>3000</v>
      </c>
      <c r="C6" s="5" t="str">
        <f t="shared" si="6"/>
        <v/>
      </c>
      <c r="D6" s="116" t="str">
        <f t="shared" ca="1" si="0"/>
        <v/>
      </c>
      <c r="E6" s="117" t="str">
        <f t="shared" si="1"/>
        <v/>
      </c>
      <c r="G6">
        <f t="shared" si="7"/>
        <v>35</v>
      </c>
      <c r="H6" s="5">
        <f t="shared" si="8"/>
        <v>126000</v>
      </c>
      <c r="I6" s="5" t="str">
        <f t="shared" si="9"/>
        <v/>
      </c>
      <c r="J6" s="116" t="str">
        <f t="shared" ca="1" si="2"/>
        <v/>
      </c>
      <c r="K6" s="117" t="str">
        <f t="shared" si="3"/>
        <v/>
      </c>
    </row>
    <row r="7" spans="1:15">
      <c r="A7">
        <f t="shared" si="4"/>
        <v>6</v>
      </c>
      <c r="B7" s="5">
        <f t="shared" si="5"/>
        <v>4200</v>
      </c>
      <c r="C7" s="5" t="str">
        <f t="shared" si="6"/>
        <v/>
      </c>
      <c r="D7" s="116" t="str">
        <f t="shared" ca="1" si="0"/>
        <v/>
      </c>
      <c r="E7" s="117" t="str">
        <f t="shared" si="1"/>
        <v/>
      </c>
      <c r="G7">
        <f t="shared" si="7"/>
        <v>36</v>
      </c>
      <c r="H7" s="5">
        <f t="shared" si="8"/>
        <v>133200</v>
      </c>
      <c r="I7" s="5" t="str">
        <f t="shared" si="9"/>
        <v/>
      </c>
      <c r="J7" s="116" t="str">
        <f t="shared" ca="1" si="2"/>
        <v/>
      </c>
      <c r="K7" s="117" t="str">
        <f t="shared" si="3"/>
        <v/>
      </c>
      <c r="M7" s="114" t="s">
        <v>139</v>
      </c>
    </row>
    <row r="8" spans="1:15">
      <c r="A8">
        <f t="shared" si="4"/>
        <v>7</v>
      </c>
      <c r="B8" s="5">
        <f t="shared" si="5"/>
        <v>5600</v>
      </c>
      <c r="C8" s="5" t="str">
        <f t="shared" si="6"/>
        <v/>
      </c>
      <c r="D8" s="116" t="str">
        <f t="shared" ca="1" si="0"/>
        <v/>
      </c>
      <c r="E8" s="117" t="str">
        <f t="shared" si="1"/>
        <v/>
      </c>
      <c r="G8">
        <f t="shared" si="7"/>
        <v>37</v>
      </c>
      <c r="H8" s="5">
        <f t="shared" si="8"/>
        <v>140600</v>
      </c>
      <c r="I8" s="5" t="str">
        <f t="shared" si="9"/>
        <v/>
      </c>
      <c r="J8" s="116" t="str">
        <f t="shared" ca="1" si="2"/>
        <v/>
      </c>
      <c r="K8" s="117" t="str">
        <f t="shared" si="3"/>
        <v/>
      </c>
      <c r="M8" s="4">
        <f>INT((-100+SQRT(100*100-4*100*-$M$2))/200)</f>
        <v>49</v>
      </c>
    </row>
    <row r="9" spans="1:15">
      <c r="A9">
        <f t="shared" si="4"/>
        <v>8</v>
      </c>
      <c r="B9" s="5">
        <f t="shared" si="5"/>
        <v>7200</v>
      </c>
      <c r="C9" s="5" t="str">
        <f t="shared" si="6"/>
        <v/>
      </c>
      <c r="D9" s="116" t="str">
        <f t="shared" ca="1" si="0"/>
        <v/>
      </c>
      <c r="E9" s="117" t="str">
        <f t="shared" si="1"/>
        <v/>
      </c>
      <c r="G9">
        <f t="shared" si="7"/>
        <v>38</v>
      </c>
      <c r="H9" s="5">
        <f t="shared" si="8"/>
        <v>148200</v>
      </c>
      <c r="I9" s="5" t="str">
        <f t="shared" si="9"/>
        <v/>
      </c>
      <c r="J9" s="116" t="str">
        <f t="shared" ca="1" si="2"/>
        <v/>
      </c>
      <c r="K9" s="117" t="str">
        <f t="shared" si="3"/>
        <v/>
      </c>
    </row>
    <row r="10" spans="1:15">
      <c r="A10">
        <f t="shared" si="4"/>
        <v>9</v>
      </c>
      <c r="B10" s="5">
        <f t="shared" si="5"/>
        <v>9000</v>
      </c>
      <c r="C10" s="5" t="str">
        <f t="shared" si="6"/>
        <v/>
      </c>
      <c r="D10" s="116" t="str">
        <f t="shared" ca="1" si="0"/>
        <v/>
      </c>
      <c r="E10" s="117" t="str">
        <f t="shared" si="1"/>
        <v/>
      </c>
      <c r="G10">
        <f t="shared" si="7"/>
        <v>39</v>
      </c>
      <c r="H10" s="5">
        <f t="shared" si="8"/>
        <v>156000</v>
      </c>
      <c r="I10" s="5" t="str">
        <f t="shared" si="9"/>
        <v/>
      </c>
      <c r="J10" s="116" t="str">
        <f t="shared" ca="1" si="2"/>
        <v/>
      </c>
      <c r="K10" s="117" t="str">
        <f t="shared" si="3"/>
        <v/>
      </c>
      <c r="M10" s="114" t="s">
        <v>126</v>
      </c>
    </row>
    <row r="11" spans="1:15">
      <c r="A11">
        <f t="shared" si="4"/>
        <v>10</v>
      </c>
      <c r="B11" s="5">
        <f t="shared" si="5"/>
        <v>11000</v>
      </c>
      <c r="C11" s="5" t="str">
        <f t="shared" si="6"/>
        <v/>
      </c>
      <c r="D11" s="116" t="str">
        <f t="shared" ca="1" si="0"/>
        <v/>
      </c>
      <c r="E11" s="117" t="str">
        <f t="shared" si="1"/>
        <v/>
      </c>
      <c r="G11">
        <f t="shared" si="7"/>
        <v>40</v>
      </c>
      <c r="H11" s="5">
        <f t="shared" si="8"/>
        <v>164000</v>
      </c>
      <c r="I11" s="5" t="str">
        <f t="shared" si="9"/>
        <v/>
      </c>
      <c r="J11" s="116" t="str">
        <f t="shared" ca="1" si="2"/>
        <v/>
      </c>
      <c r="K11" s="117" t="str">
        <f t="shared" si="3"/>
        <v/>
      </c>
      <c r="M11" s="123">
        <f>100*($M$8+1)*(2+$M$8)-$M$2</f>
        <v>5000</v>
      </c>
    </row>
    <row r="12" spans="1:15">
      <c r="A12">
        <f t="shared" si="4"/>
        <v>11</v>
      </c>
      <c r="B12" s="5">
        <f t="shared" si="5"/>
        <v>13200</v>
      </c>
      <c r="C12" s="5" t="str">
        <f t="shared" si="6"/>
        <v/>
      </c>
      <c r="D12" s="116" t="str">
        <f t="shared" ca="1" si="0"/>
        <v/>
      </c>
      <c r="E12" s="117" t="str">
        <f t="shared" si="1"/>
        <v/>
      </c>
      <c r="G12">
        <f t="shared" si="7"/>
        <v>41</v>
      </c>
      <c r="H12" s="5">
        <f t="shared" si="8"/>
        <v>172200</v>
      </c>
      <c r="I12" s="5" t="str">
        <f t="shared" si="9"/>
        <v/>
      </c>
      <c r="J12" s="116" t="str">
        <f t="shared" ca="1" si="2"/>
        <v/>
      </c>
      <c r="K12" s="117" t="str">
        <f t="shared" si="3"/>
        <v/>
      </c>
    </row>
    <row r="13" spans="1:15">
      <c r="A13">
        <f t="shared" si="4"/>
        <v>12</v>
      </c>
      <c r="B13" s="5">
        <f t="shared" si="5"/>
        <v>15600</v>
      </c>
      <c r="C13" s="5" t="str">
        <f t="shared" si="6"/>
        <v/>
      </c>
      <c r="D13" s="116" t="str">
        <f t="shared" ca="1" si="0"/>
        <v/>
      </c>
      <c r="E13" s="117" t="str">
        <f t="shared" si="1"/>
        <v/>
      </c>
      <c r="G13">
        <f t="shared" si="7"/>
        <v>42</v>
      </c>
      <c r="H13" s="5">
        <f t="shared" si="8"/>
        <v>180600</v>
      </c>
      <c r="I13" s="5" t="str">
        <f t="shared" si="9"/>
        <v/>
      </c>
      <c r="J13" s="116" t="str">
        <f t="shared" ca="1" si="2"/>
        <v/>
      </c>
      <c r="K13" s="117" t="str">
        <f t="shared" si="3"/>
        <v/>
      </c>
      <c r="M13" s="114" t="s">
        <v>128</v>
      </c>
    </row>
    <row r="14" spans="1:15">
      <c r="A14">
        <f t="shared" si="4"/>
        <v>13</v>
      </c>
      <c r="B14" s="5">
        <f t="shared" si="5"/>
        <v>18200</v>
      </c>
      <c r="C14" s="5" t="str">
        <f t="shared" si="6"/>
        <v/>
      </c>
      <c r="D14" s="116" t="str">
        <f t="shared" ca="1" si="0"/>
        <v/>
      </c>
      <c r="E14" s="117" t="str">
        <f t="shared" si="1"/>
        <v/>
      </c>
      <c r="G14">
        <f t="shared" si="7"/>
        <v>43</v>
      </c>
      <c r="H14" s="5">
        <f t="shared" si="8"/>
        <v>189200</v>
      </c>
      <c r="I14" s="5" t="str">
        <f t="shared" si="9"/>
        <v/>
      </c>
      <c r="J14" s="116" t="str">
        <f t="shared" ca="1" si="2"/>
        <v/>
      </c>
      <c r="K14" s="117" t="str">
        <f t="shared" si="3"/>
        <v/>
      </c>
      <c r="M14" s="122">
        <f ca="1">M11/M5</f>
        <v>0.23408239700374539</v>
      </c>
    </row>
    <row r="15" spans="1:15">
      <c r="A15">
        <f t="shared" si="4"/>
        <v>14</v>
      </c>
      <c r="B15" s="5">
        <f t="shared" si="5"/>
        <v>21000</v>
      </c>
      <c r="C15" s="5" t="str">
        <f t="shared" si="6"/>
        <v/>
      </c>
      <c r="D15" s="116" t="str">
        <f t="shared" ca="1" si="0"/>
        <v/>
      </c>
      <c r="E15" s="117" t="str">
        <f t="shared" si="1"/>
        <v/>
      </c>
      <c r="G15">
        <f t="shared" si="7"/>
        <v>44</v>
      </c>
      <c r="H15" s="5">
        <f t="shared" si="8"/>
        <v>198000</v>
      </c>
      <c r="I15" s="5" t="str">
        <f t="shared" si="9"/>
        <v/>
      </c>
      <c r="J15" s="116" t="str">
        <f t="shared" ca="1" si="2"/>
        <v/>
      </c>
      <c r="K15" s="117" t="str">
        <f t="shared" si="3"/>
        <v/>
      </c>
    </row>
    <row r="16" spans="1:15">
      <c r="A16">
        <f t="shared" si="4"/>
        <v>15</v>
      </c>
      <c r="B16" s="5">
        <f t="shared" si="5"/>
        <v>24000</v>
      </c>
      <c r="C16" s="5" t="str">
        <f t="shared" si="6"/>
        <v/>
      </c>
      <c r="D16" s="116" t="str">
        <f t="shared" ca="1" si="0"/>
        <v/>
      </c>
      <c r="E16" s="117" t="str">
        <f t="shared" si="1"/>
        <v/>
      </c>
      <c r="G16">
        <f t="shared" si="7"/>
        <v>45</v>
      </c>
      <c r="H16" s="5">
        <f t="shared" si="8"/>
        <v>207000</v>
      </c>
      <c r="I16" s="5" t="str">
        <f t="shared" si="9"/>
        <v/>
      </c>
      <c r="J16" s="116" t="str">
        <f t="shared" ca="1" si="2"/>
        <v/>
      </c>
      <c r="K16" s="117" t="str">
        <f t="shared" si="3"/>
        <v/>
      </c>
    </row>
    <row r="17" spans="1:11">
      <c r="A17">
        <f t="shared" si="4"/>
        <v>16</v>
      </c>
      <c r="B17" s="5">
        <f t="shared" si="5"/>
        <v>27200</v>
      </c>
      <c r="C17" s="5" t="str">
        <f t="shared" si="6"/>
        <v/>
      </c>
      <c r="D17" s="116" t="str">
        <f t="shared" ca="1" si="0"/>
        <v/>
      </c>
      <c r="E17" s="117" t="str">
        <f t="shared" si="1"/>
        <v/>
      </c>
      <c r="G17">
        <f t="shared" si="7"/>
        <v>46</v>
      </c>
      <c r="H17" s="5">
        <f t="shared" si="8"/>
        <v>216200</v>
      </c>
      <c r="I17" s="5" t="str">
        <f t="shared" si="9"/>
        <v/>
      </c>
      <c r="J17" s="116" t="str">
        <f t="shared" ca="1" si="2"/>
        <v/>
      </c>
      <c r="K17" s="117" t="str">
        <f t="shared" si="3"/>
        <v/>
      </c>
    </row>
    <row r="18" spans="1:11">
      <c r="A18">
        <f t="shared" si="4"/>
        <v>17</v>
      </c>
      <c r="B18" s="5">
        <f t="shared" si="5"/>
        <v>30600</v>
      </c>
      <c r="C18" s="5" t="str">
        <f>IF(B18&lt;=$M$2,"",B18-$M$2)</f>
        <v/>
      </c>
      <c r="D18" s="116" t="str">
        <f ca="1">IF(B18&lt;=$M$2,"",NOW()+E18)</f>
        <v/>
      </c>
      <c r="E18" s="117" t="str">
        <f>IF(B18&lt;=$M$2,"",C18/$M$5)</f>
        <v/>
      </c>
      <c r="G18">
        <f t="shared" si="7"/>
        <v>47</v>
      </c>
      <c r="H18" s="5">
        <f t="shared" si="8"/>
        <v>225600</v>
      </c>
      <c r="I18" s="5" t="str">
        <f t="shared" si="9"/>
        <v/>
      </c>
      <c r="J18" s="116" t="str">
        <f t="shared" ca="1" si="2"/>
        <v/>
      </c>
      <c r="K18" s="117" t="str">
        <f t="shared" si="3"/>
        <v/>
      </c>
    </row>
    <row r="19" spans="1:11">
      <c r="A19">
        <f t="shared" si="4"/>
        <v>18</v>
      </c>
      <c r="B19" s="5">
        <f t="shared" si="5"/>
        <v>34200</v>
      </c>
      <c r="C19" s="5" t="str">
        <f t="shared" si="6"/>
        <v/>
      </c>
      <c r="D19" s="116" t="str">
        <f t="shared" ref="D19:D31" ca="1" si="10">IF(B19&lt;=$M$2,"",NOW()+E19)</f>
        <v/>
      </c>
      <c r="E19" s="117" t="str">
        <f t="shared" ref="E19:E31" si="11">IF(B19&lt;=$M$2,"",C19/$M$5)</f>
        <v/>
      </c>
      <c r="G19">
        <f t="shared" si="7"/>
        <v>48</v>
      </c>
      <c r="H19" s="5">
        <f t="shared" si="8"/>
        <v>235200</v>
      </c>
      <c r="I19" s="5" t="str">
        <f t="shared" si="9"/>
        <v/>
      </c>
      <c r="J19" s="116" t="str">
        <f t="shared" ca="1" si="2"/>
        <v/>
      </c>
      <c r="K19" s="117" t="str">
        <f t="shared" si="3"/>
        <v/>
      </c>
    </row>
    <row r="20" spans="1:11">
      <c r="A20">
        <f t="shared" si="4"/>
        <v>19</v>
      </c>
      <c r="B20" s="5">
        <f t="shared" si="5"/>
        <v>38000</v>
      </c>
      <c r="C20" s="5" t="str">
        <f t="shared" si="6"/>
        <v/>
      </c>
      <c r="D20" s="116" t="str">
        <f t="shared" ca="1" si="10"/>
        <v/>
      </c>
      <c r="E20" s="117" t="str">
        <f t="shared" si="11"/>
        <v/>
      </c>
      <c r="G20">
        <f t="shared" si="7"/>
        <v>49</v>
      </c>
      <c r="H20" s="5">
        <f t="shared" si="8"/>
        <v>245000</v>
      </c>
      <c r="I20" s="5" t="str">
        <f t="shared" si="9"/>
        <v/>
      </c>
      <c r="J20" s="116" t="str">
        <f t="shared" ca="1" si="2"/>
        <v/>
      </c>
      <c r="K20" s="117" t="str">
        <f t="shared" si="3"/>
        <v/>
      </c>
    </row>
    <row r="21" spans="1:11">
      <c r="A21">
        <f t="shared" si="4"/>
        <v>20</v>
      </c>
      <c r="B21" s="5">
        <f t="shared" si="5"/>
        <v>42000</v>
      </c>
      <c r="C21" s="5" t="str">
        <f t="shared" si="6"/>
        <v/>
      </c>
      <c r="D21" s="116" t="str">
        <f t="shared" ca="1" si="10"/>
        <v/>
      </c>
      <c r="E21" s="117" t="str">
        <f t="shared" si="11"/>
        <v/>
      </c>
      <c r="G21">
        <f t="shared" si="7"/>
        <v>50</v>
      </c>
      <c r="H21" s="5">
        <f t="shared" si="8"/>
        <v>255000</v>
      </c>
      <c r="I21" s="5">
        <f t="shared" si="9"/>
        <v>5000</v>
      </c>
      <c r="J21" s="116">
        <f t="shared" ca="1" si="2"/>
        <v>40281.604503577553</v>
      </c>
      <c r="K21" s="117">
        <f t="shared" ca="1" si="3"/>
        <v>0.23408239700374539</v>
      </c>
    </row>
    <row r="22" spans="1:11">
      <c r="A22">
        <f t="shared" si="4"/>
        <v>21</v>
      </c>
      <c r="B22" s="5">
        <f t="shared" si="5"/>
        <v>46200</v>
      </c>
      <c r="C22" s="5" t="str">
        <f t="shared" si="6"/>
        <v/>
      </c>
      <c r="D22" s="116" t="str">
        <f t="shared" ca="1" si="10"/>
        <v/>
      </c>
      <c r="E22" s="117" t="str">
        <f t="shared" si="11"/>
        <v/>
      </c>
      <c r="G22">
        <f t="shared" si="7"/>
        <v>51</v>
      </c>
      <c r="H22" s="5">
        <f t="shared" si="8"/>
        <v>265200</v>
      </c>
      <c r="I22" s="5">
        <f t="shared" si="9"/>
        <v>15200</v>
      </c>
      <c r="J22" s="116">
        <f t="shared" ca="1" si="2"/>
        <v>40282.082031667444</v>
      </c>
      <c r="K22" s="117">
        <f t="shared" ca="1" si="3"/>
        <v>0.71161048689138606</v>
      </c>
    </row>
    <row r="23" spans="1:11">
      <c r="A23">
        <f t="shared" si="4"/>
        <v>22</v>
      </c>
      <c r="B23" s="5">
        <f t="shared" si="5"/>
        <v>50600</v>
      </c>
      <c r="C23" s="5" t="str">
        <f t="shared" si="6"/>
        <v/>
      </c>
      <c r="D23" s="116" t="str">
        <f t="shared" ca="1" si="10"/>
        <v/>
      </c>
      <c r="E23" s="117" t="str">
        <f t="shared" si="11"/>
        <v/>
      </c>
      <c r="G23">
        <f t="shared" si="7"/>
        <v>52</v>
      </c>
      <c r="H23" s="5">
        <f t="shared" si="8"/>
        <v>275600</v>
      </c>
      <c r="I23" s="5">
        <f t="shared" si="9"/>
        <v>25600</v>
      </c>
      <c r="J23" s="116">
        <f t="shared" ca="1" si="2"/>
        <v>40282.568923053215</v>
      </c>
      <c r="K23" s="117">
        <f t="shared" ca="1" si="3"/>
        <v>1.1985018726591765</v>
      </c>
    </row>
    <row r="24" spans="1:11">
      <c r="A24">
        <f t="shared" si="4"/>
        <v>23</v>
      </c>
      <c r="B24" s="5">
        <f t="shared" si="5"/>
        <v>55200</v>
      </c>
      <c r="C24" s="5" t="str">
        <f t="shared" si="6"/>
        <v/>
      </c>
      <c r="D24" s="116" t="str">
        <f t="shared" ca="1" si="10"/>
        <v/>
      </c>
      <c r="E24" s="117" t="str">
        <f t="shared" si="11"/>
        <v/>
      </c>
      <c r="G24">
        <f t="shared" si="7"/>
        <v>53</v>
      </c>
      <c r="H24" s="5">
        <f t="shared" si="8"/>
        <v>286200</v>
      </c>
      <c r="I24" s="5">
        <f t="shared" si="9"/>
        <v>36200</v>
      </c>
      <c r="J24" s="116">
        <f t="shared" ca="1" si="2"/>
        <v>40283.065177734861</v>
      </c>
      <c r="K24" s="117">
        <f t="shared" ca="1" si="3"/>
        <v>1.6947565543071166</v>
      </c>
    </row>
    <row r="25" spans="1:11">
      <c r="A25">
        <f t="shared" si="4"/>
        <v>24</v>
      </c>
      <c r="B25" s="5">
        <f t="shared" si="5"/>
        <v>60000</v>
      </c>
      <c r="C25" s="5" t="str">
        <f t="shared" si="6"/>
        <v/>
      </c>
      <c r="D25" s="116" t="str">
        <f t="shared" ca="1" si="10"/>
        <v/>
      </c>
      <c r="E25" s="117" t="str">
        <f t="shared" si="11"/>
        <v/>
      </c>
      <c r="G25">
        <f t="shared" si="7"/>
        <v>54</v>
      </c>
      <c r="H25" s="5">
        <f t="shared" si="8"/>
        <v>297000</v>
      </c>
      <c r="I25" s="5">
        <f t="shared" si="9"/>
        <v>47000</v>
      </c>
      <c r="J25" s="116">
        <f t="shared" ca="1" si="2"/>
        <v>40283.570795712389</v>
      </c>
      <c r="K25" s="117">
        <f t="shared" ca="1" si="3"/>
        <v>2.2003745318352066</v>
      </c>
    </row>
    <row r="26" spans="1:11">
      <c r="A26">
        <f t="shared" si="4"/>
        <v>25</v>
      </c>
      <c r="B26" s="5">
        <f t="shared" si="5"/>
        <v>65000</v>
      </c>
      <c r="C26" s="5" t="str">
        <f t="shared" si="6"/>
        <v/>
      </c>
      <c r="D26" s="116" t="str">
        <f t="shared" ca="1" si="10"/>
        <v/>
      </c>
      <c r="E26" s="117" t="str">
        <f t="shared" si="11"/>
        <v/>
      </c>
      <c r="G26">
        <f t="shared" si="7"/>
        <v>55</v>
      </c>
      <c r="H26" s="5">
        <f t="shared" si="8"/>
        <v>308000</v>
      </c>
      <c r="I26" s="5">
        <f t="shared" si="9"/>
        <v>58000</v>
      </c>
      <c r="J26" s="116">
        <f t="shared" ca="1" si="2"/>
        <v>40284.085776985798</v>
      </c>
      <c r="K26" s="117">
        <f t="shared" ca="1" si="3"/>
        <v>2.7153558052434468</v>
      </c>
    </row>
    <row r="27" spans="1:11">
      <c r="A27">
        <f t="shared" si="4"/>
        <v>26</v>
      </c>
      <c r="B27" s="5">
        <f t="shared" si="5"/>
        <v>70200</v>
      </c>
      <c r="C27" s="5" t="str">
        <f t="shared" si="6"/>
        <v/>
      </c>
      <c r="D27" s="116" t="str">
        <f t="shared" ca="1" si="10"/>
        <v/>
      </c>
      <c r="E27" s="117" t="str">
        <f t="shared" si="11"/>
        <v/>
      </c>
      <c r="G27">
        <f t="shared" si="7"/>
        <v>56</v>
      </c>
      <c r="H27" s="5">
        <f t="shared" si="8"/>
        <v>319200</v>
      </c>
      <c r="I27" s="5">
        <f t="shared" si="9"/>
        <v>69200</v>
      </c>
      <c r="J27" s="116">
        <f t="shared" ca="1" si="2"/>
        <v>40284.610121555088</v>
      </c>
      <c r="K27" s="117">
        <f t="shared" ca="1" si="3"/>
        <v>3.2397003745318362</v>
      </c>
    </row>
    <row r="28" spans="1:11">
      <c r="A28">
        <f t="shared" si="4"/>
        <v>27</v>
      </c>
      <c r="B28" s="5">
        <f t="shared" si="5"/>
        <v>75600</v>
      </c>
      <c r="C28" s="5" t="str">
        <f t="shared" si="6"/>
        <v/>
      </c>
      <c r="D28" s="116" t="str">
        <f t="shared" ca="1" si="10"/>
        <v/>
      </c>
      <c r="E28" s="117" t="str">
        <f t="shared" si="11"/>
        <v/>
      </c>
      <c r="G28">
        <f t="shared" si="7"/>
        <v>57</v>
      </c>
      <c r="H28" s="5">
        <f t="shared" si="8"/>
        <v>330600</v>
      </c>
      <c r="I28" s="5">
        <f t="shared" si="9"/>
        <v>80600</v>
      </c>
      <c r="J28" s="116">
        <f t="shared" ca="1" si="2"/>
        <v>40285.143829420253</v>
      </c>
      <c r="K28" s="117">
        <f t="shared" ca="1" si="3"/>
        <v>3.7734082397003759</v>
      </c>
    </row>
    <row r="29" spans="1:11">
      <c r="A29">
        <f t="shared" si="4"/>
        <v>28</v>
      </c>
      <c r="B29" s="5">
        <f t="shared" si="5"/>
        <v>81200</v>
      </c>
      <c r="C29" s="5" t="str">
        <f t="shared" si="6"/>
        <v/>
      </c>
      <c r="D29" s="116" t="str">
        <f t="shared" ca="1" si="10"/>
        <v/>
      </c>
      <c r="E29" s="117" t="str">
        <f t="shared" si="11"/>
        <v/>
      </c>
      <c r="G29">
        <f t="shared" si="7"/>
        <v>58</v>
      </c>
      <c r="H29" s="5">
        <f t="shared" si="8"/>
        <v>342200</v>
      </c>
      <c r="I29" s="5">
        <f t="shared" si="9"/>
        <v>92200</v>
      </c>
      <c r="J29" s="116">
        <f t="shared" ca="1" si="2"/>
        <v>40285.686900581299</v>
      </c>
      <c r="K29" s="117">
        <f t="shared" ca="1" si="3"/>
        <v>4.3164794007490652</v>
      </c>
    </row>
    <row r="30" spans="1:11">
      <c r="A30">
        <f t="shared" si="4"/>
        <v>29</v>
      </c>
      <c r="B30" s="5">
        <f t="shared" si="5"/>
        <v>87000</v>
      </c>
      <c r="C30" s="5" t="str">
        <f t="shared" si="6"/>
        <v/>
      </c>
      <c r="D30" s="116" t="str">
        <f t="shared" ca="1" si="10"/>
        <v/>
      </c>
      <c r="E30" s="117" t="str">
        <f t="shared" si="11"/>
        <v/>
      </c>
      <c r="G30">
        <f t="shared" si="7"/>
        <v>59</v>
      </c>
      <c r="H30" s="5">
        <f t="shared" si="8"/>
        <v>354000</v>
      </c>
      <c r="I30" s="5">
        <f t="shared" si="9"/>
        <v>104000</v>
      </c>
      <c r="J30" s="116">
        <f t="shared" ca="1" si="2"/>
        <v>40286.239335038234</v>
      </c>
      <c r="K30" s="117">
        <f t="shared" ca="1" si="3"/>
        <v>4.8689138576779039</v>
      </c>
    </row>
    <row r="31" spans="1:11">
      <c r="A31">
        <f t="shared" si="4"/>
        <v>30</v>
      </c>
      <c r="B31" s="5">
        <f t="shared" si="5"/>
        <v>93000</v>
      </c>
      <c r="C31" s="5" t="str">
        <f t="shared" si="6"/>
        <v/>
      </c>
      <c r="D31" s="116" t="str">
        <f t="shared" ca="1" si="10"/>
        <v/>
      </c>
      <c r="E31" s="117" t="str">
        <f t="shared" si="11"/>
        <v/>
      </c>
      <c r="G31">
        <f t="shared" si="7"/>
        <v>60</v>
      </c>
      <c r="H31" s="5">
        <f t="shared" si="8"/>
        <v>366000</v>
      </c>
      <c r="I31" s="5">
        <f t="shared" si="9"/>
        <v>116000</v>
      </c>
      <c r="J31" s="116">
        <f t="shared" ca="1" si="2"/>
        <v>40286.801132791043</v>
      </c>
      <c r="K31" s="117">
        <f t="shared" ca="1" si="3"/>
        <v>5.4307116104868935</v>
      </c>
    </row>
    <row r="32" spans="1:11">
      <c r="D32" s="116"/>
      <c r="E32" s="117"/>
      <c r="H32" s="5"/>
      <c r="J32" s="116"/>
      <c r="K32" s="117"/>
    </row>
    <row r="33" spans="4:11">
      <c r="D33" s="116"/>
      <c r="E33" s="117"/>
      <c r="H33" s="5"/>
      <c r="J33" s="116"/>
      <c r="K33" s="117"/>
    </row>
    <row r="34" spans="4:11">
      <c r="D34" s="116"/>
      <c r="E34" s="117"/>
      <c r="H34" s="5"/>
      <c r="J34" s="124"/>
      <c r="K34" s="117"/>
    </row>
    <row r="35" spans="4:11">
      <c r="D35" s="116"/>
      <c r="E35" s="117"/>
      <c r="H35" s="5"/>
      <c r="J35" s="116"/>
      <c r="K35" s="117"/>
    </row>
    <row r="36" spans="4:11">
      <c r="D36" s="116"/>
      <c r="E36" s="117"/>
      <c r="H36" s="5"/>
      <c r="J36" s="116"/>
      <c r="K36" s="117"/>
    </row>
    <row r="37" spans="4:11">
      <c r="D37" s="116"/>
      <c r="E37" s="117"/>
      <c r="H37" s="5"/>
      <c r="J37" s="116"/>
      <c r="K37" s="117"/>
    </row>
    <row r="38" spans="4:11">
      <c r="D38" s="116"/>
      <c r="E38" s="117"/>
      <c r="H38" s="5"/>
      <c r="J38" s="116"/>
      <c r="K38" s="117"/>
    </row>
    <row r="39" spans="4:11">
      <c r="D39" s="116"/>
      <c r="E39" s="117"/>
      <c r="H39" s="5"/>
      <c r="J39" s="116"/>
      <c r="K39" s="117"/>
    </row>
    <row r="40" spans="4:11">
      <c r="D40" s="116"/>
      <c r="E40" s="117"/>
      <c r="H40" s="5"/>
      <c r="J40" s="116"/>
      <c r="K40" s="117"/>
    </row>
    <row r="41" spans="4:11">
      <c r="D41" s="116"/>
      <c r="E41" s="117"/>
      <c r="H41" s="5"/>
      <c r="J41" s="116"/>
      <c r="K41" s="117"/>
    </row>
    <row r="42" spans="4:11">
      <c r="D42" s="116"/>
      <c r="E42" s="117"/>
      <c r="H42" s="5"/>
      <c r="J42" s="116"/>
      <c r="K42" s="117"/>
    </row>
    <row r="43" spans="4:11">
      <c r="D43" s="116"/>
      <c r="E43" s="117"/>
      <c r="H43" s="5"/>
      <c r="J43" s="116"/>
      <c r="K43" s="117"/>
    </row>
    <row r="44" spans="4:11">
      <c r="D44" s="116"/>
      <c r="E44" s="117"/>
      <c r="H44" s="5"/>
      <c r="J44" s="116"/>
      <c r="K44" s="117"/>
    </row>
    <row r="45" spans="4:11">
      <c r="D45" s="116"/>
      <c r="E45" s="117"/>
      <c r="H45" s="5"/>
      <c r="J45" s="116"/>
      <c r="K45" s="117"/>
    </row>
    <row r="46" spans="4:11">
      <c r="D46" s="116"/>
      <c r="E46" s="117"/>
      <c r="H46" s="5"/>
      <c r="J46" s="116"/>
      <c r="K46" s="117"/>
    </row>
    <row r="47" spans="4:11">
      <c r="D47" s="116"/>
      <c r="E47" s="117"/>
      <c r="H47" s="5"/>
      <c r="J47" s="116"/>
      <c r="K47" s="117"/>
    </row>
    <row r="48" spans="4:11">
      <c r="D48" s="116"/>
      <c r="E48" s="117"/>
      <c r="H48" s="5"/>
      <c r="J48" s="116"/>
      <c r="K48" s="117"/>
    </row>
    <row r="49" spans="4:11">
      <c r="D49" s="116"/>
      <c r="E49" s="117"/>
      <c r="H49" s="5"/>
      <c r="J49" s="116"/>
      <c r="K49" s="117"/>
    </row>
    <row r="50" spans="4:11">
      <c r="D50" s="116"/>
      <c r="E50" s="117"/>
      <c r="H50" s="5"/>
      <c r="J50" s="116"/>
      <c r="K50" s="117"/>
    </row>
    <row r="51" spans="4:11">
      <c r="D51" s="116"/>
      <c r="E51" s="117"/>
      <c r="H51" s="5"/>
      <c r="J51" s="116"/>
      <c r="K51" s="117"/>
    </row>
  </sheetData>
  <conditionalFormatting sqref="M14 E2:E51 K2:K51">
    <cfRule type="cellIs" dxfId="168" priority="22" operator="greaterThan">
      <formula>30</formula>
    </cfRule>
    <cfRule type="cellIs" dxfId="167" priority="23" operator="between">
      <formula>1</formula>
      <formula>30</formula>
    </cfRule>
    <cfRule type="cellIs" dxfId="166" priority="24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9"/>
  <sheetViews>
    <sheetView zoomScale="85" zoomScaleNormal="85" workbookViewId="0">
      <pane ySplit="1" topLeftCell="A2" activePane="bottomLeft" state="frozen"/>
      <selection pane="bottomLeft" activeCell="J23" sqref="J23"/>
    </sheetView>
  </sheetViews>
  <sheetFormatPr defaultRowHeight="15"/>
  <cols>
    <col min="1" max="1" width="10.28515625" bestFit="1" customWidth="1"/>
    <col min="2" max="2" width="11" customWidth="1"/>
    <col min="3" max="3" width="3.140625" customWidth="1"/>
    <col min="4" max="4" width="5.85546875" style="1" bestFit="1" customWidth="1"/>
    <col min="5" max="5" width="8" bestFit="1" customWidth="1"/>
    <col min="6" max="6" width="5.7109375" bestFit="1" customWidth="1"/>
    <col min="7" max="7" width="11.28515625" style="5" bestFit="1" customWidth="1"/>
    <col min="8" max="8" width="6.7109375" style="5" bestFit="1" customWidth="1"/>
    <col min="9" max="9" width="11.28515625" style="5" bestFit="1" customWidth="1"/>
    <col min="10" max="10" width="6.42578125" style="5" bestFit="1" customWidth="1"/>
    <col min="11" max="11" width="10.42578125" style="7" bestFit="1" customWidth="1"/>
    <col min="12" max="12" width="8.42578125" style="7" bestFit="1" customWidth="1"/>
    <col min="13" max="13" width="11" style="7" bestFit="1" customWidth="1"/>
    <col min="14" max="14" width="9" style="5" bestFit="1" customWidth="1"/>
    <col min="15" max="15" width="10" bestFit="1" customWidth="1"/>
    <col min="16" max="16" width="5" bestFit="1" customWidth="1"/>
    <col min="17" max="17" width="8.28515625" bestFit="1" customWidth="1"/>
    <col min="18" max="18" width="10" style="21" bestFit="1" customWidth="1"/>
    <col min="19" max="19" width="7.42578125" bestFit="1" customWidth="1"/>
    <col min="20" max="20" width="4.85546875" bestFit="1" customWidth="1"/>
    <col min="21" max="21" width="8.42578125" bestFit="1" customWidth="1"/>
    <col min="22" max="22" width="10.28515625" style="6" bestFit="1" customWidth="1"/>
    <col min="23" max="23" width="10" style="12" bestFit="1" customWidth="1"/>
  </cols>
  <sheetData>
    <row r="1" spans="1:23" s="1" customFormat="1">
      <c r="D1" s="1" t="s">
        <v>116</v>
      </c>
      <c r="E1" s="1" t="s">
        <v>52</v>
      </c>
      <c r="F1" s="1" t="s">
        <v>7</v>
      </c>
      <c r="G1" s="4" t="s">
        <v>50</v>
      </c>
      <c r="H1" s="4" t="s">
        <v>125</v>
      </c>
      <c r="I1" s="4" t="s">
        <v>50</v>
      </c>
      <c r="J1" s="4" t="s">
        <v>125</v>
      </c>
      <c r="K1" s="8" t="s">
        <v>54</v>
      </c>
      <c r="L1" s="8" t="s">
        <v>82</v>
      </c>
      <c r="M1" s="8" t="s">
        <v>142</v>
      </c>
      <c r="N1" s="4" t="s">
        <v>58</v>
      </c>
      <c r="O1" s="1" t="s">
        <v>57</v>
      </c>
      <c r="P1" s="1" t="s">
        <v>143</v>
      </c>
      <c r="Q1" s="1" t="s">
        <v>109</v>
      </c>
      <c r="R1" s="20" t="s">
        <v>103</v>
      </c>
      <c r="S1" s="1" t="s">
        <v>224</v>
      </c>
      <c r="U1" s="1" t="s">
        <v>53</v>
      </c>
      <c r="V1" s="9" t="s">
        <v>51</v>
      </c>
      <c r="W1" s="11" t="s">
        <v>55</v>
      </c>
    </row>
    <row r="2" spans="1:23">
      <c r="A2" s="1" t="s">
        <v>82</v>
      </c>
      <c r="C2" s="5"/>
      <c r="D2" s="101" t="s">
        <v>144</v>
      </c>
      <c r="E2" s="27">
        <v>1</v>
      </c>
      <c r="F2" s="28">
        <f>3+2*E2</f>
        <v>5</v>
      </c>
      <c r="G2" s="29">
        <v>9000</v>
      </c>
      <c r="H2" s="29">
        <v>1</v>
      </c>
      <c r="I2" s="29">
        <v>9000</v>
      </c>
      <c r="J2" s="29">
        <v>1</v>
      </c>
      <c r="K2" s="30">
        <f t="shared" ref="K2:K23" si="0">MIN(W:W)*J2</f>
        <v>7.4999999999999997E-2</v>
      </c>
      <c r="L2" s="31">
        <f>VLOOKUP(F2,XP!$A$1:$B$50,2,TRUE)</f>
        <v>3000</v>
      </c>
      <c r="M2" s="31">
        <f>SUM(I$2:I2)</f>
        <v>9000</v>
      </c>
      <c r="N2" s="31">
        <f>SUM(J$2:J2)</f>
        <v>1</v>
      </c>
      <c r="O2" s="32">
        <f>SUM(K$2:K2)</f>
        <v>7.4999999999999997E-2</v>
      </c>
      <c r="P2" s="33">
        <f t="shared" ref="P2:P23" si="1">CEILING(N2/MAX(U:U),1)</f>
        <v>1</v>
      </c>
      <c r="Q2" s="33">
        <f t="shared" ref="Q2:Q23" si="2">MAX(U:U)*P2-N2</f>
        <v>399</v>
      </c>
      <c r="R2" s="34">
        <f t="shared" ref="R2:R23" si="3">MAX(V:V)*P2</f>
        <v>30</v>
      </c>
      <c r="S2" s="33">
        <f ca="1">I2/$B$22</f>
        <v>1.0899516835271026</v>
      </c>
      <c r="U2" s="27">
        <v>10</v>
      </c>
      <c r="V2" s="49">
        <v>2</v>
      </c>
      <c r="W2" s="50">
        <f>V2/U2</f>
        <v>0.2</v>
      </c>
    </row>
    <row r="3" spans="1:23">
      <c r="A3" t="s">
        <v>139</v>
      </c>
      <c r="B3" s="5">
        <f>XP!M8</f>
        <v>49</v>
      </c>
      <c r="C3" s="5"/>
      <c r="D3" s="284" t="s">
        <v>144</v>
      </c>
      <c r="E3" s="285">
        <v>2</v>
      </c>
      <c r="F3" s="286">
        <f t="shared" ref="F3:F23" si="4">3+2*E3</f>
        <v>7</v>
      </c>
      <c r="G3" s="287">
        <v>18000</v>
      </c>
      <c r="H3" s="287">
        <v>2</v>
      </c>
      <c r="I3" s="287">
        <v>18000</v>
      </c>
      <c r="J3" s="287">
        <v>2</v>
      </c>
      <c r="K3" s="288">
        <f t="shared" si="0"/>
        <v>0.15</v>
      </c>
      <c r="L3" s="289">
        <f>VLOOKUP(F3,XP!$A$1:$B$50,2,TRUE)</f>
        <v>5600</v>
      </c>
      <c r="M3" s="290">
        <f>SUM(I$2:I3)</f>
        <v>27000</v>
      </c>
      <c r="N3" s="290">
        <f>SUM(J$2:J3)</f>
        <v>3</v>
      </c>
      <c r="O3" s="291">
        <f>SUM(K$2:K3)</f>
        <v>0.22499999999999998</v>
      </c>
      <c r="P3" s="292">
        <f t="shared" si="1"/>
        <v>1</v>
      </c>
      <c r="Q3" s="292">
        <f t="shared" si="2"/>
        <v>397</v>
      </c>
      <c r="R3" s="293">
        <f t="shared" si="3"/>
        <v>30</v>
      </c>
      <c r="S3" s="294">
        <f t="shared" ref="S3:S23" ca="1" si="5">I3/$B$22</f>
        <v>2.1799033670542052</v>
      </c>
      <c r="U3" s="35">
        <v>50</v>
      </c>
      <c r="V3" s="51">
        <v>6</v>
      </c>
      <c r="W3" s="52">
        <f>V3/U3</f>
        <v>0.12</v>
      </c>
    </row>
    <row r="4" spans="1:23">
      <c r="A4" t="s">
        <v>146</v>
      </c>
      <c r="B4" s="5">
        <f>Fazenda!$B$2</f>
        <v>250000</v>
      </c>
      <c r="C4" s="5"/>
      <c r="D4" s="295" t="s">
        <v>144</v>
      </c>
      <c r="E4" s="296">
        <v>3</v>
      </c>
      <c r="F4" s="297">
        <f t="shared" si="4"/>
        <v>9</v>
      </c>
      <c r="G4" s="298">
        <v>27000</v>
      </c>
      <c r="H4" s="298">
        <v>3</v>
      </c>
      <c r="I4" s="298">
        <v>27000</v>
      </c>
      <c r="J4" s="298">
        <v>3</v>
      </c>
      <c r="K4" s="299">
        <f t="shared" si="0"/>
        <v>0.22499999999999998</v>
      </c>
      <c r="L4" s="300">
        <f>VLOOKUP(F4,XP!$A$1:$B$50,2,TRUE)</f>
        <v>9000</v>
      </c>
      <c r="M4" s="300">
        <f>SUM(I$2:I4)</f>
        <v>54000</v>
      </c>
      <c r="N4" s="300">
        <f>SUM(J$2:J4)</f>
        <v>6</v>
      </c>
      <c r="O4" s="301">
        <f>SUM(K$2:K4)</f>
        <v>0.44999999999999996</v>
      </c>
      <c r="P4" s="302">
        <f t="shared" si="1"/>
        <v>1</v>
      </c>
      <c r="Q4" s="302">
        <f t="shared" si="2"/>
        <v>394</v>
      </c>
      <c r="R4" s="303">
        <f t="shared" si="3"/>
        <v>30</v>
      </c>
      <c r="S4" s="302">
        <f t="shared" ca="1" si="5"/>
        <v>3.2698550505813078</v>
      </c>
      <c r="U4" s="35">
        <v>100</v>
      </c>
      <c r="V4" s="51">
        <v>10</v>
      </c>
      <c r="W4" s="52">
        <f>V4/U4</f>
        <v>0.1</v>
      </c>
    </row>
    <row r="5" spans="1:23">
      <c r="A5" t="s">
        <v>126</v>
      </c>
      <c r="B5" s="19">
        <f>VLOOKUP("-",$D$2:$R$23,9,FALSE)-B4</f>
        <v>-157000</v>
      </c>
      <c r="D5" s="102" t="s">
        <v>144</v>
      </c>
      <c r="E5" s="35">
        <v>4</v>
      </c>
      <c r="F5" s="36">
        <f t="shared" si="4"/>
        <v>11</v>
      </c>
      <c r="G5" s="37">
        <v>45000</v>
      </c>
      <c r="H5" s="37">
        <v>5</v>
      </c>
      <c r="I5" s="37">
        <v>45000</v>
      </c>
      <c r="J5" s="37">
        <v>5</v>
      </c>
      <c r="K5" s="38">
        <f t="shared" si="0"/>
        <v>0.375</v>
      </c>
      <c r="L5" s="31">
        <f>VLOOKUP(F5,XP!$A$1:$B$50,2,TRUE)</f>
        <v>13200</v>
      </c>
      <c r="M5" s="39">
        <f>SUM(I$2:I5)</f>
        <v>99000</v>
      </c>
      <c r="N5" s="39">
        <f>SUM(J$2:J5)</f>
        <v>11</v>
      </c>
      <c r="O5" s="40">
        <f>SUM(K$2:K5)</f>
        <v>0.82499999999999996</v>
      </c>
      <c r="P5" s="41">
        <f t="shared" si="1"/>
        <v>1</v>
      </c>
      <c r="Q5" s="41">
        <f t="shared" si="2"/>
        <v>389</v>
      </c>
      <c r="R5" s="42">
        <f t="shared" si="3"/>
        <v>30</v>
      </c>
      <c r="S5" s="33">
        <f t="shared" ca="1" si="5"/>
        <v>5.4497584176355129</v>
      </c>
      <c r="U5" s="35">
        <v>200</v>
      </c>
      <c r="V5" s="51">
        <v>16</v>
      </c>
      <c r="W5" s="52">
        <f>V5/U5</f>
        <v>0.08</v>
      </c>
    </row>
    <row r="6" spans="1:23">
      <c r="A6" t="s">
        <v>147</v>
      </c>
      <c r="B6" s="19">
        <f ca="1">Fazenda!I2</f>
        <v>21359.999999999993</v>
      </c>
      <c r="D6" s="102" t="s">
        <v>144</v>
      </c>
      <c r="E6" s="35">
        <v>5</v>
      </c>
      <c r="F6" s="36">
        <f t="shared" si="4"/>
        <v>13</v>
      </c>
      <c r="G6" s="37">
        <v>63000</v>
      </c>
      <c r="H6" s="37">
        <v>7</v>
      </c>
      <c r="I6" s="37">
        <v>63000</v>
      </c>
      <c r="J6" s="37">
        <v>7</v>
      </c>
      <c r="K6" s="38">
        <f t="shared" si="0"/>
        <v>0.52500000000000002</v>
      </c>
      <c r="L6" s="31">
        <f>VLOOKUP(F6,XP!$A$1:$B$50,2,TRUE)</f>
        <v>18200</v>
      </c>
      <c r="M6" s="39">
        <f>SUM(I$2:I6)</f>
        <v>162000</v>
      </c>
      <c r="N6" s="39">
        <f>SUM(J$2:J6)</f>
        <v>18</v>
      </c>
      <c r="O6" s="40">
        <f>SUM(K$2:K6)</f>
        <v>1.35</v>
      </c>
      <c r="P6" s="41">
        <f t="shared" si="1"/>
        <v>1</v>
      </c>
      <c r="Q6" s="41">
        <f t="shared" si="2"/>
        <v>382</v>
      </c>
      <c r="R6" s="42">
        <f t="shared" si="3"/>
        <v>30</v>
      </c>
      <c r="S6" s="33">
        <f t="shared" ca="1" si="5"/>
        <v>7.6296617846897181</v>
      </c>
      <c r="U6" s="43">
        <v>400</v>
      </c>
      <c r="V6" s="53">
        <v>30</v>
      </c>
      <c r="W6" s="54">
        <f>V6/U6</f>
        <v>7.4999999999999997E-2</v>
      </c>
    </row>
    <row r="7" spans="1:23">
      <c r="A7" t="s">
        <v>128</v>
      </c>
      <c r="B7" s="122">
        <f>IF(B5&lt;0,0,B5/B6)</f>
        <v>0</v>
      </c>
      <c r="D7" s="284" t="s">
        <v>144</v>
      </c>
      <c r="E7" s="285">
        <v>6</v>
      </c>
      <c r="F7" s="286">
        <f t="shared" si="4"/>
        <v>15</v>
      </c>
      <c r="G7" s="287">
        <v>81000</v>
      </c>
      <c r="H7" s="287">
        <v>9</v>
      </c>
      <c r="I7" s="287">
        <v>81000</v>
      </c>
      <c r="J7" s="287">
        <v>9</v>
      </c>
      <c r="K7" s="288">
        <f t="shared" si="0"/>
        <v>0.67499999999999993</v>
      </c>
      <c r="L7" s="289">
        <f>VLOOKUP(F7,XP!$A$1:$B$50,2,TRUE)</f>
        <v>24000</v>
      </c>
      <c r="M7" s="290">
        <f>SUM(I$2:I7)</f>
        <v>243000</v>
      </c>
      <c r="N7" s="290">
        <f>SUM(J$2:J7)</f>
        <v>27</v>
      </c>
      <c r="O7" s="291">
        <f>SUM(K$2:K7)</f>
        <v>2.0249999999999999</v>
      </c>
      <c r="P7" s="292">
        <f t="shared" si="1"/>
        <v>1</v>
      </c>
      <c r="Q7" s="292">
        <f t="shared" si="2"/>
        <v>373</v>
      </c>
      <c r="R7" s="293">
        <f t="shared" si="3"/>
        <v>30</v>
      </c>
      <c r="S7" s="294">
        <f t="shared" ca="1" si="5"/>
        <v>9.8095651517439233</v>
      </c>
    </row>
    <row r="8" spans="1:23">
      <c r="D8" s="295" t="s">
        <v>144</v>
      </c>
      <c r="E8" s="296">
        <v>7</v>
      </c>
      <c r="F8" s="297">
        <f t="shared" si="4"/>
        <v>17</v>
      </c>
      <c r="G8" s="298">
        <v>108000</v>
      </c>
      <c r="H8" s="298">
        <v>12</v>
      </c>
      <c r="I8" s="298">
        <v>108000</v>
      </c>
      <c r="J8" s="298">
        <v>12</v>
      </c>
      <c r="K8" s="299">
        <f t="shared" si="0"/>
        <v>0.89999999999999991</v>
      </c>
      <c r="L8" s="300">
        <f>VLOOKUP(F8,XP!$A$1:$B$50,2,TRUE)</f>
        <v>30600</v>
      </c>
      <c r="M8" s="300">
        <f>SUM(I$2:I8)</f>
        <v>351000</v>
      </c>
      <c r="N8" s="300">
        <f>SUM(J$2:J8)</f>
        <v>39</v>
      </c>
      <c r="O8" s="301">
        <f>SUM(K$2:K8)</f>
        <v>2.9249999999999998</v>
      </c>
      <c r="P8" s="302">
        <f t="shared" si="1"/>
        <v>1</v>
      </c>
      <c r="Q8" s="302">
        <f t="shared" si="2"/>
        <v>361</v>
      </c>
      <c r="R8" s="303">
        <f t="shared" si="3"/>
        <v>30</v>
      </c>
      <c r="S8" s="302">
        <f t="shared" ca="1" si="5"/>
        <v>13.079420202325231</v>
      </c>
      <c r="V8" s="9"/>
      <c r="W8" s="11"/>
    </row>
    <row r="9" spans="1:23">
      <c r="A9" s="1" t="s">
        <v>148</v>
      </c>
      <c r="D9" s="102" t="s">
        <v>144</v>
      </c>
      <c r="E9" s="35">
        <v>8</v>
      </c>
      <c r="F9" s="36">
        <f t="shared" si="4"/>
        <v>19</v>
      </c>
      <c r="G9" s="37">
        <v>135000</v>
      </c>
      <c r="H9" s="37">
        <v>15</v>
      </c>
      <c r="I9" s="37">
        <v>135000</v>
      </c>
      <c r="J9" s="37">
        <v>15</v>
      </c>
      <c r="K9" s="38">
        <f t="shared" si="0"/>
        <v>1.125</v>
      </c>
      <c r="L9" s="31">
        <f>VLOOKUP(F9,XP!$A$1:$B$50,2,TRUE)</f>
        <v>38000</v>
      </c>
      <c r="M9" s="39">
        <f>SUM(I$2:I9)</f>
        <v>486000</v>
      </c>
      <c r="N9" s="39">
        <f>SUM(J$2:J9)</f>
        <v>54</v>
      </c>
      <c r="O9" s="40">
        <f>SUM(K$2:K9)</f>
        <v>4.05</v>
      </c>
      <c r="P9" s="41">
        <f t="shared" si="1"/>
        <v>1</v>
      </c>
      <c r="Q9" s="41">
        <f t="shared" si="2"/>
        <v>346</v>
      </c>
      <c r="R9" s="42">
        <f t="shared" si="3"/>
        <v>30</v>
      </c>
      <c r="S9" s="33">
        <f t="shared" ca="1" si="5"/>
        <v>16.349275252906541</v>
      </c>
    </row>
    <row r="10" spans="1:23">
      <c r="A10" s="99" t="s">
        <v>146</v>
      </c>
      <c r="B10" s="5">
        <f>Fazenda!$A$2</f>
        <v>2160000</v>
      </c>
      <c r="D10" s="102" t="s">
        <v>144</v>
      </c>
      <c r="E10" s="35">
        <v>9</v>
      </c>
      <c r="F10" s="36">
        <f t="shared" si="4"/>
        <v>21</v>
      </c>
      <c r="G10" s="37">
        <v>162000</v>
      </c>
      <c r="H10" s="37">
        <v>18</v>
      </c>
      <c r="I10" s="37">
        <v>162000</v>
      </c>
      <c r="J10" s="37">
        <v>18</v>
      </c>
      <c r="K10" s="38">
        <f t="shared" si="0"/>
        <v>1.3499999999999999</v>
      </c>
      <c r="L10" s="31">
        <f>VLOOKUP(F10,XP!$A$1:$B$50,2,TRUE)</f>
        <v>46200</v>
      </c>
      <c r="M10" s="39">
        <f>SUM(I$2:I10)</f>
        <v>648000</v>
      </c>
      <c r="N10" s="39">
        <f>SUM(J$2:J10)</f>
        <v>72</v>
      </c>
      <c r="O10" s="40">
        <f>SUM(K$2:K10)</f>
        <v>5.3999999999999995</v>
      </c>
      <c r="P10" s="41">
        <f t="shared" si="1"/>
        <v>1</v>
      </c>
      <c r="Q10" s="41">
        <f t="shared" si="2"/>
        <v>328</v>
      </c>
      <c r="R10" s="42">
        <f t="shared" si="3"/>
        <v>30</v>
      </c>
      <c r="S10" s="33">
        <f t="shared" ca="1" si="5"/>
        <v>19.619130303487847</v>
      </c>
    </row>
    <row r="11" spans="1:23">
      <c r="A11" t="s">
        <v>126</v>
      </c>
      <c r="B11" s="19">
        <f>VLOOKUP("-",$D$2:$R$23,6,FALSE)-B10</f>
        <v>-1440000</v>
      </c>
      <c r="D11" s="284" t="s">
        <v>144</v>
      </c>
      <c r="E11" s="285">
        <v>10</v>
      </c>
      <c r="F11" s="286">
        <f t="shared" si="4"/>
        <v>23</v>
      </c>
      <c r="G11" s="287">
        <v>207000</v>
      </c>
      <c r="H11" s="287">
        <v>23</v>
      </c>
      <c r="I11" s="287">
        <v>207000</v>
      </c>
      <c r="J11" s="287">
        <v>23</v>
      </c>
      <c r="K11" s="288">
        <f t="shared" si="0"/>
        <v>1.7249999999999999</v>
      </c>
      <c r="L11" s="289">
        <f>VLOOKUP(F11,XP!$A$1:$B$50,2,TRUE)</f>
        <v>55200</v>
      </c>
      <c r="M11" s="290">
        <f>SUM(I$2:I11)</f>
        <v>855000</v>
      </c>
      <c r="N11" s="290">
        <f>SUM(J$2:J11)</f>
        <v>95</v>
      </c>
      <c r="O11" s="291">
        <f>SUM(K$2:K11)</f>
        <v>7.1249999999999991</v>
      </c>
      <c r="P11" s="292">
        <f t="shared" si="1"/>
        <v>1</v>
      </c>
      <c r="Q11" s="292">
        <f t="shared" si="2"/>
        <v>305</v>
      </c>
      <c r="R11" s="293">
        <f t="shared" si="3"/>
        <v>30</v>
      </c>
      <c r="S11" s="294">
        <f t="shared" ca="1" si="5"/>
        <v>25.068888721123361</v>
      </c>
    </row>
    <row r="12" spans="1:23">
      <c r="A12" t="s">
        <v>147</v>
      </c>
      <c r="B12" s="5">
        <f ca="1">Fazenda!J2</f>
        <v>45467.000000000015</v>
      </c>
      <c r="D12" s="295" t="s">
        <v>144</v>
      </c>
      <c r="E12" s="296">
        <v>11</v>
      </c>
      <c r="F12" s="297">
        <f t="shared" si="4"/>
        <v>25</v>
      </c>
      <c r="G12" s="298">
        <v>270000</v>
      </c>
      <c r="H12" s="298">
        <v>30</v>
      </c>
      <c r="I12" s="298">
        <v>270000</v>
      </c>
      <c r="J12" s="298">
        <v>30</v>
      </c>
      <c r="K12" s="299">
        <f t="shared" si="0"/>
        <v>2.25</v>
      </c>
      <c r="L12" s="300">
        <f>VLOOKUP(F12,XP!$A$1:$B$50,2,TRUE)</f>
        <v>65000</v>
      </c>
      <c r="M12" s="300">
        <f>SUM(I$2:I12)</f>
        <v>1125000</v>
      </c>
      <c r="N12" s="300">
        <f>SUM(J$2:J12)</f>
        <v>125</v>
      </c>
      <c r="O12" s="301">
        <f>SUM(K$2:K12)</f>
        <v>9.375</v>
      </c>
      <c r="P12" s="302">
        <f t="shared" si="1"/>
        <v>1</v>
      </c>
      <c r="Q12" s="302">
        <f t="shared" si="2"/>
        <v>275</v>
      </c>
      <c r="R12" s="303">
        <f t="shared" si="3"/>
        <v>30</v>
      </c>
      <c r="S12" s="302">
        <f t="shared" ca="1" si="5"/>
        <v>32.698550505813081</v>
      </c>
    </row>
    <row r="13" spans="1:23">
      <c r="A13" t="s">
        <v>128</v>
      </c>
      <c r="B13" s="122">
        <f>IF(B11&lt;0,0,B11/B12)</f>
        <v>0</v>
      </c>
      <c r="D13" s="102" t="s">
        <v>144</v>
      </c>
      <c r="E13" s="35">
        <v>12</v>
      </c>
      <c r="F13" s="36">
        <f t="shared" si="4"/>
        <v>27</v>
      </c>
      <c r="G13" s="37">
        <v>450000</v>
      </c>
      <c r="H13" s="37">
        <v>50</v>
      </c>
      <c r="I13" s="37">
        <v>450000</v>
      </c>
      <c r="J13" s="37">
        <v>50</v>
      </c>
      <c r="K13" s="38">
        <f t="shared" si="0"/>
        <v>3.75</v>
      </c>
      <c r="L13" s="31">
        <f>VLOOKUP(F13,XP!$A$1:$B$50,2,TRUE)</f>
        <v>75600</v>
      </c>
      <c r="M13" s="39">
        <f>SUM(I$2:I13)</f>
        <v>1575000</v>
      </c>
      <c r="N13" s="39">
        <f>SUM(J$2:J13)</f>
        <v>175</v>
      </c>
      <c r="O13" s="40">
        <f>SUM(K$2:K13)</f>
        <v>13.125</v>
      </c>
      <c r="P13" s="41">
        <f t="shared" si="1"/>
        <v>1</v>
      </c>
      <c r="Q13" s="41">
        <f t="shared" si="2"/>
        <v>225</v>
      </c>
      <c r="R13" s="42">
        <f t="shared" si="3"/>
        <v>30</v>
      </c>
      <c r="S13" s="33">
        <f t="shared" ca="1" si="5"/>
        <v>54.497584176355133</v>
      </c>
    </row>
    <row r="14" spans="1:23">
      <c r="D14" s="102" t="s">
        <v>144</v>
      </c>
      <c r="E14" s="35">
        <v>13</v>
      </c>
      <c r="F14" s="36">
        <f t="shared" si="4"/>
        <v>29</v>
      </c>
      <c r="G14" s="37">
        <v>630000</v>
      </c>
      <c r="H14" s="37">
        <v>70</v>
      </c>
      <c r="I14" s="37">
        <v>540000</v>
      </c>
      <c r="J14" s="37">
        <v>60</v>
      </c>
      <c r="K14" s="38">
        <f t="shared" si="0"/>
        <v>4.5</v>
      </c>
      <c r="L14" s="31">
        <f>VLOOKUP(F14,XP!$A$1:$B$50,2,TRUE)</f>
        <v>87000</v>
      </c>
      <c r="M14" s="39">
        <f>SUM(I$2:I14)</f>
        <v>2115000</v>
      </c>
      <c r="N14" s="39">
        <f>SUM(J$2:J14)</f>
        <v>235</v>
      </c>
      <c r="O14" s="40">
        <f>SUM(K$2:K14)</f>
        <v>17.625</v>
      </c>
      <c r="P14" s="41">
        <f t="shared" si="1"/>
        <v>1</v>
      </c>
      <c r="Q14" s="41">
        <f t="shared" si="2"/>
        <v>165</v>
      </c>
      <c r="R14" s="42">
        <f t="shared" si="3"/>
        <v>30</v>
      </c>
      <c r="S14" s="33">
        <f t="shared" ca="1" si="5"/>
        <v>65.397101011626162</v>
      </c>
    </row>
    <row r="15" spans="1:23">
      <c r="A15" s="1" t="s">
        <v>126</v>
      </c>
      <c r="B15" s="2" t="str">
        <f>IF(MAX(B7,B13)=B7,"XP","Moedas")</f>
        <v>XP</v>
      </c>
      <c r="D15" s="284" t="s">
        <v>144</v>
      </c>
      <c r="E15" s="285">
        <v>14</v>
      </c>
      <c r="F15" s="286">
        <f t="shared" si="4"/>
        <v>31</v>
      </c>
      <c r="G15" s="287">
        <v>810000</v>
      </c>
      <c r="H15" s="287">
        <v>90</v>
      </c>
      <c r="I15" s="287">
        <v>630000</v>
      </c>
      <c r="J15" s="287">
        <v>70</v>
      </c>
      <c r="K15" s="288">
        <f t="shared" si="0"/>
        <v>5.25</v>
      </c>
      <c r="L15" s="289">
        <f>VLOOKUP(F15,XP!$A$1:$B$50,2,TRUE)</f>
        <v>93000</v>
      </c>
      <c r="M15" s="290">
        <f>SUM(I$2:I15)</f>
        <v>2745000</v>
      </c>
      <c r="N15" s="290">
        <f>SUM(J$2:J15)</f>
        <v>305</v>
      </c>
      <c r="O15" s="291">
        <f>SUM(K$2:K15)</f>
        <v>22.875</v>
      </c>
      <c r="P15" s="292">
        <f t="shared" si="1"/>
        <v>1</v>
      </c>
      <c r="Q15" s="292">
        <f t="shared" si="2"/>
        <v>95</v>
      </c>
      <c r="R15" s="293">
        <f t="shared" si="3"/>
        <v>30</v>
      </c>
      <c r="S15" s="294">
        <f t="shared" ca="1" si="5"/>
        <v>76.296617846897178</v>
      </c>
    </row>
    <row r="16" spans="1:23">
      <c r="A16" s="1" t="s">
        <v>162</v>
      </c>
      <c r="B16" s="110">
        <f ca="1">IF(B13&gt;B7,0,(B7-B13)*B12)</f>
        <v>0</v>
      </c>
      <c r="D16" s="295" t="s">
        <v>145</v>
      </c>
      <c r="E16" s="296">
        <v>15</v>
      </c>
      <c r="F16" s="297">
        <f t="shared" si="4"/>
        <v>33</v>
      </c>
      <c r="G16" s="298">
        <v>1080000</v>
      </c>
      <c r="H16" s="298">
        <v>120</v>
      </c>
      <c r="I16" s="298">
        <v>720000</v>
      </c>
      <c r="J16" s="298">
        <v>80</v>
      </c>
      <c r="K16" s="299">
        <f t="shared" si="0"/>
        <v>6</v>
      </c>
      <c r="L16" s="300">
        <f>VLOOKUP(F16,XP!$A$1:$B$50,2,TRUE)</f>
        <v>93000</v>
      </c>
      <c r="M16" s="300">
        <f>SUM(I$2:I16)</f>
        <v>3465000</v>
      </c>
      <c r="N16" s="300">
        <f>SUM(J$2:J16)</f>
        <v>385</v>
      </c>
      <c r="O16" s="301">
        <f>SUM(K$2:K16)</f>
        <v>28.875</v>
      </c>
      <c r="P16" s="302">
        <f t="shared" si="1"/>
        <v>1</v>
      </c>
      <c r="Q16" s="302">
        <f t="shared" si="2"/>
        <v>15</v>
      </c>
      <c r="R16" s="303">
        <f t="shared" si="3"/>
        <v>30</v>
      </c>
      <c r="S16" s="302">
        <f t="shared" ca="1" si="5"/>
        <v>87.196134682168207</v>
      </c>
    </row>
    <row r="17" spans="1:23">
      <c r="A17" s="1" t="s">
        <v>207</v>
      </c>
      <c r="B17" s="110">
        <f ca="1">IF(B13&gt;B7,0,B5-B6*B13)</f>
        <v>-157000</v>
      </c>
      <c r="D17" s="102" t="s">
        <v>145</v>
      </c>
      <c r="E17" s="35">
        <v>16</v>
      </c>
      <c r="F17" s="36">
        <f t="shared" si="4"/>
        <v>35</v>
      </c>
      <c r="G17" s="37">
        <v>1350000</v>
      </c>
      <c r="H17" s="37">
        <v>150</v>
      </c>
      <c r="I17" s="37">
        <v>810000</v>
      </c>
      <c r="J17" s="37">
        <v>90</v>
      </c>
      <c r="K17" s="38">
        <f t="shared" si="0"/>
        <v>6.75</v>
      </c>
      <c r="L17" s="31">
        <f>VLOOKUP(F17,XP!$A$1:$B$50,2,TRUE)</f>
        <v>93000</v>
      </c>
      <c r="M17" s="39">
        <f>SUM(I$2:I17)</f>
        <v>4275000</v>
      </c>
      <c r="N17" s="39">
        <f>SUM(J$2:J17)</f>
        <v>475</v>
      </c>
      <c r="O17" s="40">
        <f>SUM(K$2:K17)</f>
        <v>35.625</v>
      </c>
      <c r="P17" s="41">
        <f t="shared" si="1"/>
        <v>2</v>
      </c>
      <c r="Q17" s="41">
        <f t="shared" si="2"/>
        <v>325</v>
      </c>
      <c r="R17" s="42">
        <f t="shared" si="3"/>
        <v>60</v>
      </c>
      <c r="S17" s="33">
        <f t="shared" ca="1" si="5"/>
        <v>98.095651517439236</v>
      </c>
    </row>
    <row r="18" spans="1:23">
      <c r="D18" s="102" t="s">
        <v>145</v>
      </c>
      <c r="E18" s="35">
        <v>17</v>
      </c>
      <c r="F18" s="36">
        <f t="shared" si="4"/>
        <v>37</v>
      </c>
      <c r="G18" s="37">
        <v>1620000</v>
      </c>
      <c r="H18" s="37">
        <v>180</v>
      </c>
      <c r="I18" s="37">
        <v>900000</v>
      </c>
      <c r="J18" s="37">
        <v>100</v>
      </c>
      <c r="K18" s="38">
        <f t="shared" si="0"/>
        <v>7.5</v>
      </c>
      <c r="L18" s="31">
        <f>VLOOKUP(F18,XP!$A$1:$B$50,2,TRUE)</f>
        <v>93000</v>
      </c>
      <c r="M18" s="39">
        <f>SUM(I$2:I18)</f>
        <v>5175000</v>
      </c>
      <c r="N18" s="39">
        <f>SUM(J$2:J18)</f>
        <v>575</v>
      </c>
      <c r="O18" s="40">
        <f>SUM(K$2:K18)</f>
        <v>43.125</v>
      </c>
      <c r="P18" s="41">
        <f t="shared" si="1"/>
        <v>2</v>
      </c>
      <c r="Q18" s="41">
        <f t="shared" si="2"/>
        <v>225</v>
      </c>
      <c r="R18" s="42">
        <f t="shared" si="3"/>
        <v>60</v>
      </c>
      <c r="S18" s="33">
        <f t="shared" ca="1" si="5"/>
        <v>108.99516835271027</v>
      </c>
    </row>
    <row r="19" spans="1:23">
      <c r="A19" s="1" t="s">
        <v>208</v>
      </c>
      <c r="B19" s="105">
        <v>30</v>
      </c>
      <c r="D19" s="284" t="s">
        <v>145</v>
      </c>
      <c r="E19" s="285">
        <v>18</v>
      </c>
      <c r="F19" s="286">
        <f t="shared" si="4"/>
        <v>39</v>
      </c>
      <c r="G19" s="287">
        <v>2070000</v>
      </c>
      <c r="H19" s="287">
        <v>230</v>
      </c>
      <c r="I19" s="287">
        <v>990000</v>
      </c>
      <c r="J19" s="287">
        <v>110</v>
      </c>
      <c r="K19" s="288">
        <f t="shared" si="0"/>
        <v>8.25</v>
      </c>
      <c r="L19" s="289">
        <f>VLOOKUP(F19,XP!$A$1:$B$50,2,TRUE)</f>
        <v>93000</v>
      </c>
      <c r="M19" s="290">
        <f>SUM(I$2:I19)</f>
        <v>6165000</v>
      </c>
      <c r="N19" s="290">
        <f>SUM(J$2:J19)</f>
        <v>685</v>
      </c>
      <c r="O19" s="291">
        <f>SUM(K$2:K19)</f>
        <v>51.375</v>
      </c>
      <c r="P19" s="292">
        <f t="shared" si="1"/>
        <v>2</v>
      </c>
      <c r="Q19" s="292">
        <f t="shared" si="2"/>
        <v>115</v>
      </c>
      <c r="R19" s="293">
        <f t="shared" si="3"/>
        <v>60</v>
      </c>
      <c r="S19" s="294">
        <f t="shared" ca="1" si="5"/>
        <v>119.89468518798128</v>
      </c>
      <c r="T19" s="19"/>
    </row>
    <row r="20" spans="1:23">
      <c r="A20" s="1" t="s">
        <v>209</v>
      </c>
      <c r="B20" s="122" t="str">
        <f ca="1">IF(B17&lt;0,"agora",B13+(B17*1000/B19)/B12)</f>
        <v>agora</v>
      </c>
      <c r="D20" s="295" t="s">
        <v>145</v>
      </c>
      <c r="E20" s="296">
        <v>19</v>
      </c>
      <c r="F20" s="297">
        <f t="shared" si="4"/>
        <v>41</v>
      </c>
      <c r="G20" s="298">
        <v>2520000</v>
      </c>
      <c r="H20" s="298">
        <v>280</v>
      </c>
      <c r="I20" s="298">
        <v>1080000</v>
      </c>
      <c r="J20" s="298">
        <v>120</v>
      </c>
      <c r="K20" s="299">
        <f t="shared" si="0"/>
        <v>9</v>
      </c>
      <c r="L20" s="300">
        <f>VLOOKUP(F20,XP!$A$1:$B$50,2,TRUE)</f>
        <v>93000</v>
      </c>
      <c r="M20" s="300">
        <f>SUM(I$2:I20)</f>
        <v>7245000</v>
      </c>
      <c r="N20" s="300">
        <f>SUM(J$2:J20)</f>
        <v>805</v>
      </c>
      <c r="O20" s="301">
        <f>SUM(K$2:K20)</f>
        <v>60.375</v>
      </c>
      <c r="P20" s="302">
        <f t="shared" si="1"/>
        <v>3</v>
      </c>
      <c r="Q20" s="302">
        <f t="shared" si="2"/>
        <v>395</v>
      </c>
      <c r="R20" s="303">
        <f t="shared" si="3"/>
        <v>90</v>
      </c>
      <c r="S20" s="302">
        <f t="shared" ca="1" si="5"/>
        <v>130.79420202325232</v>
      </c>
    </row>
    <row r="21" spans="1:23">
      <c r="D21" s="102" t="s">
        <v>145</v>
      </c>
      <c r="E21" s="35">
        <v>20</v>
      </c>
      <c r="F21" s="36">
        <f t="shared" si="4"/>
        <v>43</v>
      </c>
      <c r="G21" s="37">
        <v>3150000</v>
      </c>
      <c r="H21" s="37">
        <v>350</v>
      </c>
      <c r="I21" s="37">
        <v>1170000</v>
      </c>
      <c r="J21" s="37">
        <v>130</v>
      </c>
      <c r="K21" s="38">
        <f t="shared" si="0"/>
        <v>9.75</v>
      </c>
      <c r="L21" s="31">
        <f>VLOOKUP(F21,XP!$A$1:$B$50,2,TRUE)</f>
        <v>93000</v>
      </c>
      <c r="M21" s="39">
        <f>SUM(I$2:I21)</f>
        <v>8415000</v>
      </c>
      <c r="N21" s="39">
        <f>SUM(J$2:J21)</f>
        <v>935</v>
      </c>
      <c r="O21" s="40">
        <f>SUM(K$2:K21)</f>
        <v>70.125</v>
      </c>
      <c r="P21" s="41">
        <f t="shared" si="1"/>
        <v>3</v>
      </c>
      <c r="Q21" s="41">
        <f t="shared" si="2"/>
        <v>265</v>
      </c>
      <c r="R21" s="42">
        <f t="shared" si="3"/>
        <v>90</v>
      </c>
      <c r="S21" s="33">
        <f t="shared" ca="1" si="5"/>
        <v>141.69371885852334</v>
      </c>
    </row>
    <row r="22" spans="1:23">
      <c r="A22" s="283" t="s">
        <v>232</v>
      </c>
      <c r="B22" s="126">
        <f ca="1">Fertilizantes!Y33</f>
        <v>8257.2467532467526</v>
      </c>
      <c r="D22" s="102" t="s">
        <v>145</v>
      </c>
      <c r="E22" s="35">
        <v>21</v>
      </c>
      <c r="F22" s="36">
        <f t="shared" si="4"/>
        <v>45</v>
      </c>
      <c r="G22" s="37">
        <v>4050000</v>
      </c>
      <c r="H22" s="37">
        <v>450</v>
      </c>
      <c r="I22" s="37">
        <v>1260000</v>
      </c>
      <c r="J22" s="37">
        <v>140</v>
      </c>
      <c r="K22" s="38">
        <f t="shared" si="0"/>
        <v>10.5</v>
      </c>
      <c r="L22" s="31">
        <f>VLOOKUP(F22,XP!$A$1:$B$50,2,TRUE)</f>
        <v>93000</v>
      </c>
      <c r="M22" s="39">
        <f>SUM(I$2:I22)</f>
        <v>9675000</v>
      </c>
      <c r="N22" s="39">
        <f>SUM(J$2:J22)</f>
        <v>1075</v>
      </c>
      <c r="O22" s="40">
        <f>SUM(K$2:K22)</f>
        <v>80.625</v>
      </c>
      <c r="P22" s="41">
        <f t="shared" si="1"/>
        <v>3</v>
      </c>
      <c r="Q22" s="41">
        <f t="shared" si="2"/>
        <v>125</v>
      </c>
      <c r="R22" s="42">
        <f t="shared" si="3"/>
        <v>90</v>
      </c>
      <c r="S22" s="33">
        <f t="shared" ca="1" si="5"/>
        <v>152.59323569379436</v>
      </c>
    </row>
    <row r="23" spans="1:23">
      <c r="D23" s="284" t="s">
        <v>145</v>
      </c>
      <c r="E23" s="285">
        <v>22</v>
      </c>
      <c r="F23" s="286">
        <f t="shared" si="4"/>
        <v>47</v>
      </c>
      <c r="G23" s="287">
        <v>5400000</v>
      </c>
      <c r="H23" s="287">
        <v>600</v>
      </c>
      <c r="I23" s="287">
        <v>1350000</v>
      </c>
      <c r="J23" s="287">
        <v>150</v>
      </c>
      <c r="K23" s="288">
        <f t="shared" si="0"/>
        <v>11.25</v>
      </c>
      <c r="L23" s="289">
        <f>VLOOKUP(F23,XP!$A$1:$B$50,2,TRUE)</f>
        <v>93000</v>
      </c>
      <c r="M23" s="290">
        <f>SUM(I$2:I23)</f>
        <v>11025000</v>
      </c>
      <c r="N23" s="290">
        <f>SUM(J$2:J23)</f>
        <v>1225</v>
      </c>
      <c r="O23" s="291">
        <f>SUM(K$2:K23)</f>
        <v>91.875</v>
      </c>
      <c r="P23" s="292">
        <f t="shared" si="1"/>
        <v>4</v>
      </c>
      <c r="Q23" s="292">
        <f t="shared" si="2"/>
        <v>375</v>
      </c>
      <c r="R23" s="293">
        <f t="shared" si="3"/>
        <v>120</v>
      </c>
      <c r="S23" s="294">
        <f t="shared" ca="1" si="5"/>
        <v>163.4927525290654</v>
      </c>
    </row>
    <row r="24" spans="1:23" ht="15.75" thickBot="1">
      <c r="E24" s="304" t="s">
        <v>56</v>
      </c>
      <c r="F24" s="305"/>
      <c r="G24" s="306">
        <f>SUM(G2:G23)</f>
        <v>24255000</v>
      </c>
      <c r="H24" s="306">
        <f>SUM(H2:H23)</f>
        <v>2695</v>
      </c>
      <c r="I24" s="306">
        <f>SUM(I2:I23)</f>
        <v>11025000</v>
      </c>
      <c r="J24" s="306">
        <f>SUM(J2:J23)</f>
        <v>1225</v>
      </c>
      <c r="K24" s="307">
        <f>SUM(K2:K23)</f>
        <v>91.875</v>
      </c>
      <c r="L24" s="8"/>
      <c r="M24" s="4"/>
      <c r="N24"/>
      <c r="Q24" s="21"/>
      <c r="R24"/>
      <c r="S24" s="21"/>
      <c r="U24" s="6"/>
      <c r="V24" s="12"/>
      <c r="W24"/>
    </row>
    <row r="26" spans="1:23">
      <c r="A26" s="23"/>
      <c r="B26" s="6" t="s">
        <v>105</v>
      </c>
      <c r="C26" s="6"/>
      <c r="E26" s="12"/>
    </row>
    <row r="27" spans="1:23">
      <c r="A27" s="25"/>
      <c r="B27" s="6" t="s">
        <v>106</v>
      </c>
      <c r="C27" s="6"/>
      <c r="E27" s="12"/>
    </row>
    <row r="28" spans="1:23" ht="15.75" thickBot="1">
      <c r="A28" s="48"/>
      <c r="B28" s="6" t="s">
        <v>108</v>
      </c>
      <c r="C28" s="6"/>
      <c r="E28" s="12"/>
    </row>
    <row r="29" spans="1:23" ht="15.75" thickBot="1">
      <c r="A29" s="47"/>
      <c r="B29" s="6" t="s">
        <v>107</v>
      </c>
      <c r="C29" s="6"/>
      <c r="E29" s="12"/>
    </row>
  </sheetData>
  <conditionalFormatting sqref="B13 B7 B20">
    <cfRule type="cellIs" dxfId="165" priority="10" operator="greaterThan">
      <formula>30</formula>
    </cfRule>
    <cfRule type="cellIs" dxfId="164" priority="11" operator="between">
      <formula>1</formula>
      <formula>30</formula>
    </cfRule>
    <cfRule type="cellIs" dxfId="163" priority="1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N3:N22 M3 M4:M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A23"/>
  <sheetViews>
    <sheetView workbookViewId="0">
      <pane ySplit="2" topLeftCell="A3" activePane="bottomLeft" state="frozen"/>
      <selection pane="bottomLeft" activeCell="X16" sqref="X16:X19"/>
    </sheetView>
  </sheetViews>
  <sheetFormatPr defaultRowHeight="15"/>
  <cols>
    <col min="1" max="1" width="11.140625" style="1" bestFit="1" customWidth="1"/>
    <col min="2" max="2" width="8.140625" style="5" customWidth="1"/>
    <col min="3" max="3" width="6.42578125" bestFit="1" customWidth="1"/>
    <col min="4" max="4" width="5.85546875" customWidth="1"/>
    <col min="5" max="5" width="2.28515625" customWidth="1"/>
    <col min="6" max="6" width="8.140625" style="5" customWidth="1"/>
    <col min="7" max="8" width="6.42578125" bestFit="1" customWidth="1"/>
    <col min="9" max="9" width="2.28515625" customWidth="1"/>
    <col min="10" max="10" width="8.140625" style="5" customWidth="1"/>
    <col min="11" max="12" width="6.42578125" bestFit="1" customWidth="1"/>
    <col min="13" max="13" width="2.28515625" customWidth="1"/>
    <col min="14" max="14" width="8.140625" style="5" customWidth="1"/>
    <col min="15" max="15" width="6.42578125" bestFit="1" customWidth="1"/>
    <col min="16" max="16" width="5.5703125" bestFit="1" customWidth="1"/>
    <col min="17" max="17" width="2.28515625" customWidth="1"/>
    <col min="18" max="18" width="8.140625" style="5" customWidth="1"/>
    <col min="19" max="19" width="6.42578125" bestFit="1" customWidth="1"/>
    <col min="20" max="20" width="5.5703125" bestFit="1" customWidth="1"/>
    <col min="21" max="21" width="2.28515625" customWidth="1"/>
    <col min="22" max="22" width="8.42578125" style="5" bestFit="1" customWidth="1"/>
    <col min="23" max="23" width="7.42578125" style="5" bestFit="1" customWidth="1"/>
    <col min="24" max="24" width="8" style="22" bestFit="1" customWidth="1"/>
    <col min="25" max="25" width="5.28515625" bestFit="1" customWidth="1"/>
    <col min="26" max="26" width="5.5703125" bestFit="1" customWidth="1"/>
    <col min="27" max="27" width="5.85546875" style="1" bestFit="1" customWidth="1"/>
  </cols>
  <sheetData>
    <row r="1" spans="1:27">
      <c r="A1" s="2" t="s">
        <v>42</v>
      </c>
      <c r="B1" s="18" t="s">
        <v>46</v>
      </c>
      <c r="C1" s="2"/>
      <c r="D1" s="2"/>
      <c r="F1" s="18" t="s">
        <v>47</v>
      </c>
      <c r="G1" s="2"/>
      <c r="H1" s="2"/>
      <c r="J1" s="18" t="s">
        <v>48</v>
      </c>
      <c r="K1" s="2"/>
      <c r="L1" s="2"/>
      <c r="N1" s="18" t="s">
        <v>44</v>
      </c>
      <c r="O1" s="2"/>
      <c r="P1" s="2"/>
      <c r="R1" s="18" t="s">
        <v>45</v>
      </c>
      <c r="S1" s="2"/>
      <c r="T1" s="2"/>
      <c r="V1" s="3" t="s">
        <v>49</v>
      </c>
      <c r="W1" s="3"/>
      <c r="Z1" s="2"/>
    </row>
    <row r="2" spans="1:27" s="1" customFormat="1">
      <c r="A2" s="2"/>
      <c r="B2" s="3" t="s">
        <v>81</v>
      </c>
      <c r="C2" s="2" t="s">
        <v>82</v>
      </c>
      <c r="D2" s="2" t="s">
        <v>43</v>
      </c>
      <c r="F2" s="3" t="s">
        <v>81</v>
      </c>
      <c r="G2" s="2" t="s">
        <v>82</v>
      </c>
      <c r="H2" s="2" t="s">
        <v>43</v>
      </c>
      <c r="J2" s="3" t="s">
        <v>81</v>
      </c>
      <c r="K2" s="2" t="s">
        <v>82</v>
      </c>
      <c r="L2" s="2" t="s">
        <v>43</v>
      </c>
      <c r="N2" s="3" t="s">
        <v>81</v>
      </c>
      <c r="O2" s="2" t="s">
        <v>82</v>
      </c>
      <c r="P2" s="2" t="s">
        <v>43</v>
      </c>
      <c r="R2" s="3" t="s">
        <v>81</v>
      </c>
      <c r="S2" s="2" t="s">
        <v>82</v>
      </c>
      <c r="T2" s="2" t="s">
        <v>43</v>
      </c>
      <c r="V2" s="4" t="s">
        <v>1</v>
      </c>
      <c r="W2" s="4" t="s">
        <v>82</v>
      </c>
      <c r="X2" s="2" t="s">
        <v>110</v>
      </c>
      <c r="Y2" s="1" t="s">
        <v>79</v>
      </c>
      <c r="Z2" s="2" t="s">
        <v>43</v>
      </c>
      <c r="AA2" s="1" t="s">
        <v>116</v>
      </c>
    </row>
    <row r="3" spans="1:27">
      <c r="A3" s="88" t="s">
        <v>32</v>
      </c>
      <c r="B3" s="29">
        <v>14888</v>
      </c>
      <c r="C3" s="29">
        <v>296</v>
      </c>
      <c r="D3" s="80">
        <f>1000*C3/B3</f>
        <v>19.881783987103709</v>
      </c>
      <c r="E3" s="81"/>
      <c r="F3" s="29">
        <v>9999</v>
      </c>
      <c r="G3" s="29">
        <v>198</v>
      </c>
      <c r="H3" s="80">
        <f>1000*G3/F3</f>
        <v>19.801980198019802</v>
      </c>
      <c r="I3" s="81"/>
      <c r="J3" s="29">
        <v>3688</v>
      </c>
      <c r="K3" s="29">
        <v>72</v>
      </c>
      <c r="L3" s="80">
        <f>1000*K3/J3</f>
        <v>19.522776572668114</v>
      </c>
      <c r="M3" s="81"/>
      <c r="N3" s="29">
        <v>5888</v>
      </c>
      <c r="O3" s="29">
        <v>116</v>
      </c>
      <c r="P3" s="80">
        <f>1000*O3/N3</f>
        <v>19.701086956521738</v>
      </c>
      <c r="Q3" s="81"/>
      <c r="R3" s="29">
        <v>4999</v>
      </c>
      <c r="S3" s="29">
        <v>98</v>
      </c>
      <c r="T3" s="80">
        <f>1000*S3/R3</f>
        <v>19.603920784156831</v>
      </c>
      <c r="U3" s="81"/>
      <c r="V3" s="31">
        <f t="shared" ref="V3:V13" si="0">SUM(B3,F3,J3,N3,R3)</f>
        <v>39462</v>
      </c>
      <c r="W3" s="31">
        <f t="shared" ref="W3:W13" si="1">SUM(C3,G3,K3,O3,S3)</f>
        <v>780</v>
      </c>
      <c r="X3" s="31">
        <f t="shared" ref="X3:X13" si="2">V3/30</f>
        <v>1315.4</v>
      </c>
      <c r="Y3" s="31">
        <f t="shared" ref="Y3:Y13" si="3">W3/30</f>
        <v>26</v>
      </c>
      <c r="Z3" s="80">
        <f>1000*W3/V3</f>
        <v>19.765850691804776</v>
      </c>
      <c r="AA3" s="101" t="s">
        <v>115</v>
      </c>
    </row>
    <row r="4" spans="1:27">
      <c r="A4" s="89" t="s">
        <v>33</v>
      </c>
      <c r="B4" s="37">
        <v>29888</v>
      </c>
      <c r="C4" s="37">
        <v>596</v>
      </c>
      <c r="D4" s="82">
        <f t="shared" ref="D4:D13" si="4">1000*C4/B4</f>
        <v>19.941113490364025</v>
      </c>
      <c r="E4" s="83"/>
      <c r="F4" s="37">
        <v>24999</v>
      </c>
      <c r="G4" s="37">
        <v>498</v>
      </c>
      <c r="H4" s="82">
        <f t="shared" ref="H4:H13" si="5">1000*G4/F4</f>
        <v>19.920796831873275</v>
      </c>
      <c r="I4" s="83"/>
      <c r="J4" s="37">
        <v>6688</v>
      </c>
      <c r="K4" s="37">
        <v>132</v>
      </c>
      <c r="L4" s="82">
        <f t="shared" ref="L4:L13" si="6">1000*K4/J4</f>
        <v>19.736842105263158</v>
      </c>
      <c r="M4" s="83"/>
      <c r="N4" s="37">
        <v>8888</v>
      </c>
      <c r="O4" s="37">
        <v>176</v>
      </c>
      <c r="P4" s="82">
        <f t="shared" ref="P4:P13" si="7">1000*O4/N4</f>
        <v>19.801980198019802</v>
      </c>
      <c r="Q4" s="83"/>
      <c r="R4" s="37">
        <v>9999</v>
      </c>
      <c r="S4" s="37">
        <v>198</v>
      </c>
      <c r="T4" s="82">
        <f t="shared" ref="T4:T13" si="8">1000*S4/R4</f>
        <v>19.801980198019802</v>
      </c>
      <c r="U4" s="83"/>
      <c r="V4" s="39">
        <f t="shared" si="0"/>
        <v>80462</v>
      </c>
      <c r="W4" s="39">
        <f t="shared" si="1"/>
        <v>1600</v>
      </c>
      <c r="X4" s="31">
        <f t="shared" si="2"/>
        <v>2682.0666666666666</v>
      </c>
      <c r="Y4" s="31">
        <f t="shared" si="3"/>
        <v>53.333333333333336</v>
      </c>
      <c r="Z4" s="82">
        <f t="shared" ref="Z4:Z13" si="9">1000*W4/V4</f>
        <v>19.885163182620367</v>
      </c>
      <c r="AA4" s="102" t="s">
        <v>115</v>
      </c>
    </row>
    <row r="5" spans="1:27">
      <c r="A5" s="89" t="s">
        <v>34</v>
      </c>
      <c r="B5" s="37">
        <v>19888</v>
      </c>
      <c r="C5" s="37">
        <v>396</v>
      </c>
      <c r="D5" s="82">
        <f t="shared" si="4"/>
        <v>19.911504424778762</v>
      </c>
      <c r="E5" s="83"/>
      <c r="F5" s="37">
        <v>14999</v>
      </c>
      <c r="G5" s="37">
        <v>298</v>
      </c>
      <c r="H5" s="82">
        <f t="shared" si="5"/>
        <v>19.867991199413293</v>
      </c>
      <c r="I5" s="83"/>
      <c r="J5" s="37">
        <v>4688</v>
      </c>
      <c r="K5" s="37">
        <v>93</v>
      </c>
      <c r="L5" s="82">
        <f t="shared" si="6"/>
        <v>19.837883959044369</v>
      </c>
      <c r="M5" s="83"/>
      <c r="N5" s="37">
        <v>6888</v>
      </c>
      <c r="O5" s="37">
        <v>136</v>
      </c>
      <c r="P5" s="82">
        <f t="shared" si="7"/>
        <v>19.744483159117305</v>
      </c>
      <c r="Q5" s="83"/>
      <c r="R5" s="37">
        <v>5999</v>
      </c>
      <c r="S5" s="37">
        <v>118</v>
      </c>
      <c r="T5" s="82">
        <f t="shared" si="8"/>
        <v>19.669944990831805</v>
      </c>
      <c r="U5" s="83"/>
      <c r="V5" s="39">
        <f t="shared" si="0"/>
        <v>52462</v>
      </c>
      <c r="W5" s="39">
        <f t="shared" si="1"/>
        <v>1041</v>
      </c>
      <c r="X5" s="31">
        <f t="shared" si="2"/>
        <v>1748.7333333333333</v>
      </c>
      <c r="Y5" s="31">
        <f t="shared" si="3"/>
        <v>34.700000000000003</v>
      </c>
      <c r="Z5" s="82">
        <f t="shared" si="9"/>
        <v>19.842933933132553</v>
      </c>
      <c r="AA5" s="102" t="s">
        <v>115</v>
      </c>
    </row>
    <row r="6" spans="1:27">
      <c r="A6" s="89" t="s">
        <v>35</v>
      </c>
      <c r="B6" s="37">
        <v>24888</v>
      </c>
      <c r="C6" s="37">
        <v>496</v>
      </c>
      <c r="D6" s="82">
        <f t="shared" si="4"/>
        <v>19.929283188685311</v>
      </c>
      <c r="E6" s="83"/>
      <c r="F6" s="37">
        <v>19999</v>
      </c>
      <c r="G6" s="37">
        <v>398</v>
      </c>
      <c r="H6" s="82">
        <f t="shared" si="5"/>
        <v>19.900995049752488</v>
      </c>
      <c r="I6" s="83"/>
      <c r="J6" s="37">
        <v>5688</v>
      </c>
      <c r="K6" s="37">
        <v>112</v>
      </c>
      <c r="L6" s="82">
        <f t="shared" si="6"/>
        <v>19.690576652601969</v>
      </c>
      <c r="M6" s="83"/>
      <c r="N6" s="37">
        <v>7888</v>
      </c>
      <c r="O6" s="37">
        <v>158</v>
      </c>
      <c r="P6" s="82">
        <f t="shared" si="7"/>
        <v>20.030425963488845</v>
      </c>
      <c r="Q6" s="83"/>
      <c r="R6" s="37">
        <v>6999</v>
      </c>
      <c r="S6" s="37">
        <v>138</v>
      </c>
      <c r="T6" s="82">
        <f t="shared" si="8"/>
        <v>19.717102443206173</v>
      </c>
      <c r="U6" s="83"/>
      <c r="V6" s="39">
        <f t="shared" si="0"/>
        <v>65462</v>
      </c>
      <c r="W6" s="39">
        <f t="shared" si="1"/>
        <v>1302</v>
      </c>
      <c r="X6" s="31">
        <f t="shared" si="2"/>
        <v>2182.0666666666666</v>
      </c>
      <c r="Y6" s="31">
        <f t="shared" si="3"/>
        <v>43.4</v>
      </c>
      <c r="Z6" s="82">
        <f t="shared" si="9"/>
        <v>19.889401484830895</v>
      </c>
      <c r="AA6" s="102" t="s">
        <v>115</v>
      </c>
    </row>
    <row r="7" spans="1:27">
      <c r="A7" s="89" t="s">
        <v>36</v>
      </c>
      <c r="B7" s="37">
        <v>54888</v>
      </c>
      <c r="C7" s="37">
        <v>578</v>
      </c>
      <c r="D7" s="82">
        <f t="shared" si="4"/>
        <v>10.530534907447894</v>
      </c>
      <c r="E7" s="83"/>
      <c r="F7" s="37">
        <v>41888</v>
      </c>
      <c r="G7" s="37">
        <v>422</v>
      </c>
      <c r="H7" s="82">
        <f t="shared" si="5"/>
        <v>10.074484339190221</v>
      </c>
      <c r="I7" s="83"/>
      <c r="J7" s="37">
        <v>14188</v>
      </c>
      <c r="K7" s="37">
        <v>141</v>
      </c>
      <c r="L7" s="82">
        <f t="shared" si="6"/>
        <v>9.9379757541584439</v>
      </c>
      <c r="M7" s="83"/>
      <c r="N7" s="37">
        <v>12888</v>
      </c>
      <c r="O7" s="37">
        <v>188</v>
      </c>
      <c r="P7" s="82">
        <f t="shared" si="7"/>
        <v>14.587212911235257</v>
      </c>
      <c r="Q7" s="83"/>
      <c r="R7" s="37">
        <v>16888</v>
      </c>
      <c r="S7" s="37">
        <v>168</v>
      </c>
      <c r="T7" s="82">
        <f t="shared" si="8"/>
        <v>9.9478919943154906</v>
      </c>
      <c r="U7" s="83"/>
      <c r="V7" s="39">
        <f t="shared" si="0"/>
        <v>140740</v>
      </c>
      <c r="W7" s="39">
        <f t="shared" si="1"/>
        <v>1497</v>
      </c>
      <c r="X7" s="31">
        <f t="shared" si="2"/>
        <v>4691.333333333333</v>
      </c>
      <c r="Y7" s="31">
        <f t="shared" si="3"/>
        <v>49.9</v>
      </c>
      <c r="Z7" s="82">
        <f t="shared" si="9"/>
        <v>10.636634929657525</v>
      </c>
      <c r="AA7" s="102" t="s">
        <v>115</v>
      </c>
    </row>
    <row r="8" spans="1:27">
      <c r="A8" s="89" t="s">
        <v>37</v>
      </c>
      <c r="B8" s="37">
        <v>9888</v>
      </c>
      <c r="C8" s="37">
        <v>196</v>
      </c>
      <c r="D8" s="82">
        <f t="shared" si="4"/>
        <v>19.822006472491911</v>
      </c>
      <c r="E8" s="83"/>
      <c r="F8" s="37">
        <v>8999</v>
      </c>
      <c r="G8" s="37">
        <v>178</v>
      </c>
      <c r="H8" s="82">
        <f t="shared" si="5"/>
        <v>19.779975552839204</v>
      </c>
      <c r="I8" s="83"/>
      <c r="J8" s="37">
        <v>4688</v>
      </c>
      <c r="K8" s="37">
        <v>92</v>
      </c>
      <c r="L8" s="82">
        <f t="shared" si="6"/>
        <v>19.624573378839589</v>
      </c>
      <c r="M8" s="83"/>
      <c r="N8" s="37">
        <v>5888</v>
      </c>
      <c r="O8" s="37">
        <v>108</v>
      </c>
      <c r="P8" s="82">
        <f t="shared" si="7"/>
        <v>18.342391304347824</v>
      </c>
      <c r="Q8" s="83"/>
      <c r="R8" s="37">
        <v>4999</v>
      </c>
      <c r="S8" s="37">
        <v>98</v>
      </c>
      <c r="T8" s="82">
        <f t="shared" si="8"/>
        <v>19.603920784156831</v>
      </c>
      <c r="U8" s="83"/>
      <c r="V8" s="39">
        <f t="shared" si="0"/>
        <v>34462</v>
      </c>
      <c r="W8" s="39">
        <f t="shared" si="1"/>
        <v>672</v>
      </c>
      <c r="X8" s="31">
        <f t="shared" si="2"/>
        <v>1148.7333333333333</v>
      </c>
      <c r="Y8" s="31">
        <f t="shared" si="3"/>
        <v>22.4</v>
      </c>
      <c r="Z8" s="82">
        <f t="shared" si="9"/>
        <v>19.499738842783355</v>
      </c>
      <c r="AA8" s="102" t="s">
        <v>115</v>
      </c>
    </row>
    <row r="9" spans="1:27">
      <c r="A9" s="89" t="s">
        <v>38</v>
      </c>
      <c r="B9" s="37">
        <v>48888</v>
      </c>
      <c r="C9" s="37">
        <v>496</v>
      </c>
      <c r="D9" s="82">
        <f t="shared" si="4"/>
        <v>10.145639011618393</v>
      </c>
      <c r="E9" s="83"/>
      <c r="F9" s="37">
        <v>38888</v>
      </c>
      <c r="G9" s="37">
        <v>398</v>
      </c>
      <c r="H9" s="82">
        <f t="shared" si="5"/>
        <v>10.23451964616334</v>
      </c>
      <c r="I9" s="83"/>
      <c r="J9" s="37">
        <v>10888</v>
      </c>
      <c r="K9" s="37">
        <v>112</v>
      </c>
      <c r="L9" s="82">
        <f t="shared" si="6"/>
        <v>10.286554004408524</v>
      </c>
      <c r="M9" s="83"/>
      <c r="N9" s="37">
        <v>9888</v>
      </c>
      <c r="O9" s="37">
        <v>158</v>
      </c>
      <c r="P9" s="82">
        <f t="shared" si="7"/>
        <v>15.978964401294498</v>
      </c>
      <c r="Q9" s="83"/>
      <c r="R9" s="37">
        <v>11888</v>
      </c>
      <c r="S9" s="37">
        <v>138</v>
      </c>
      <c r="T9" s="82">
        <f t="shared" si="8"/>
        <v>11.608344549125169</v>
      </c>
      <c r="U9" s="83"/>
      <c r="V9" s="39">
        <f t="shared" si="0"/>
        <v>120440</v>
      </c>
      <c r="W9" s="39">
        <f t="shared" si="1"/>
        <v>1302</v>
      </c>
      <c r="X9" s="31">
        <f t="shared" si="2"/>
        <v>4014.6666666666665</v>
      </c>
      <c r="Y9" s="31">
        <f t="shared" si="3"/>
        <v>43.4</v>
      </c>
      <c r="Z9" s="82">
        <f t="shared" si="9"/>
        <v>10.81036200597808</v>
      </c>
      <c r="AA9" s="102" t="s">
        <v>115</v>
      </c>
    </row>
    <row r="10" spans="1:27">
      <c r="A10" s="89" t="s">
        <v>39</v>
      </c>
      <c r="B10" s="37">
        <v>24888</v>
      </c>
      <c r="C10" s="37">
        <v>496</v>
      </c>
      <c r="D10" s="82">
        <f t="shared" si="4"/>
        <v>19.929283188685311</v>
      </c>
      <c r="E10" s="83"/>
      <c r="F10" s="37">
        <v>19999</v>
      </c>
      <c r="G10" s="37">
        <v>398</v>
      </c>
      <c r="H10" s="82">
        <f t="shared" si="5"/>
        <v>19.900995049752488</v>
      </c>
      <c r="I10" s="83"/>
      <c r="J10" s="37">
        <v>5688</v>
      </c>
      <c r="K10" s="37">
        <v>112</v>
      </c>
      <c r="L10" s="82">
        <f t="shared" si="6"/>
        <v>19.690576652601969</v>
      </c>
      <c r="M10" s="83"/>
      <c r="N10" s="37">
        <v>7888</v>
      </c>
      <c r="O10" s="37">
        <v>158</v>
      </c>
      <c r="P10" s="82">
        <f t="shared" si="7"/>
        <v>20.030425963488845</v>
      </c>
      <c r="Q10" s="83"/>
      <c r="R10" s="37">
        <v>6999</v>
      </c>
      <c r="S10" s="37">
        <v>138</v>
      </c>
      <c r="T10" s="82">
        <f t="shared" si="8"/>
        <v>19.717102443206173</v>
      </c>
      <c r="U10" s="83"/>
      <c r="V10" s="39">
        <f t="shared" si="0"/>
        <v>65462</v>
      </c>
      <c r="W10" s="39">
        <f t="shared" si="1"/>
        <v>1302</v>
      </c>
      <c r="X10" s="31">
        <f t="shared" si="2"/>
        <v>2182.0666666666666</v>
      </c>
      <c r="Y10" s="31">
        <f t="shared" si="3"/>
        <v>43.4</v>
      </c>
      <c r="Z10" s="82">
        <f t="shared" si="9"/>
        <v>19.889401484830895</v>
      </c>
      <c r="AA10" s="102" t="s">
        <v>115</v>
      </c>
    </row>
    <row r="11" spans="1:27">
      <c r="A11" s="89" t="s">
        <v>40</v>
      </c>
      <c r="B11" s="37">
        <v>24888</v>
      </c>
      <c r="C11" s="37">
        <v>896</v>
      </c>
      <c r="D11" s="82">
        <f t="shared" si="4"/>
        <v>36.001285760205718</v>
      </c>
      <c r="E11" s="83"/>
      <c r="F11" s="37">
        <v>19999</v>
      </c>
      <c r="G11" s="37">
        <v>398</v>
      </c>
      <c r="H11" s="82">
        <f t="shared" si="5"/>
        <v>19.900995049752488</v>
      </c>
      <c r="I11" s="83"/>
      <c r="J11" s="37">
        <v>5688</v>
      </c>
      <c r="K11" s="37">
        <v>112</v>
      </c>
      <c r="L11" s="82">
        <f t="shared" si="6"/>
        <v>19.690576652601969</v>
      </c>
      <c r="M11" s="83"/>
      <c r="N11" s="37">
        <v>7888</v>
      </c>
      <c r="O11" s="37">
        <v>158</v>
      </c>
      <c r="P11" s="82">
        <f t="shared" si="7"/>
        <v>20.030425963488845</v>
      </c>
      <c r="Q11" s="83"/>
      <c r="R11" s="37">
        <v>6999</v>
      </c>
      <c r="S11" s="37">
        <v>138</v>
      </c>
      <c r="T11" s="82">
        <f t="shared" si="8"/>
        <v>19.717102443206173</v>
      </c>
      <c r="U11" s="83"/>
      <c r="V11" s="39">
        <f t="shared" si="0"/>
        <v>65462</v>
      </c>
      <c r="W11" s="39">
        <f t="shared" si="1"/>
        <v>1702</v>
      </c>
      <c r="X11" s="31">
        <f t="shared" si="2"/>
        <v>2182.0666666666666</v>
      </c>
      <c r="Y11" s="31">
        <f t="shared" si="3"/>
        <v>56.733333333333334</v>
      </c>
      <c r="Z11" s="82">
        <f t="shared" si="9"/>
        <v>25.99981668754392</v>
      </c>
      <c r="AA11" s="102" t="s">
        <v>115</v>
      </c>
    </row>
    <row r="12" spans="1:27">
      <c r="A12" s="89" t="s">
        <v>41</v>
      </c>
      <c r="B12" s="37">
        <v>44888</v>
      </c>
      <c r="C12" s="37">
        <v>296</v>
      </c>
      <c r="D12" s="82">
        <f t="shared" si="4"/>
        <v>6.5941899839600788</v>
      </c>
      <c r="E12" s="83"/>
      <c r="F12" s="37">
        <v>39999</v>
      </c>
      <c r="G12" s="37">
        <v>198</v>
      </c>
      <c r="H12" s="82">
        <f t="shared" si="5"/>
        <v>4.9501237530938269</v>
      </c>
      <c r="I12" s="83"/>
      <c r="J12" s="37">
        <v>35688</v>
      </c>
      <c r="K12" s="37">
        <v>52</v>
      </c>
      <c r="L12" s="82">
        <f t="shared" si="6"/>
        <v>1.4570724052902937</v>
      </c>
      <c r="M12" s="83"/>
      <c r="N12" s="37">
        <v>17888</v>
      </c>
      <c r="O12" s="37">
        <v>88</v>
      </c>
      <c r="P12" s="82">
        <f t="shared" si="7"/>
        <v>4.9194991055456168</v>
      </c>
      <c r="Q12" s="83"/>
      <c r="R12" s="37">
        <v>16999</v>
      </c>
      <c r="S12" s="37">
        <v>78</v>
      </c>
      <c r="T12" s="82">
        <f t="shared" si="8"/>
        <v>4.5885052061885991</v>
      </c>
      <c r="U12" s="83"/>
      <c r="V12" s="39">
        <f t="shared" si="0"/>
        <v>155462</v>
      </c>
      <c r="W12" s="39">
        <f t="shared" si="1"/>
        <v>712</v>
      </c>
      <c r="X12" s="31">
        <f t="shared" si="2"/>
        <v>5182.0666666666666</v>
      </c>
      <c r="Y12" s="31">
        <f t="shared" si="3"/>
        <v>23.733333333333334</v>
      </c>
      <c r="Z12" s="82">
        <f t="shared" si="9"/>
        <v>4.579897338256294</v>
      </c>
      <c r="AA12" s="102" t="s">
        <v>115</v>
      </c>
    </row>
    <row r="13" spans="1:27">
      <c r="A13" s="89" t="s">
        <v>101</v>
      </c>
      <c r="B13" s="37">
        <v>49999</v>
      </c>
      <c r="C13" s="37">
        <v>497</v>
      </c>
      <c r="D13" s="82">
        <f t="shared" si="4"/>
        <v>9.9401988039760791</v>
      </c>
      <c r="E13" s="83"/>
      <c r="F13" s="37">
        <v>19999</v>
      </c>
      <c r="G13" s="37">
        <v>365</v>
      </c>
      <c r="H13" s="82">
        <f t="shared" si="5"/>
        <v>18.25091254562728</v>
      </c>
      <c r="I13" s="83"/>
      <c r="J13" s="37">
        <v>9999</v>
      </c>
      <c r="K13" s="37">
        <v>156</v>
      </c>
      <c r="L13" s="82">
        <f t="shared" si="6"/>
        <v>15.601560156015601</v>
      </c>
      <c r="M13" s="83"/>
      <c r="N13" s="37">
        <v>9999</v>
      </c>
      <c r="O13" s="37">
        <v>156</v>
      </c>
      <c r="P13" s="82">
        <f t="shared" si="7"/>
        <v>15.601560156015601</v>
      </c>
      <c r="Q13" s="83"/>
      <c r="R13" s="37">
        <v>29999</v>
      </c>
      <c r="S13" s="37">
        <v>246</v>
      </c>
      <c r="T13" s="82">
        <f t="shared" si="8"/>
        <v>8.2002733424447474</v>
      </c>
      <c r="U13" s="83"/>
      <c r="V13" s="39">
        <f t="shared" si="0"/>
        <v>119995</v>
      </c>
      <c r="W13" s="39">
        <f t="shared" si="1"/>
        <v>1420</v>
      </c>
      <c r="X13" s="31">
        <f t="shared" si="2"/>
        <v>3999.8333333333335</v>
      </c>
      <c r="Y13" s="31">
        <f t="shared" si="3"/>
        <v>47.333333333333336</v>
      </c>
      <c r="Z13" s="82">
        <f t="shared" si="9"/>
        <v>11.833826409433726</v>
      </c>
      <c r="AA13" s="103" t="s">
        <v>115</v>
      </c>
    </row>
    <row r="14" spans="1:27">
      <c r="A14" s="87" t="s">
        <v>56</v>
      </c>
      <c r="B14" s="85">
        <f>SUM(B3:B13)</f>
        <v>347879</v>
      </c>
      <c r="C14" s="85">
        <f>SUM(C3:C13)</f>
        <v>5239</v>
      </c>
      <c r="D14" s="100">
        <f>1000*C14/B14</f>
        <v>15.059834022749289</v>
      </c>
      <c r="E14" s="84"/>
      <c r="F14" s="85">
        <f>SUM(F3:F13)</f>
        <v>259767</v>
      </c>
      <c r="G14" s="85">
        <f>SUM(G3:G13)</f>
        <v>3749</v>
      </c>
      <c r="H14" s="100">
        <f>1000*G14/F14</f>
        <v>14.432164208694715</v>
      </c>
      <c r="I14" s="84"/>
      <c r="J14" s="85">
        <f>SUM(J3:J13)</f>
        <v>107579</v>
      </c>
      <c r="K14" s="85">
        <f>SUM(K3:K13)</f>
        <v>1186</v>
      </c>
      <c r="L14" s="100">
        <f>1000*K14/J14</f>
        <v>11.024456445960643</v>
      </c>
      <c r="M14" s="84"/>
      <c r="N14" s="85">
        <f>SUM(N3:N13)</f>
        <v>101879</v>
      </c>
      <c r="O14" s="85">
        <f>SUM(O3:O13)</f>
        <v>1600</v>
      </c>
      <c r="P14" s="100">
        <f>1000*O14/N14</f>
        <v>15.704904838092247</v>
      </c>
      <c r="Q14" s="84"/>
      <c r="R14" s="85">
        <f>SUM(R3:R13)</f>
        <v>122767</v>
      </c>
      <c r="S14" s="85">
        <f>SUM(S3:S13)</f>
        <v>1556</v>
      </c>
      <c r="T14" s="100">
        <f>1000*S14/R14</f>
        <v>12.674415763193693</v>
      </c>
      <c r="U14" s="84"/>
      <c r="V14" s="85">
        <f>SUM(V3:V13)</f>
        <v>939871</v>
      </c>
      <c r="W14" s="85">
        <f>SUM(W3:W13)</f>
        <v>13330</v>
      </c>
      <c r="X14" s="85">
        <f>SUM(X3:X13)</f>
        <v>31329.033333333329</v>
      </c>
      <c r="Y14" s="85">
        <f>SUM(Y3:Y13)</f>
        <v>444.33333333333331</v>
      </c>
      <c r="Z14" s="86">
        <f>1000*W14/V14</f>
        <v>14.182797426455332</v>
      </c>
      <c r="AA14" s="2"/>
    </row>
    <row r="16" spans="1:27">
      <c r="A16" s="88" t="s">
        <v>32</v>
      </c>
      <c r="B16" s="29">
        <v>14888</v>
      </c>
      <c r="C16" s="29">
        <v>296</v>
      </c>
      <c r="D16" s="80">
        <f>1000*C16/B16</f>
        <v>19.881783987103709</v>
      </c>
      <c r="E16" s="81"/>
      <c r="F16" s="29">
        <v>9999</v>
      </c>
      <c r="G16" s="29">
        <v>198</v>
      </c>
      <c r="H16" s="80">
        <f>1000*G16/F16</f>
        <v>19.801980198019802</v>
      </c>
      <c r="I16" s="81"/>
      <c r="J16" s="29">
        <v>3688</v>
      </c>
      <c r="K16" s="29">
        <v>72</v>
      </c>
      <c r="L16" s="80">
        <f>1000*K16/J16</f>
        <v>19.522776572668114</v>
      </c>
      <c r="M16" s="81"/>
      <c r="N16" s="29">
        <v>5888</v>
      </c>
      <c r="O16" s="29">
        <v>116</v>
      </c>
      <c r="P16" s="80">
        <f>1000*O16/N16</f>
        <v>19.701086956521738</v>
      </c>
      <c r="Q16" s="81"/>
      <c r="R16" s="29">
        <v>4999</v>
      </c>
      <c r="S16" s="29">
        <v>98</v>
      </c>
      <c r="T16" s="80">
        <f>1000*S16/R16</f>
        <v>19.603920784156831</v>
      </c>
      <c r="U16" s="81"/>
      <c r="V16" s="31">
        <f t="shared" ref="V16:V22" si="10">SUM(B16,F16,J16,N16,R16)</f>
        <v>39462</v>
      </c>
      <c r="W16" s="31">
        <f t="shared" ref="W16:W22" si="11">SUM(C16,G16,K16,O16,S16)</f>
        <v>780</v>
      </c>
      <c r="X16" s="31">
        <f t="shared" ref="X16:X22" si="12">V16/30</f>
        <v>1315.4</v>
      </c>
      <c r="Y16" s="31">
        <f t="shared" ref="Y16:Y22" si="13">W16/30</f>
        <v>26</v>
      </c>
      <c r="Z16" s="80">
        <f>1000*W16/V16</f>
        <v>19.765850691804776</v>
      </c>
      <c r="AA16" s="101"/>
    </row>
    <row r="17" spans="1:27">
      <c r="A17" s="89" t="s">
        <v>33</v>
      </c>
      <c r="B17" s="37">
        <v>29888</v>
      </c>
      <c r="C17" s="37">
        <v>596</v>
      </c>
      <c r="D17" s="82">
        <f t="shared" ref="D17:D22" si="14">1000*C17/B17</f>
        <v>19.941113490364025</v>
      </c>
      <c r="E17" s="83"/>
      <c r="F17" s="37">
        <v>24999</v>
      </c>
      <c r="G17" s="37">
        <v>498</v>
      </c>
      <c r="H17" s="82">
        <f t="shared" ref="H17:H22" si="15">1000*G17/F17</f>
        <v>19.920796831873275</v>
      </c>
      <c r="I17" s="83"/>
      <c r="J17" s="37">
        <v>6688</v>
      </c>
      <c r="K17" s="37">
        <v>132</v>
      </c>
      <c r="L17" s="82">
        <f t="shared" ref="L17:L22" si="16">1000*K17/J17</f>
        <v>19.736842105263158</v>
      </c>
      <c r="M17" s="83"/>
      <c r="N17" s="37">
        <v>8888</v>
      </c>
      <c r="O17" s="37">
        <v>176</v>
      </c>
      <c r="P17" s="82">
        <f t="shared" ref="P17:P22" si="17">1000*O17/N17</f>
        <v>19.801980198019802</v>
      </c>
      <c r="Q17" s="83"/>
      <c r="R17" s="37">
        <v>9999</v>
      </c>
      <c r="S17" s="37">
        <v>198</v>
      </c>
      <c r="T17" s="82">
        <f t="shared" ref="T17:T22" si="18">1000*S17/R17</f>
        <v>19.801980198019802</v>
      </c>
      <c r="U17" s="83"/>
      <c r="V17" s="39">
        <f t="shared" si="10"/>
        <v>80462</v>
      </c>
      <c r="W17" s="39">
        <f t="shared" si="11"/>
        <v>1600</v>
      </c>
      <c r="X17" s="31">
        <f t="shared" si="12"/>
        <v>2682.0666666666666</v>
      </c>
      <c r="Y17" s="31">
        <f t="shared" si="13"/>
        <v>53.333333333333336</v>
      </c>
      <c r="Z17" s="82">
        <f t="shared" ref="Z17:Z22" si="19">1000*W17/V17</f>
        <v>19.885163182620367</v>
      </c>
      <c r="AA17" s="102"/>
    </row>
    <row r="18" spans="1:27">
      <c r="A18" s="89" t="s">
        <v>237</v>
      </c>
      <c r="B18" s="37">
        <v>19888</v>
      </c>
      <c r="C18" s="37">
        <v>396</v>
      </c>
      <c r="D18" s="82">
        <f t="shared" si="14"/>
        <v>19.911504424778762</v>
      </c>
      <c r="E18" s="83"/>
      <c r="F18" s="37">
        <v>14999</v>
      </c>
      <c r="G18" s="37">
        <v>298</v>
      </c>
      <c r="H18" s="82">
        <f t="shared" si="15"/>
        <v>19.867991199413293</v>
      </c>
      <c r="I18" s="83"/>
      <c r="J18" s="37">
        <v>4688</v>
      </c>
      <c r="K18" s="37">
        <v>93</v>
      </c>
      <c r="L18" s="82">
        <f t="shared" si="16"/>
        <v>19.837883959044369</v>
      </c>
      <c r="M18" s="83"/>
      <c r="N18" s="37">
        <v>6888</v>
      </c>
      <c r="O18" s="37">
        <v>136</v>
      </c>
      <c r="P18" s="82">
        <f t="shared" si="17"/>
        <v>19.744483159117305</v>
      </c>
      <c r="Q18" s="83"/>
      <c r="R18" s="37">
        <v>5999</v>
      </c>
      <c r="S18" s="37">
        <v>118</v>
      </c>
      <c r="T18" s="82">
        <f t="shared" si="18"/>
        <v>19.669944990831805</v>
      </c>
      <c r="U18" s="83"/>
      <c r="V18" s="39">
        <f t="shared" si="10"/>
        <v>52462</v>
      </c>
      <c r="W18" s="39">
        <f t="shared" si="11"/>
        <v>1041</v>
      </c>
      <c r="X18" s="31">
        <f t="shared" si="12"/>
        <v>1748.7333333333333</v>
      </c>
      <c r="Y18" s="31">
        <f t="shared" si="13"/>
        <v>34.700000000000003</v>
      </c>
      <c r="Z18" s="82">
        <f t="shared" si="19"/>
        <v>19.842933933132553</v>
      </c>
      <c r="AA18" s="102"/>
    </row>
    <row r="19" spans="1:27">
      <c r="A19" s="89" t="s">
        <v>35</v>
      </c>
      <c r="B19" s="37">
        <v>24888</v>
      </c>
      <c r="C19" s="37">
        <v>496</v>
      </c>
      <c r="D19" s="82">
        <f t="shared" si="14"/>
        <v>19.929283188685311</v>
      </c>
      <c r="E19" s="83"/>
      <c r="F19" s="37">
        <v>19999</v>
      </c>
      <c r="G19" s="37">
        <v>398</v>
      </c>
      <c r="H19" s="82">
        <f t="shared" si="15"/>
        <v>19.900995049752488</v>
      </c>
      <c r="I19" s="83"/>
      <c r="J19" s="37">
        <v>5688</v>
      </c>
      <c r="K19" s="37">
        <v>112</v>
      </c>
      <c r="L19" s="82">
        <f t="shared" si="16"/>
        <v>19.690576652601969</v>
      </c>
      <c r="M19" s="83"/>
      <c r="N19" s="37">
        <v>7888</v>
      </c>
      <c r="O19" s="37">
        <v>158</v>
      </c>
      <c r="P19" s="82">
        <f t="shared" si="17"/>
        <v>20.030425963488845</v>
      </c>
      <c r="Q19" s="83"/>
      <c r="R19" s="37">
        <v>6999</v>
      </c>
      <c r="S19" s="37">
        <v>138</v>
      </c>
      <c r="T19" s="82">
        <f t="shared" si="18"/>
        <v>19.717102443206173</v>
      </c>
      <c r="U19" s="83"/>
      <c r="V19" s="39">
        <f t="shared" si="10"/>
        <v>65462</v>
      </c>
      <c r="W19" s="39">
        <f t="shared" si="11"/>
        <v>1302</v>
      </c>
      <c r="X19" s="31">
        <f t="shared" si="12"/>
        <v>2182.0666666666666</v>
      </c>
      <c r="Y19" s="31">
        <f t="shared" si="13"/>
        <v>43.4</v>
      </c>
      <c r="Z19" s="82">
        <f t="shared" si="19"/>
        <v>19.889401484830895</v>
      </c>
      <c r="AA19" s="102"/>
    </row>
    <row r="20" spans="1:27">
      <c r="A20" s="89" t="s">
        <v>41</v>
      </c>
      <c r="B20" s="37">
        <v>44888</v>
      </c>
      <c r="C20" s="37">
        <v>296</v>
      </c>
      <c r="D20" s="82">
        <f t="shared" si="14"/>
        <v>6.5941899839600788</v>
      </c>
      <c r="E20" s="83"/>
      <c r="F20" s="37">
        <v>39999</v>
      </c>
      <c r="G20" s="37">
        <v>198</v>
      </c>
      <c r="H20" s="82">
        <f t="shared" si="15"/>
        <v>4.9501237530938269</v>
      </c>
      <c r="I20" s="83"/>
      <c r="J20" s="37">
        <v>35688</v>
      </c>
      <c r="K20" s="37">
        <v>52</v>
      </c>
      <c r="L20" s="82">
        <f t="shared" si="16"/>
        <v>1.4570724052902937</v>
      </c>
      <c r="M20" s="83"/>
      <c r="N20" s="37">
        <v>17888</v>
      </c>
      <c r="O20" s="37">
        <v>88</v>
      </c>
      <c r="P20" s="82">
        <f t="shared" si="17"/>
        <v>4.9194991055456168</v>
      </c>
      <c r="Q20" s="83"/>
      <c r="R20" s="37">
        <v>16999</v>
      </c>
      <c r="S20" s="37">
        <v>78</v>
      </c>
      <c r="T20" s="82">
        <f t="shared" si="18"/>
        <v>4.5885052061885991</v>
      </c>
      <c r="U20" s="83"/>
      <c r="V20" s="39">
        <f t="shared" si="10"/>
        <v>155462</v>
      </c>
      <c r="W20" s="39">
        <f t="shared" si="11"/>
        <v>712</v>
      </c>
      <c r="X20" s="31">
        <f t="shared" si="12"/>
        <v>5182.0666666666666</v>
      </c>
      <c r="Y20" s="31">
        <f t="shared" si="13"/>
        <v>23.733333333333334</v>
      </c>
      <c r="Z20" s="82">
        <f t="shared" si="19"/>
        <v>4.579897338256294</v>
      </c>
      <c r="AA20" s="102"/>
    </row>
    <row r="21" spans="1:27">
      <c r="A21" s="89" t="s">
        <v>236</v>
      </c>
      <c r="B21" s="37">
        <v>18888</v>
      </c>
      <c r="C21" s="37">
        <v>100</v>
      </c>
      <c r="D21" s="82">
        <f t="shared" si="14"/>
        <v>5.29436679373147</v>
      </c>
      <c r="E21" s="83"/>
      <c r="F21" s="37">
        <v>16666</v>
      </c>
      <c r="G21" s="37">
        <v>80</v>
      </c>
      <c r="H21" s="82">
        <f t="shared" si="15"/>
        <v>4.8001920076803071</v>
      </c>
      <c r="I21" s="83"/>
      <c r="J21" s="37">
        <v>6000</v>
      </c>
      <c r="K21" s="37">
        <v>50</v>
      </c>
      <c r="L21" s="82">
        <f t="shared" si="16"/>
        <v>8.3333333333333339</v>
      </c>
      <c r="M21" s="83"/>
      <c r="N21" s="37">
        <v>5000</v>
      </c>
      <c r="O21" s="37">
        <v>60</v>
      </c>
      <c r="P21" s="82">
        <f t="shared" si="17"/>
        <v>12</v>
      </c>
      <c r="Q21" s="83"/>
      <c r="R21" s="37">
        <v>6666</v>
      </c>
      <c r="S21" s="37">
        <v>50</v>
      </c>
      <c r="T21" s="82">
        <f t="shared" si="18"/>
        <v>7.5007500750075007</v>
      </c>
      <c r="U21" s="83"/>
      <c r="V21" s="39">
        <f t="shared" si="10"/>
        <v>53220</v>
      </c>
      <c r="W21" s="39">
        <f t="shared" si="11"/>
        <v>340</v>
      </c>
      <c r="X21" s="31">
        <f t="shared" si="12"/>
        <v>1774</v>
      </c>
      <c r="Y21" s="31">
        <f t="shared" si="13"/>
        <v>11.333333333333334</v>
      </c>
      <c r="Z21" s="82">
        <f t="shared" si="19"/>
        <v>6.3885757234122513</v>
      </c>
      <c r="AA21" s="103"/>
    </row>
    <row r="22" spans="1:27">
      <c r="A22" s="89" t="s">
        <v>101</v>
      </c>
      <c r="B22" s="37">
        <v>49999</v>
      </c>
      <c r="C22" s="37">
        <v>497</v>
      </c>
      <c r="D22" s="82">
        <f t="shared" si="14"/>
        <v>9.9401988039760791</v>
      </c>
      <c r="E22" s="83"/>
      <c r="F22" s="37">
        <v>19999</v>
      </c>
      <c r="G22" s="37">
        <v>365</v>
      </c>
      <c r="H22" s="82">
        <f t="shared" si="15"/>
        <v>18.25091254562728</v>
      </c>
      <c r="I22" s="83"/>
      <c r="J22" s="37">
        <v>9999</v>
      </c>
      <c r="K22" s="37">
        <v>156</v>
      </c>
      <c r="L22" s="82">
        <f t="shared" si="16"/>
        <v>15.601560156015601</v>
      </c>
      <c r="M22" s="83"/>
      <c r="N22" s="37">
        <v>9999</v>
      </c>
      <c r="O22" s="37">
        <v>156</v>
      </c>
      <c r="P22" s="82">
        <f t="shared" si="17"/>
        <v>15.601560156015601</v>
      </c>
      <c r="Q22" s="83"/>
      <c r="R22" s="37">
        <v>29999</v>
      </c>
      <c r="S22" s="37">
        <v>246</v>
      </c>
      <c r="T22" s="82">
        <f t="shared" si="18"/>
        <v>8.2002733424447474</v>
      </c>
      <c r="U22" s="83"/>
      <c r="V22" s="39">
        <f t="shared" si="10"/>
        <v>119995</v>
      </c>
      <c r="W22" s="39">
        <f t="shared" si="11"/>
        <v>1420</v>
      </c>
      <c r="X22" s="31">
        <f t="shared" si="12"/>
        <v>3999.8333333333335</v>
      </c>
      <c r="Y22" s="31">
        <f t="shared" si="13"/>
        <v>47.333333333333336</v>
      </c>
      <c r="Z22" s="82">
        <f t="shared" si="19"/>
        <v>11.833826409433726</v>
      </c>
      <c r="AA22" s="103"/>
    </row>
    <row r="23" spans="1:27">
      <c r="A23" s="87" t="s">
        <v>56</v>
      </c>
      <c r="B23" s="85">
        <f>SUM(B16:B22)</f>
        <v>203327</v>
      </c>
      <c r="C23" s="85">
        <f>SUM(C16:C22)</f>
        <v>2677</v>
      </c>
      <c r="D23" s="100">
        <f>1000*C23/B23</f>
        <v>13.165983858513625</v>
      </c>
      <c r="E23" s="84"/>
      <c r="F23" s="85">
        <f>SUM(F16:F22)</f>
        <v>146660</v>
      </c>
      <c r="G23" s="85">
        <f>SUM(G16:G22)</f>
        <v>2035</v>
      </c>
      <c r="H23" s="100">
        <f>1000*G23/F23</f>
        <v>13.87563071048684</v>
      </c>
      <c r="I23" s="84"/>
      <c r="J23" s="85">
        <f>SUM(J16:J22)</f>
        <v>72439</v>
      </c>
      <c r="K23" s="85">
        <f>SUM(K16:K22)</f>
        <v>667</v>
      </c>
      <c r="L23" s="100">
        <f>1000*K23/J23</f>
        <v>9.207747207995693</v>
      </c>
      <c r="M23" s="84"/>
      <c r="N23" s="85">
        <f>SUM(N16:N22)</f>
        <v>62439</v>
      </c>
      <c r="O23" s="85">
        <f>SUM(O16:O22)</f>
        <v>890</v>
      </c>
      <c r="P23" s="100">
        <f>1000*O23/N23</f>
        <v>14.253911817934304</v>
      </c>
      <c r="Q23" s="84"/>
      <c r="R23" s="85">
        <f>SUM(R16:R22)</f>
        <v>81660</v>
      </c>
      <c r="S23" s="85">
        <f>SUM(S16:S22)</f>
        <v>926</v>
      </c>
      <c r="T23" s="100">
        <f>1000*S23/R23</f>
        <v>11.339701200097966</v>
      </c>
      <c r="U23" s="84"/>
      <c r="V23" s="85">
        <f>SUM(V16:V22)</f>
        <v>566525</v>
      </c>
      <c r="W23" s="85">
        <f>SUM(W16:W22)</f>
        <v>7195</v>
      </c>
      <c r="X23" s="85">
        <f>SUM(X16:X22)</f>
        <v>18884.166666666664</v>
      </c>
      <c r="Y23" s="85">
        <f>SUM(Y16:Y22)</f>
        <v>239.83333333333337</v>
      </c>
      <c r="Z23" s="86">
        <f>1000*W23/V23</f>
        <v>12.700233881999912</v>
      </c>
      <c r="AA23" s="2"/>
    </row>
  </sheetData>
  <conditionalFormatting sqref="D1:D13 D15:D1048576">
    <cfRule type="top10" dxfId="162" priority="85" bottom="1" rank="1"/>
    <cfRule type="top10" dxfId="161" priority="110" rank="1"/>
  </conditionalFormatting>
  <conditionalFormatting sqref="L1:L13 L15:L1048576">
    <cfRule type="top10" dxfId="160" priority="109" rank="1"/>
  </conditionalFormatting>
  <conditionalFormatting sqref="P1:P1048576">
    <cfRule type="top10" dxfId="159" priority="108" rank="1"/>
  </conditionalFormatting>
  <conditionalFormatting sqref="T1:T1048576">
    <cfRule type="top10" dxfId="158" priority="107" rank="1"/>
  </conditionalFormatting>
  <conditionalFormatting sqref="P6">
    <cfRule type="top10" dxfId="157" priority="106" rank="1"/>
  </conditionalFormatting>
  <conditionalFormatting sqref="H1:H13 H15:H1048576">
    <cfRule type="top10" dxfId="156" priority="105" rank="1"/>
  </conditionalFormatting>
  <conditionalFormatting sqref="Z2">
    <cfRule type="top10" dxfId="155" priority="104" rank="1"/>
  </conditionalFormatting>
  <conditionalFormatting sqref="Z1:Z1048576">
    <cfRule type="top10" dxfId="154" priority="103" rank="1"/>
  </conditionalFormatting>
  <conditionalFormatting sqref="H1:H13 L1:L13 T1:T1048576 P1:P1048576 H15:H1048576 L15:L1048576">
    <cfRule type="top10" dxfId="153" priority="100" rank="1"/>
  </conditionalFormatting>
  <conditionalFormatting sqref="H3:H13">
    <cfRule type="top10" dxfId="152" priority="99" rank="1"/>
  </conditionalFormatting>
  <conditionalFormatting sqref="L3:L13">
    <cfRule type="top10" dxfId="151" priority="98" rank="1"/>
  </conditionalFormatting>
  <conditionalFormatting sqref="P3:P13">
    <cfRule type="top10" dxfId="150" priority="97" rank="1"/>
  </conditionalFormatting>
  <conditionalFormatting sqref="T3:T13">
    <cfRule type="top10" dxfId="149" priority="96" rank="1"/>
  </conditionalFormatting>
  <conditionalFormatting sqref="B3:B13">
    <cfRule type="top10" dxfId="148" priority="94" bottom="1" rank="1"/>
    <cfRule type="top10" dxfId="147" priority="95" rank="1"/>
  </conditionalFormatting>
  <conditionalFormatting sqref="F3:F13">
    <cfRule type="top10" dxfId="146" priority="92" bottom="1" rank="1"/>
    <cfRule type="top10" dxfId="145" priority="93" rank="1"/>
  </conditionalFormatting>
  <conditionalFormatting sqref="J3:J13">
    <cfRule type="top10" dxfId="144" priority="90" bottom="1" rank="1"/>
    <cfRule type="top10" dxfId="143" priority="91" rank="1"/>
  </conditionalFormatting>
  <conditionalFormatting sqref="N3:N13">
    <cfRule type="top10" dxfId="142" priority="88" bottom="1" rank="1"/>
    <cfRule type="top10" dxfId="141" priority="89" rank="1"/>
  </conditionalFormatting>
  <conditionalFormatting sqref="R3:R13">
    <cfRule type="top10" dxfId="140" priority="86" bottom="1" rank="1"/>
    <cfRule type="top10" dxfId="139" priority="87" rank="1"/>
  </conditionalFormatting>
  <conditionalFormatting sqref="H3:H13">
    <cfRule type="top10" dxfId="138" priority="83" bottom="1" rank="1"/>
    <cfRule type="top10" dxfId="137" priority="84" rank="1"/>
  </conditionalFormatting>
  <conditionalFormatting sqref="L3:L13">
    <cfRule type="top10" dxfId="136" priority="81" bottom="1" rank="1"/>
    <cfRule type="top10" dxfId="135" priority="82" rank="1"/>
  </conditionalFormatting>
  <conditionalFormatting sqref="P3:P13">
    <cfRule type="top10" dxfId="134" priority="79" bottom="1" rank="1"/>
    <cfRule type="top10" dxfId="133" priority="80" rank="1"/>
  </conditionalFormatting>
  <conditionalFormatting sqref="T3:T13">
    <cfRule type="top10" dxfId="132" priority="77" bottom="1" rank="1"/>
    <cfRule type="top10" dxfId="131" priority="78" rank="1"/>
  </conditionalFormatting>
  <conditionalFormatting sqref="Z3:Z13">
    <cfRule type="top10" dxfId="130" priority="75" bottom="1" rank="1"/>
    <cfRule type="top10" dxfId="129" priority="76" rank="1"/>
  </conditionalFormatting>
  <conditionalFormatting sqref="V3:V13">
    <cfRule type="top10" dxfId="128" priority="73" bottom="1" rank="1"/>
    <cfRule type="top10" dxfId="127" priority="74" rank="1"/>
  </conditionalFormatting>
  <conditionalFormatting sqref="W3:W13">
    <cfRule type="top10" dxfId="126" priority="71" bottom="1" rank="1"/>
    <cfRule type="top10" dxfId="125" priority="72" rank="1"/>
  </conditionalFormatting>
  <conditionalFormatting sqref="C3:C13">
    <cfRule type="top10" dxfId="124" priority="69" bottom="1" rank="1"/>
    <cfRule type="top10" dxfId="123" priority="70" rank="1"/>
  </conditionalFormatting>
  <conditionalFormatting sqref="G3:G13">
    <cfRule type="top10" dxfId="122" priority="67" bottom="1" rank="1"/>
    <cfRule type="top10" dxfId="121" priority="68" rank="1"/>
  </conditionalFormatting>
  <conditionalFormatting sqref="K3:K13">
    <cfRule type="top10" dxfId="120" priority="65" bottom="1" rank="1"/>
    <cfRule type="top10" dxfId="119" priority="66" rank="1"/>
  </conditionalFormatting>
  <conditionalFormatting sqref="O3:O13">
    <cfRule type="top10" dxfId="118" priority="63" bottom="1" rank="1"/>
    <cfRule type="top10" dxfId="117" priority="64" rank="1"/>
  </conditionalFormatting>
  <conditionalFormatting sqref="S3:S13">
    <cfRule type="top10" dxfId="116" priority="61" bottom="1" rank="1"/>
    <cfRule type="top10" dxfId="115" priority="62" rank="1"/>
  </conditionalFormatting>
  <conditionalFormatting sqref="X3:X13">
    <cfRule type="top10" dxfId="114" priority="59" bottom="1" rank="1"/>
    <cfRule type="top10" dxfId="113" priority="60" rank="1"/>
  </conditionalFormatting>
  <conditionalFormatting sqref="Y3:Y13">
    <cfRule type="top10" dxfId="112" priority="57" bottom="1" rank="1"/>
    <cfRule type="top10" dxfId="111" priority="58" rank="1"/>
  </conditionalFormatting>
  <conditionalFormatting sqref="L2:L13">
    <cfRule type="top10" dxfId="110" priority="54" bottom="1" rank="1"/>
    <cfRule type="top10" dxfId="109" priority="55" rank="1"/>
  </conditionalFormatting>
  <conditionalFormatting sqref="P2:P13">
    <cfRule type="top10" dxfId="108" priority="52" bottom="1" rank="1"/>
    <cfRule type="top10" dxfId="107" priority="53" rank="1"/>
  </conditionalFormatting>
  <conditionalFormatting sqref="T2:T13">
    <cfRule type="top10" dxfId="106" priority="50" bottom="1" rank="1"/>
    <cfRule type="top10" dxfId="105" priority="51" rank="1"/>
  </conditionalFormatting>
  <conditionalFormatting sqref="P19">
    <cfRule type="top10" dxfId="104" priority="49" rank="1"/>
  </conditionalFormatting>
  <conditionalFormatting sqref="H16:H22">
    <cfRule type="top10" dxfId="103" priority="201" rank="1"/>
  </conditionalFormatting>
  <conditionalFormatting sqref="L16:L22">
    <cfRule type="top10" dxfId="102" priority="203" rank="1"/>
  </conditionalFormatting>
  <conditionalFormatting sqref="P16:P22">
    <cfRule type="top10" dxfId="101" priority="205" rank="1"/>
  </conditionalFormatting>
  <conditionalFormatting sqref="T16:T22">
    <cfRule type="top10" dxfId="100" priority="207" rank="1"/>
  </conditionalFormatting>
  <conditionalFormatting sqref="B16:B22">
    <cfRule type="top10" dxfId="99" priority="209" bottom="1" rank="1"/>
    <cfRule type="top10" dxfId="98" priority="210" rank="1"/>
  </conditionalFormatting>
  <conditionalFormatting sqref="F16:F22">
    <cfRule type="top10" dxfId="97" priority="213" bottom="1" rank="1"/>
    <cfRule type="top10" dxfId="96" priority="214" rank="1"/>
  </conditionalFormatting>
  <conditionalFormatting sqref="J16:J22">
    <cfRule type="top10" dxfId="95" priority="217" bottom="1" rank="1"/>
    <cfRule type="top10" dxfId="94" priority="218" rank="1"/>
  </conditionalFormatting>
  <conditionalFormatting sqref="N16:N22">
    <cfRule type="top10" dxfId="93" priority="221" bottom="1" rank="1"/>
    <cfRule type="top10" dxfId="92" priority="222" rank="1"/>
  </conditionalFormatting>
  <conditionalFormatting sqref="R16:R22">
    <cfRule type="top10" dxfId="91" priority="225" bottom="1" rank="1"/>
    <cfRule type="top10" dxfId="90" priority="226" rank="1"/>
  </conditionalFormatting>
  <conditionalFormatting sqref="H16:H22">
    <cfRule type="top10" dxfId="89" priority="229" bottom="1" rank="1"/>
    <cfRule type="top10" dxfId="88" priority="230" rank="1"/>
  </conditionalFormatting>
  <conditionalFormatting sqref="L16:L22">
    <cfRule type="top10" dxfId="87" priority="233" bottom="1" rank="1"/>
    <cfRule type="top10" dxfId="86" priority="234" rank="1"/>
  </conditionalFormatting>
  <conditionalFormatting sqref="P16:P22">
    <cfRule type="top10" dxfId="85" priority="237" bottom="1" rank="1"/>
    <cfRule type="top10" dxfId="84" priority="238" rank="1"/>
  </conditionalFormatting>
  <conditionalFormatting sqref="T16:T22">
    <cfRule type="top10" dxfId="83" priority="241" bottom="1" rank="1"/>
    <cfRule type="top10" dxfId="82" priority="242" rank="1"/>
  </conditionalFormatting>
  <conditionalFormatting sqref="Z16:Z22">
    <cfRule type="top10" dxfId="81" priority="245" bottom="1" rank="1"/>
    <cfRule type="top10" dxfId="80" priority="246" rank="1"/>
  </conditionalFormatting>
  <conditionalFormatting sqref="V16:V22">
    <cfRule type="top10" dxfId="79" priority="249" bottom="1" rank="1"/>
    <cfRule type="top10" dxfId="78" priority="250" rank="1"/>
  </conditionalFormatting>
  <conditionalFormatting sqref="W16:W22">
    <cfRule type="top10" dxfId="77" priority="253" bottom="1" rank="1"/>
    <cfRule type="top10" dxfId="76" priority="254" rank="1"/>
  </conditionalFormatting>
  <conditionalFormatting sqref="C16:C22">
    <cfRule type="top10" dxfId="75" priority="257" bottom="1" rank="1"/>
    <cfRule type="top10" dxfId="74" priority="258" rank="1"/>
  </conditionalFormatting>
  <conditionalFormatting sqref="G16:G22">
    <cfRule type="top10" dxfId="73" priority="261" bottom="1" rank="1"/>
    <cfRule type="top10" dxfId="72" priority="262" rank="1"/>
  </conditionalFormatting>
  <conditionalFormatting sqref="K16:K22">
    <cfRule type="top10" dxfId="71" priority="265" bottom="1" rank="1"/>
    <cfRule type="top10" dxfId="70" priority="266" rank="1"/>
  </conditionalFormatting>
  <conditionalFormatting sqref="O16:O22">
    <cfRule type="top10" dxfId="69" priority="269" bottom="1" rank="1"/>
    <cfRule type="top10" dxfId="68" priority="270" rank="1"/>
  </conditionalFormatting>
  <conditionalFormatting sqref="S16:S22">
    <cfRule type="top10" dxfId="67" priority="273" bottom="1" rank="1"/>
    <cfRule type="top10" dxfId="66" priority="274" rank="1"/>
  </conditionalFormatting>
  <conditionalFormatting sqref="X16:X22">
    <cfRule type="top10" dxfId="65" priority="277" bottom="1" rank="1"/>
    <cfRule type="top10" dxfId="64" priority="278" rank="1"/>
  </conditionalFormatting>
  <conditionalFormatting sqref="Y16:Y22">
    <cfRule type="top10" dxfId="63" priority="281" bottom="1" rank="1"/>
    <cfRule type="top10" dxfId="62" priority="28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39"/>
  <sheetViews>
    <sheetView zoomScaleNormal="100" workbookViewId="0">
      <pane ySplit="1" topLeftCell="A8" activePane="bottomLeft" state="frozen"/>
      <selection pane="bottomLeft" activeCell="A39" sqref="A39"/>
    </sheetView>
  </sheetViews>
  <sheetFormatPr defaultRowHeight="15"/>
  <cols>
    <col min="1" max="1" width="12" style="90" customWidth="1"/>
    <col min="2" max="2" width="5.7109375" bestFit="1" customWidth="1"/>
    <col min="3" max="3" width="8.7109375" style="5" bestFit="1" customWidth="1"/>
    <col min="4" max="4" width="2.140625" bestFit="1" customWidth="1"/>
    <col min="5" max="5" width="7.140625" bestFit="1" customWidth="1"/>
    <col min="6" max="7" width="7.7109375" bestFit="1" customWidth="1"/>
    <col min="8" max="8" width="6.7109375" style="5" bestFit="1" customWidth="1"/>
    <col min="9" max="9" width="8.42578125" style="5" bestFit="1" customWidth="1"/>
    <col min="10" max="10" width="5.140625" bestFit="1" customWidth="1"/>
    <col min="11" max="11" width="3.5703125" bestFit="1" customWidth="1"/>
    <col min="12" max="12" width="7.42578125" style="5" bestFit="1" customWidth="1"/>
    <col min="13" max="13" width="8.42578125" style="5" bestFit="1" customWidth="1"/>
    <col min="14" max="14" width="8.5703125" style="93" bestFit="1" customWidth="1"/>
    <col min="15" max="15" width="5.5703125" style="5" bestFit="1" customWidth="1"/>
    <col min="16" max="16" width="7.28515625" style="14" bestFit="1" customWidth="1"/>
    <col min="17" max="17" width="7.7109375" style="10" bestFit="1" customWidth="1"/>
    <col min="18" max="18" width="8.5703125" style="5" bestFit="1" customWidth="1"/>
    <col min="19" max="19" width="7.140625" style="5" bestFit="1" customWidth="1"/>
    <col min="20" max="20" width="6.140625" style="15" bestFit="1" customWidth="1"/>
    <col min="21" max="21" width="6.140625" style="4" bestFit="1" customWidth="1"/>
    <col min="22" max="22" width="8.140625" style="4" bestFit="1" customWidth="1"/>
    <col min="23" max="23" width="4.140625" style="4" bestFit="1" customWidth="1"/>
    <col min="24" max="26" width="6.5703125" bestFit="1" customWidth="1"/>
    <col min="27" max="27" width="2.140625" customWidth="1"/>
    <col min="28" max="29" width="9.140625" bestFit="1" customWidth="1"/>
    <col min="30" max="30" width="8.140625" bestFit="1" customWidth="1"/>
    <col min="31" max="31" width="2.140625" customWidth="1"/>
    <col min="32" max="32" width="6.28515625" customWidth="1"/>
    <col min="33" max="33" width="6.7109375" customWidth="1"/>
    <col min="34" max="34" width="7" customWidth="1"/>
    <col min="35" max="35" width="2.140625" customWidth="1"/>
    <col min="39" max="39" width="2.140625" customWidth="1"/>
    <col min="43" max="43" width="3" customWidth="1"/>
    <col min="44" max="44" width="5.5703125" bestFit="1" customWidth="1"/>
    <col min="45" max="45" width="6" bestFit="1" customWidth="1"/>
    <col min="46" max="47" width="5.5703125" bestFit="1" customWidth="1"/>
    <col min="48" max="48" width="6.28515625" bestFit="1" customWidth="1"/>
    <col min="49" max="49" width="6.42578125" bestFit="1" customWidth="1"/>
    <col min="50" max="50" width="8" bestFit="1" customWidth="1"/>
  </cols>
  <sheetData>
    <row r="1" spans="1:50" s="135" customFormat="1">
      <c r="A1" s="134" t="s">
        <v>0</v>
      </c>
      <c r="B1" s="135" t="s">
        <v>7</v>
      </c>
      <c r="C1" s="136" t="s">
        <v>1</v>
      </c>
      <c r="D1" s="135" t="s">
        <v>67</v>
      </c>
      <c r="E1" s="135" t="s">
        <v>77</v>
      </c>
      <c r="F1" s="135" t="s">
        <v>78</v>
      </c>
      <c r="G1" s="135" t="s">
        <v>68</v>
      </c>
      <c r="H1" s="136" t="s">
        <v>70</v>
      </c>
      <c r="I1" s="136" t="s">
        <v>69</v>
      </c>
      <c r="J1" s="135" t="s">
        <v>71</v>
      </c>
      <c r="L1" s="136" t="s">
        <v>90</v>
      </c>
      <c r="M1" s="136" t="s">
        <v>9</v>
      </c>
      <c r="N1" s="137" t="s">
        <v>111</v>
      </c>
      <c r="O1" s="136" t="s">
        <v>76</v>
      </c>
      <c r="P1" s="136"/>
      <c r="Q1" s="136" t="s">
        <v>72</v>
      </c>
      <c r="R1" s="136" t="s">
        <v>73</v>
      </c>
      <c r="S1" s="136" t="s">
        <v>74</v>
      </c>
      <c r="T1" s="136" t="s">
        <v>75</v>
      </c>
      <c r="U1" s="136" t="s">
        <v>79</v>
      </c>
      <c r="V1" s="136" t="s">
        <v>163</v>
      </c>
      <c r="W1" s="136">
        <v>0</v>
      </c>
    </row>
    <row r="2" spans="1:50">
      <c r="A2" s="138" t="s">
        <v>3</v>
      </c>
      <c r="B2" s="28">
        <v>0</v>
      </c>
      <c r="C2" s="29">
        <v>200</v>
      </c>
      <c r="D2" s="28">
        <v>1</v>
      </c>
      <c r="E2" s="28">
        <v>10</v>
      </c>
      <c r="F2" s="28">
        <v>0</v>
      </c>
      <c r="G2" s="28">
        <v>36</v>
      </c>
      <c r="H2" s="29">
        <v>13</v>
      </c>
      <c r="I2" s="29">
        <v>468</v>
      </c>
      <c r="J2" s="55">
        <v>40</v>
      </c>
      <c r="K2" s="60" t="str">
        <f t="shared" ref="K2:K37" si="0">IF(I2=D2*G2*H2,"OK","ERRO")</f>
        <v>OK</v>
      </c>
      <c r="L2" s="31">
        <f t="shared" ref="L2:L37" si="1">I2/D2</f>
        <v>468</v>
      </c>
      <c r="M2" s="31">
        <f t="shared" ref="M2:M37" si="2">I2-C2</f>
        <v>268</v>
      </c>
      <c r="N2" s="92">
        <f t="shared" ref="N2:N37" si="3">I2/C2-1</f>
        <v>1.3399999999999999</v>
      </c>
      <c r="O2" s="31">
        <f t="shared" ref="O2:O37" si="4">E2+F2*(D2-1)</f>
        <v>10</v>
      </c>
      <c r="P2" s="61">
        <f t="shared" ref="P2:P37" si="5">O2/24</f>
        <v>0.41666666666666669</v>
      </c>
      <c r="Q2" s="62">
        <f t="shared" ref="Q2:Q37" si="6">M2/(E2+F2*(D2-1))</f>
        <v>26.8</v>
      </c>
      <c r="R2" s="31">
        <f t="shared" ref="R2:R37" si="7">Q2*24</f>
        <v>643.20000000000005</v>
      </c>
      <c r="S2" s="31">
        <f>D2*J2+Param!$B$1+Param!$B$2</f>
        <v>46</v>
      </c>
      <c r="T2" s="63">
        <f t="shared" ref="T2:T37" si="8">S2/O2</f>
        <v>4.5999999999999996</v>
      </c>
      <c r="U2" s="157">
        <f t="shared" ref="U2:U37" si="9">T2*24</f>
        <v>110.39999999999999</v>
      </c>
      <c r="V2" s="130">
        <f t="shared" ref="V2:V37" si="10">T2*Q2</f>
        <v>123.27999999999999</v>
      </c>
      <c r="W2" s="130">
        <v>1</v>
      </c>
      <c r="X2" s="125"/>
      <c r="Y2" s="125"/>
      <c r="Z2" s="125"/>
      <c r="AB2" s="19"/>
      <c r="AC2" s="19"/>
      <c r="AD2" s="19"/>
      <c r="AF2" s="126"/>
      <c r="AG2" s="126"/>
      <c r="AH2" s="126"/>
      <c r="AJ2" s="15"/>
      <c r="AK2" s="15"/>
      <c r="AL2" s="15"/>
      <c r="AN2" s="126"/>
      <c r="AO2" s="126"/>
      <c r="AP2" s="126"/>
      <c r="AR2" s="16"/>
      <c r="AS2" s="16"/>
      <c r="AT2" s="16"/>
      <c r="AU2" s="16"/>
      <c r="AV2" s="16"/>
      <c r="AW2" s="16"/>
      <c r="AX2" s="16"/>
    </row>
    <row r="3" spans="1:50">
      <c r="A3" s="138" t="s">
        <v>2</v>
      </c>
      <c r="B3" s="28">
        <v>0</v>
      </c>
      <c r="C3" s="29">
        <v>350</v>
      </c>
      <c r="D3" s="28">
        <v>1</v>
      </c>
      <c r="E3" s="28">
        <v>15</v>
      </c>
      <c r="F3" s="28">
        <v>0</v>
      </c>
      <c r="G3" s="28">
        <v>41</v>
      </c>
      <c r="H3" s="29">
        <v>20</v>
      </c>
      <c r="I3" s="29">
        <v>820</v>
      </c>
      <c r="J3" s="55">
        <v>40</v>
      </c>
      <c r="K3" s="60" t="str">
        <f t="shared" si="0"/>
        <v>OK</v>
      </c>
      <c r="L3" s="31">
        <f t="shared" si="1"/>
        <v>820</v>
      </c>
      <c r="M3" s="31">
        <f t="shared" si="2"/>
        <v>470</v>
      </c>
      <c r="N3" s="92">
        <f t="shared" si="3"/>
        <v>1.342857142857143</v>
      </c>
      <c r="O3" s="31">
        <f t="shared" si="4"/>
        <v>15</v>
      </c>
      <c r="P3" s="61">
        <f t="shared" si="5"/>
        <v>0.625</v>
      </c>
      <c r="Q3" s="62">
        <f t="shared" si="6"/>
        <v>31.333333333333332</v>
      </c>
      <c r="R3" s="31">
        <f t="shared" si="7"/>
        <v>752</v>
      </c>
      <c r="S3" s="31">
        <f>D3*J3+Param!$B$1+Param!$B$2</f>
        <v>46</v>
      </c>
      <c r="T3" s="63">
        <f t="shared" si="8"/>
        <v>3.0666666666666669</v>
      </c>
      <c r="U3" s="157">
        <f t="shared" si="9"/>
        <v>73.600000000000009</v>
      </c>
      <c r="V3" s="130">
        <f t="shared" si="10"/>
        <v>96.088888888888889</v>
      </c>
      <c r="W3" s="130">
        <v>2</v>
      </c>
      <c r="X3" s="125"/>
      <c r="Y3" s="125"/>
      <c r="Z3" s="125"/>
      <c r="AB3" s="19"/>
      <c r="AC3" s="19"/>
      <c r="AD3" s="19"/>
      <c r="AF3" s="126"/>
      <c r="AG3" s="126"/>
      <c r="AH3" s="126"/>
      <c r="AJ3" s="15"/>
      <c r="AK3" s="15"/>
      <c r="AL3" s="15"/>
      <c r="AN3" s="126"/>
      <c r="AO3" s="126"/>
      <c r="AP3" s="126"/>
      <c r="AR3" s="16"/>
      <c r="AS3" s="16"/>
      <c r="AT3" s="16"/>
      <c r="AU3" s="16"/>
      <c r="AV3" s="16"/>
      <c r="AW3" s="16"/>
      <c r="AX3" s="16"/>
    </row>
    <row r="4" spans="1:50">
      <c r="A4" s="139" t="s">
        <v>4</v>
      </c>
      <c r="B4" s="36">
        <v>0</v>
      </c>
      <c r="C4" s="37">
        <v>500</v>
      </c>
      <c r="D4" s="36">
        <v>1</v>
      </c>
      <c r="E4" s="36">
        <v>20</v>
      </c>
      <c r="F4" s="36">
        <v>0</v>
      </c>
      <c r="G4" s="36">
        <v>42</v>
      </c>
      <c r="H4" s="37">
        <v>28</v>
      </c>
      <c r="I4" s="37">
        <v>1176</v>
      </c>
      <c r="J4" s="56">
        <v>40</v>
      </c>
      <c r="K4" s="64" t="str">
        <f t="shared" si="0"/>
        <v>OK</v>
      </c>
      <c r="L4" s="39">
        <f t="shared" si="1"/>
        <v>1176</v>
      </c>
      <c r="M4" s="39">
        <f t="shared" si="2"/>
        <v>676</v>
      </c>
      <c r="N4" s="92">
        <f t="shared" si="3"/>
        <v>1.3519999999999999</v>
      </c>
      <c r="O4" s="39">
        <f t="shared" si="4"/>
        <v>20</v>
      </c>
      <c r="P4" s="65">
        <f t="shared" si="5"/>
        <v>0.83333333333333337</v>
      </c>
      <c r="Q4" s="66">
        <f t="shared" si="6"/>
        <v>33.799999999999997</v>
      </c>
      <c r="R4" s="39">
        <f t="shared" si="7"/>
        <v>811.19999999999993</v>
      </c>
      <c r="S4" s="31">
        <f>D4*J4+Param!$B$1+Param!$B$2</f>
        <v>46</v>
      </c>
      <c r="T4" s="63">
        <f t="shared" si="8"/>
        <v>2.2999999999999998</v>
      </c>
      <c r="U4" s="158">
        <f t="shared" si="9"/>
        <v>55.199999999999996</v>
      </c>
      <c r="V4" s="132">
        <f t="shared" si="10"/>
        <v>77.739999999999981</v>
      </c>
      <c r="W4" s="132">
        <v>3</v>
      </c>
      <c r="X4" s="125"/>
      <c r="Y4" s="125"/>
      <c r="Z4" s="125"/>
      <c r="AB4" s="19"/>
      <c r="AC4" s="19"/>
      <c r="AD4" s="19"/>
      <c r="AF4" s="126"/>
      <c r="AG4" s="126"/>
      <c r="AH4" s="126"/>
      <c r="AJ4" s="15"/>
      <c r="AK4" s="15"/>
      <c r="AL4" s="15"/>
      <c r="AN4" s="126"/>
      <c r="AO4" s="126"/>
      <c r="AP4" s="126"/>
      <c r="AR4" s="16"/>
    </row>
    <row r="5" spans="1:50">
      <c r="A5" s="139" t="s">
        <v>6</v>
      </c>
      <c r="B5" s="36">
        <v>0</v>
      </c>
      <c r="C5" s="37">
        <v>650</v>
      </c>
      <c r="D5" s="36">
        <v>1</v>
      </c>
      <c r="E5" s="36">
        <v>24</v>
      </c>
      <c r="F5" s="36">
        <v>0</v>
      </c>
      <c r="G5" s="36">
        <v>48</v>
      </c>
      <c r="H5" s="37">
        <v>31</v>
      </c>
      <c r="I5" s="37">
        <v>1488</v>
      </c>
      <c r="J5" s="56">
        <v>40</v>
      </c>
      <c r="K5" s="64" t="str">
        <f t="shared" si="0"/>
        <v>OK</v>
      </c>
      <c r="L5" s="39">
        <f t="shared" si="1"/>
        <v>1488</v>
      </c>
      <c r="M5" s="39">
        <f t="shared" si="2"/>
        <v>838</v>
      </c>
      <c r="N5" s="92">
        <f t="shared" si="3"/>
        <v>1.2892307692307692</v>
      </c>
      <c r="O5" s="39">
        <f t="shared" si="4"/>
        <v>24</v>
      </c>
      <c r="P5" s="65">
        <f t="shared" si="5"/>
        <v>1</v>
      </c>
      <c r="Q5" s="66">
        <f t="shared" si="6"/>
        <v>34.916666666666664</v>
      </c>
      <c r="R5" s="39">
        <f t="shared" si="7"/>
        <v>838</v>
      </c>
      <c r="S5" s="31">
        <f>D5*J5+Param!$B$1+Param!$B$2</f>
        <v>46</v>
      </c>
      <c r="T5" s="63">
        <f t="shared" si="8"/>
        <v>1.9166666666666667</v>
      </c>
      <c r="U5" s="158">
        <f t="shared" si="9"/>
        <v>46</v>
      </c>
      <c r="V5" s="132">
        <f t="shared" si="10"/>
        <v>66.923611111111114</v>
      </c>
      <c r="W5" s="132">
        <v>4</v>
      </c>
      <c r="X5" s="125"/>
      <c r="Y5" s="125"/>
      <c r="Z5" s="125"/>
      <c r="AB5" s="19"/>
      <c r="AC5" s="19"/>
      <c r="AD5" s="19"/>
      <c r="AF5" s="126"/>
      <c r="AG5" s="126"/>
      <c r="AH5" s="126"/>
      <c r="AJ5" s="15"/>
      <c r="AK5" s="15"/>
      <c r="AL5" s="15"/>
      <c r="AN5" s="126"/>
      <c r="AO5" s="126"/>
      <c r="AP5" s="126"/>
    </row>
    <row r="6" spans="1:50">
      <c r="A6" s="139" t="s">
        <v>5</v>
      </c>
      <c r="B6" s="36">
        <v>0</v>
      </c>
      <c r="C6" s="37">
        <v>800</v>
      </c>
      <c r="D6" s="36">
        <v>1</v>
      </c>
      <c r="E6" s="36">
        <v>30</v>
      </c>
      <c r="F6" s="36">
        <v>0</v>
      </c>
      <c r="G6" s="36">
        <v>54</v>
      </c>
      <c r="H6" s="37">
        <v>34</v>
      </c>
      <c r="I6" s="37">
        <v>1836</v>
      </c>
      <c r="J6" s="56">
        <v>40</v>
      </c>
      <c r="K6" s="64" t="str">
        <f t="shared" si="0"/>
        <v>OK</v>
      </c>
      <c r="L6" s="39">
        <f t="shared" si="1"/>
        <v>1836</v>
      </c>
      <c r="M6" s="39">
        <f t="shared" si="2"/>
        <v>1036</v>
      </c>
      <c r="N6" s="92">
        <f t="shared" si="3"/>
        <v>1.2949999999999999</v>
      </c>
      <c r="O6" s="39">
        <f t="shared" si="4"/>
        <v>30</v>
      </c>
      <c r="P6" s="65">
        <f t="shared" si="5"/>
        <v>1.25</v>
      </c>
      <c r="Q6" s="66">
        <f t="shared" si="6"/>
        <v>34.533333333333331</v>
      </c>
      <c r="R6" s="39">
        <f t="shared" si="7"/>
        <v>828.8</v>
      </c>
      <c r="S6" s="31">
        <f>D6*J6+Param!$B$1+Param!$B$2</f>
        <v>46</v>
      </c>
      <c r="T6" s="63">
        <f t="shared" si="8"/>
        <v>1.5333333333333334</v>
      </c>
      <c r="U6" s="158">
        <f t="shared" si="9"/>
        <v>36.800000000000004</v>
      </c>
      <c r="V6" s="132">
        <f t="shared" si="10"/>
        <v>52.951111111111111</v>
      </c>
      <c r="W6" s="132">
        <v>5</v>
      </c>
      <c r="X6" s="125"/>
      <c r="Y6" s="125"/>
      <c r="Z6" s="125"/>
      <c r="AB6" s="19"/>
      <c r="AC6" s="19"/>
      <c r="AD6" s="19"/>
      <c r="AF6" s="126"/>
      <c r="AG6" s="126"/>
      <c r="AH6" s="126"/>
      <c r="AJ6" s="15"/>
      <c r="AK6" s="15"/>
      <c r="AL6" s="15"/>
      <c r="AN6" s="126"/>
      <c r="AO6" s="126"/>
      <c r="AP6" s="126"/>
    </row>
    <row r="7" spans="1:50">
      <c r="A7" s="139" t="s">
        <v>26</v>
      </c>
      <c r="B7" s="36">
        <v>5</v>
      </c>
      <c r="C7" s="37">
        <v>950</v>
      </c>
      <c r="D7" s="36">
        <v>2</v>
      </c>
      <c r="E7" s="36">
        <v>26</v>
      </c>
      <c r="F7" s="36">
        <v>10</v>
      </c>
      <c r="G7" s="36">
        <v>35</v>
      </c>
      <c r="H7" s="37">
        <v>34</v>
      </c>
      <c r="I7" s="37">
        <v>2380</v>
      </c>
      <c r="J7" s="56">
        <v>45</v>
      </c>
      <c r="K7" s="64" t="str">
        <f t="shared" si="0"/>
        <v>OK</v>
      </c>
      <c r="L7" s="39">
        <f t="shared" si="1"/>
        <v>1190</v>
      </c>
      <c r="M7" s="39">
        <f t="shared" si="2"/>
        <v>1430</v>
      </c>
      <c r="N7" s="92">
        <f t="shared" si="3"/>
        <v>1.5052631578947366</v>
      </c>
      <c r="O7" s="39">
        <f t="shared" si="4"/>
        <v>36</v>
      </c>
      <c r="P7" s="65">
        <f t="shared" si="5"/>
        <v>1.5</v>
      </c>
      <c r="Q7" s="66">
        <f t="shared" si="6"/>
        <v>39.722222222222221</v>
      </c>
      <c r="R7" s="39">
        <f t="shared" si="7"/>
        <v>953.33333333333326</v>
      </c>
      <c r="S7" s="31">
        <f>D7*J7+Param!$B$1+Param!$B$2</f>
        <v>96</v>
      </c>
      <c r="T7" s="63">
        <f t="shared" si="8"/>
        <v>2.6666666666666665</v>
      </c>
      <c r="U7" s="158">
        <f t="shared" si="9"/>
        <v>64</v>
      </c>
      <c r="V7" s="132">
        <f t="shared" si="10"/>
        <v>105.92592592592592</v>
      </c>
      <c r="W7" s="132">
        <v>6</v>
      </c>
      <c r="X7" s="125"/>
      <c r="Y7" s="125"/>
      <c r="Z7" s="125"/>
      <c r="AB7" s="19"/>
      <c r="AC7" s="19"/>
      <c r="AD7" s="19"/>
      <c r="AF7" s="126"/>
      <c r="AG7" s="126"/>
      <c r="AH7" s="126"/>
      <c r="AJ7" s="15"/>
      <c r="AK7" s="15"/>
      <c r="AL7" s="15"/>
      <c r="AN7" s="126"/>
      <c r="AO7" s="126"/>
      <c r="AP7" s="126"/>
    </row>
    <row r="8" spans="1:50">
      <c r="A8" s="139" t="s">
        <v>13</v>
      </c>
      <c r="B8" s="36">
        <v>5</v>
      </c>
      <c r="C8" s="37">
        <v>1100</v>
      </c>
      <c r="D8" s="36">
        <v>2</v>
      </c>
      <c r="E8" s="36">
        <v>30</v>
      </c>
      <c r="F8" s="36">
        <v>12</v>
      </c>
      <c r="G8" s="36">
        <v>39</v>
      </c>
      <c r="H8" s="37">
        <v>35</v>
      </c>
      <c r="I8" s="37">
        <v>2730</v>
      </c>
      <c r="J8" s="56">
        <v>45</v>
      </c>
      <c r="K8" s="64" t="str">
        <f t="shared" si="0"/>
        <v>OK</v>
      </c>
      <c r="L8" s="39">
        <f t="shared" si="1"/>
        <v>1365</v>
      </c>
      <c r="M8" s="39">
        <f t="shared" si="2"/>
        <v>1630</v>
      </c>
      <c r="N8" s="92">
        <f t="shared" si="3"/>
        <v>1.4818181818181819</v>
      </c>
      <c r="O8" s="39">
        <f t="shared" si="4"/>
        <v>42</v>
      </c>
      <c r="P8" s="65">
        <f t="shared" si="5"/>
        <v>1.75</v>
      </c>
      <c r="Q8" s="66">
        <f t="shared" si="6"/>
        <v>38.80952380952381</v>
      </c>
      <c r="R8" s="39">
        <f t="shared" si="7"/>
        <v>931.42857142857144</v>
      </c>
      <c r="S8" s="31">
        <f>D8*J8+Param!$B$1+Param!$B$2</f>
        <v>96</v>
      </c>
      <c r="T8" s="63">
        <f t="shared" si="8"/>
        <v>2.2857142857142856</v>
      </c>
      <c r="U8" s="158">
        <f t="shared" si="9"/>
        <v>54.857142857142854</v>
      </c>
      <c r="V8" s="132">
        <f t="shared" si="10"/>
        <v>88.707482993197274</v>
      </c>
      <c r="W8" s="132">
        <v>7</v>
      </c>
      <c r="X8" s="125"/>
      <c r="Y8" s="125"/>
      <c r="Z8" s="125"/>
      <c r="AB8" s="19"/>
      <c r="AC8" s="19"/>
      <c r="AD8" s="19"/>
      <c r="AF8" s="126"/>
      <c r="AG8" s="126"/>
      <c r="AH8" s="126"/>
      <c r="AJ8" s="15"/>
      <c r="AK8" s="15"/>
      <c r="AL8" s="15"/>
      <c r="AN8" s="126"/>
      <c r="AO8" s="126"/>
      <c r="AP8" s="126"/>
    </row>
    <row r="9" spans="1:50">
      <c r="A9" s="139" t="s">
        <v>12</v>
      </c>
      <c r="B9" s="36">
        <v>5</v>
      </c>
      <c r="C9" s="37">
        <v>1250</v>
      </c>
      <c r="D9" s="36">
        <v>2</v>
      </c>
      <c r="E9" s="36">
        <v>34</v>
      </c>
      <c r="F9" s="36">
        <v>12</v>
      </c>
      <c r="G9" s="36">
        <v>36</v>
      </c>
      <c r="H9" s="37">
        <v>43</v>
      </c>
      <c r="I9" s="37">
        <v>3096</v>
      </c>
      <c r="J9" s="56">
        <v>45</v>
      </c>
      <c r="K9" s="64" t="str">
        <f t="shared" si="0"/>
        <v>OK</v>
      </c>
      <c r="L9" s="39">
        <f t="shared" si="1"/>
        <v>1548</v>
      </c>
      <c r="M9" s="39">
        <f t="shared" si="2"/>
        <v>1846</v>
      </c>
      <c r="N9" s="92">
        <f t="shared" si="3"/>
        <v>1.4767999999999999</v>
      </c>
      <c r="O9" s="39">
        <f t="shared" si="4"/>
        <v>46</v>
      </c>
      <c r="P9" s="65">
        <f t="shared" si="5"/>
        <v>1.9166666666666667</v>
      </c>
      <c r="Q9" s="66">
        <f t="shared" si="6"/>
        <v>40.130434782608695</v>
      </c>
      <c r="R9" s="39">
        <f t="shared" si="7"/>
        <v>963.13043478260875</v>
      </c>
      <c r="S9" s="31">
        <f>D9*J9+Param!$B$1+Param!$B$2</f>
        <v>96</v>
      </c>
      <c r="T9" s="63">
        <f t="shared" si="8"/>
        <v>2.0869565217391304</v>
      </c>
      <c r="U9" s="158">
        <f t="shared" si="9"/>
        <v>50.086956521739125</v>
      </c>
      <c r="V9" s="132">
        <f t="shared" si="10"/>
        <v>83.750472589792054</v>
      </c>
      <c r="W9" s="132">
        <v>8</v>
      </c>
      <c r="X9" s="125"/>
      <c r="Y9" s="125"/>
      <c r="Z9" s="125"/>
      <c r="AB9" s="19"/>
      <c r="AC9" s="19"/>
      <c r="AD9" s="19"/>
      <c r="AF9" s="126"/>
      <c r="AG9" s="126"/>
      <c r="AH9" s="126"/>
      <c r="AJ9" s="15"/>
      <c r="AK9" s="15"/>
      <c r="AL9" s="15"/>
      <c r="AN9" s="126"/>
      <c r="AO9" s="126"/>
      <c r="AP9" s="126"/>
    </row>
    <row r="10" spans="1:50">
      <c r="A10" s="139" t="s">
        <v>8</v>
      </c>
      <c r="B10" s="36">
        <v>5</v>
      </c>
      <c r="C10" s="37">
        <v>1400</v>
      </c>
      <c r="D10" s="36">
        <v>2</v>
      </c>
      <c r="E10" s="36">
        <v>34</v>
      </c>
      <c r="F10" s="36">
        <v>14</v>
      </c>
      <c r="G10" s="36">
        <v>43</v>
      </c>
      <c r="H10" s="37">
        <v>40</v>
      </c>
      <c r="I10" s="37">
        <v>3440</v>
      </c>
      <c r="J10" s="56">
        <v>45</v>
      </c>
      <c r="K10" s="64" t="str">
        <f t="shared" si="0"/>
        <v>OK</v>
      </c>
      <c r="L10" s="39">
        <f t="shared" si="1"/>
        <v>1720</v>
      </c>
      <c r="M10" s="39">
        <f t="shared" si="2"/>
        <v>2040</v>
      </c>
      <c r="N10" s="92">
        <f t="shared" si="3"/>
        <v>1.4571428571428573</v>
      </c>
      <c r="O10" s="39">
        <f t="shared" si="4"/>
        <v>48</v>
      </c>
      <c r="P10" s="65">
        <f t="shared" si="5"/>
        <v>2</v>
      </c>
      <c r="Q10" s="66">
        <f t="shared" si="6"/>
        <v>42.5</v>
      </c>
      <c r="R10" s="39">
        <f t="shared" si="7"/>
        <v>1020</v>
      </c>
      <c r="S10" s="31">
        <f>D10*J10+Param!$B$1+Param!$B$2</f>
        <v>96</v>
      </c>
      <c r="T10" s="63">
        <f t="shared" si="8"/>
        <v>2</v>
      </c>
      <c r="U10" s="158">
        <f t="shared" si="9"/>
        <v>48</v>
      </c>
      <c r="V10" s="132">
        <f t="shared" si="10"/>
        <v>85</v>
      </c>
      <c r="W10" s="132">
        <v>9</v>
      </c>
      <c r="X10" s="125"/>
      <c r="Y10" s="125"/>
      <c r="Z10" s="125"/>
      <c r="AB10" s="19"/>
      <c r="AC10" s="19"/>
      <c r="AD10" s="19"/>
      <c r="AF10" s="126"/>
      <c r="AG10" s="126"/>
      <c r="AH10" s="126"/>
      <c r="AJ10" s="15"/>
      <c r="AK10" s="15"/>
      <c r="AL10" s="15"/>
      <c r="AN10" s="126"/>
      <c r="AO10" s="126"/>
      <c r="AP10" s="126"/>
    </row>
    <row r="11" spans="1:50">
      <c r="A11" s="139" t="s">
        <v>14</v>
      </c>
      <c r="B11" s="36">
        <v>10</v>
      </c>
      <c r="C11" s="37">
        <v>1550</v>
      </c>
      <c r="D11" s="36">
        <v>3</v>
      </c>
      <c r="E11" s="36">
        <v>31</v>
      </c>
      <c r="F11" s="36">
        <v>12</v>
      </c>
      <c r="G11" s="36">
        <v>31</v>
      </c>
      <c r="H11" s="37">
        <v>42</v>
      </c>
      <c r="I11" s="37">
        <v>3906</v>
      </c>
      <c r="J11" s="56">
        <v>50</v>
      </c>
      <c r="K11" s="64" t="str">
        <f t="shared" si="0"/>
        <v>OK</v>
      </c>
      <c r="L11" s="39">
        <f t="shared" si="1"/>
        <v>1302</v>
      </c>
      <c r="M11" s="39">
        <f t="shared" si="2"/>
        <v>2356</v>
      </c>
      <c r="N11" s="92">
        <f t="shared" si="3"/>
        <v>1.52</v>
      </c>
      <c r="O11" s="39">
        <f t="shared" si="4"/>
        <v>55</v>
      </c>
      <c r="P11" s="65">
        <f t="shared" si="5"/>
        <v>2.2916666666666665</v>
      </c>
      <c r="Q11" s="66">
        <f t="shared" si="6"/>
        <v>42.836363636363636</v>
      </c>
      <c r="R11" s="39">
        <f t="shared" si="7"/>
        <v>1028.0727272727272</v>
      </c>
      <c r="S11" s="31">
        <f>D11*J11+Param!$B$1+Param!$B$2</f>
        <v>156</v>
      </c>
      <c r="T11" s="63">
        <f t="shared" si="8"/>
        <v>2.8363636363636364</v>
      </c>
      <c r="U11" s="158">
        <f t="shared" si="9"/>
        <v>68.072727272727278</v>
      </c>
      <c r="V11" s="132">
        <f t="shared" si="10"/>
        <v>121.49950413223141</v>
      </c>
      <c r="W11" s="132">
        <v>10</v>
      </c>
      <c r="X11" s="125"/>
      <c r="Y11" s="125"/>
      <c r="Z11" s="125"/>
      <c r="AB11" s="19"/>
      <c r="AC11" s="19"/>
      <c r="AD11" s="19"/>
      <c r="AF11" s="126"/>
      <c r="AG11" s="126"/>
      <c r="AH11" s="126"/>
      <c r="AJ11" s="15"/>
      <c r="AK11" s="15"/>
      <c r="AL11" s="15"/>
      <c r="AN11" s="126"/>
      <c r="AO11" s="126"/>
      <c r="AP11" s="126"/>
      <c r="AW11" s="16"/>
      <c r="AX11" s="16"/>
    </row>
    <row r="12" spans="1:50">
      <c r="A12" s="139" t="s">
        <v>10</v>
      </c>
      <c r="B12" s="36">
        <v>10</v>
      </c>
      <c r="C12" s="37">
        <v>1800</v>
      </c>
      <c r="D12" s="36">
        <v>3</v>
      </c>
      <c r="E12" s="36">
        <v>35</v>
      </c>
      <c r="F12" s="36">
        <v>14</v>
      </c>
      <c r="G12" s="36">
        <v>28</v>
      </c>
      <c r="H12" s="37">
        <v>55</v>
      </c>
      <c r="I12" s="37">
        <v>4620</v>
      </c>
      <c r="J12" s="56">
        <v>50</v>
      </c>
      <c r="K12" s="64" t="str">
        <f t="shared" si="0"/>
        <v>OK</v>
      </c>
      <c r="L12" s="39">
        <f t="shared" si="1"/>
        <v>1540</v>
      </c>
      <c r="M12" s="39">
        <f t="shared" si="2"/>
        <v>2820</v>
      </c>
      <c r="N12" s="92">
        <f t="shared" si="3"/>
        <v>1.5666666666666669</v>
      </c>
      <c r="O12" s="39">
        <f t="shared" si="4"/>
        <v>63</v>
      </c>
      <c r="P12" s="65">
        <f t="shared" si="5"/>
        <v>2.625</v>
      </c>
      <c r="Q12" s="66">
        <f t="shared" si="6"/>
        <v>44.761904761904759</v>
      </c>
      <c r="R12" s="39">
        <f t="shared" si="7"/>
        <v>1074.2857142857142</v>
      </c>
      <c r="S12" s="31">
        <f>D12*J12+Param!$B$1+Param!$B$2</f>
        <v>156</v>
      </c>
      <c r="T12" s="63">
        <f t="shared" si="8"/>
        <v>2.4761904761904763</v>
      </c>
      <c r="U12" s="158">
        <f t="shared" si="9"/>
        <v>59.428571428571431</v>
      </c>
      <c r="V12" s="132">
        <f t="shared" si="10"/>
        <v>110.83900226757369</v>
      </c>
      <c r="W12" s="132">
        <v>11</v>
      </c>
      <c r="X12" s="125"/>
      <c r="Y12" s="125"/>
      <c r="Z12" s="125"/>
      <c r="AB12" s="19"/>
      <c r="AC12" s="19"/>
      <c r="AD12" s="19"/>
      <c r="AF12" s="126"/>
      <c r="AG12" s="126"/>
      <c r="AH12" s="126"/>
      <c r="AJ12" s="15"/>
      <c r="AK12" s="15"/>
      <c r="AL12" s="15"/>
      <c r="AN12" s="126"/>
      <c r="AO12" s="126"/>
      <c r="AP12" s="126"/>
    </row>
    <row r="13" spans="1:50">
      <c r="A13" s="139" t="s">
        <v>15</v>
      </c>
      <c r="B13" s="36">
        <v>11</v>
      </c>
      <c r="C13" s="37">
        <v>1975</v>
      </c>
      <c r="D13" s="36">
        <v>3</v>
      </c>
      <c r="E13" s="36">
        <v>40</v>
      </c>
      <c r="F13" s="36">
        <v>14</v>
      </c>
      <c r="G13" s="36">
        <v>30</v>
      </c>
      <c r="H13" s="37">
        <v>55</v>
      </c>
      <c r="I13" s="37">
        <v>4950</v>
      </c>
      <c r="J13" s="56">
        <v>51</v>
      </c>
      <c r="K13" s="64" t="str">
        <f t="shared" si="0"/>
        <v>OK</v>
      </c>
      <c r="L13" s="39">
        <f t="shared" si="1"/>
        <v>1650</v>
      </c>
      <c r="M13" s="39">
        <f t="shared" si="2"/>
        <v>2975</v>
      </c>
      <c r="N13" s="92">
        <f t="shared" si="3"/>
        <v>1.5063291139240507</v>
      </c>
      <c r="O13" s="39">
        <f t="shared" si="4"/>
        <v>68</v>
      </c>
      <c r="P13" s="65">
        <f t="shared" si="5"/>
        <v>2.8333333333333335</v>
      </c>
      <c r="Q13" s="66">
        <f t="shared" si="6"/>
        <v>43.75</v>
      </c>
      <c r="R13" s="39">
        <f t="shared" si="7"/>
        <v>1050</v>
      </c>
      <c r="S13" s="31">
        <f>D13*J13+Param!$B$1+Param!$B$2</f>
        <v>159</v>
      </c>
      <c r="T13" s="63">
        <f t="shared" si="8"/>
        <v>2.3382352941176472</v>
      </c>
      <c r="U13" s="158">
        <f t="shared" si="9"/>
        <v>56.117647058823536</v>
      </c>
      <c r="V13" s="132">
        <f t="shared" si="10"/>
        <v>102.29779411764706</v>
      </c>
      <c r="W13" s="132">
        <v>12</v>
      </c>
      <c r="X13" s="125"/>
      <c r="Y13" s="125"/>
      <c r="Z13" s="125"/>
      <c r="AB13" s="19"/>
      <c r="AC13" s="19"/>
      <c r="AD13" s="19"/>
      <c r="AF13" s="126"/>
      <c r="AG13" s="126"/>
      <c r="AH13" s="126"/>
      <c r="AJ13" s="15"/>
      <c r="AK13" s="15"/>
      <c r="AL13" s="15"/>
      <c r="AN13" s="126"/>
      <c r="AO13" s="126"/>
      <c r="AP13" s="126"/>
    </row>
    <row r="14" spans="1:50">
      <c r="A14" s="139" t="s">
        <v>16</v>
      </c>
      <c r="B14" s="36">
        <v>12</v>
      </c>
      <c r="C14" s="37">
        <v>2150</v>
      </c>
      <c r="D14" s="36">
        <v>3</v>
      </c>
      <c r="E14" s="36">
        <v>45</v>
      </c>
      <c r="F14" s="36">
        <v>18</v>
      </c>
      <c r="G14" s="36">
        <v>33</v>
      </c>
      <c r="H14" s="37">
        <v>56</v>
      </c>
      <c r="I14" s="37">
        <v>5544</v>
      </c>
      <c r="J14" s="56">
        <v>52</v>
      </c>
      <c r="K14" s="64" t="str">
        <f t="shared" si="0"/>
        <v>OK</v>
      </c>
      <c r="L14" s="39">
        <f t="shared" si="1"/>
        <v>1848</v>
      </c>
      <c r="M14" s="39">
        <f t="shared" si="2"/>
        <v>3394</v>
      </c>
      <c r="N14" s="92">
        <f t="shared" si="3"/>
        <v>1.5786046511627907</v>
      </c>
      <c r="O14" s="39">
        <f t="shared" si="4"/>
        <v>81</v>
      </c>
      <c r="P14" s="65">
        <f t="shared" si="5"/>
        <v>3.375</v>
      </c>
      <c r="Q14" s="66">
        <f t="shared" si="6"/>
        <v>41.901234567901234</v>
      </c>
      <c r="R14" s="39">
        <f t="shared" si="7"/>
        <v>1005.6296296296296</v>
      </c>
      <c r="S14" s="31">
        <f>D14*J14+Param!$B$1+Param!$B$2</f>
        <v>162</v>
      </c>
      <c r="T14" s="63">
        <f t="shared" si="8"/>
        <v>2</v>
      </c>
      <c r="U14" s="158">
        <f t="shared" si="9"/>
        <v>48</v>
      </c>
      <c r="V14" s="132">
        <f t="shared" si="10"/>
        <v>83.802469135802468</v>
      </c>
      <c r="W14" s="132">
        <v>12</v>
      </c>
      <c r="X14" s="125"/>
      <c r="Y14" s="125"/>
      <c r="Z14" s="125"/>
      <c r="AB14" s="19"/>
      <c r="AC14" s="19"/>
      <c r="AD14" s="19"/>
      <c r="AF14" s="126"/>
      <c r="AG14" s="126"/>
      <c r="AH14" s="126"/>
      <c r="AJ14" s="15"/>
      <c r="AK14" s="15"/>
      <c r="AL14" s="15"/>
      <c r="AN14" s="126"/>
      <c r="AO14" s="126"/>
      <c r="AP14" s="126"/>
    </row>
    <row r="15" spans="1:50">
      <c r="A15" s="139" t="s">
        <v>17</v>
      </c>
      <c r="B15" s="36">
        <v>13</v>
      </c>
      <c r="C15" s="37">
        <v>3075</v>
      </c>
      <c r="D15" s="36">
        <v>3</v>
      </c>
      <c r="E15" s="36">
        <v>60</v>
      </c>
      <c r="F15" s="36">
        <v>22</v>
      </c>
      <c r="G15" s="36">
        <v>32</v>
      </c>
      <c r="H15" s="37">
        <v>79</v>
      </c>
      <c r="I15" s="37">
        <v>7584</v>
      </c>
      <c r="J15" s="56">
        <v>53</v>
      </c>
      <c r="K15" s="64" t="str">
        <f t="shared" si="0"/>
        <v>OK</v>
      </c>
      <c r="L15" s="39">
        <f t="shared" si="1"/>
        <v>2528</v>
      </c>
      <c r="M15" s="39">
        <f t="shared" si="2"/>
        <v>4509</v>
      </c>
      <c r="N15" s="92">
        <f t="shared" si="3"/>
        <v>1.4663414634146341</v>
      </c>
      <c r="O15" s="39">
        <f t="shared" si="4"/>
        <v>104</v>
      </c>
      <c r="P15" s="65">
        <f t="shared" si="5"/>
        <v>4.333333333333333</v>
      </c>
      <c r="Q15" s="66">
        <f t="shared" si="6"/>
        <v>43.355769230769234</v>
      </c>
      <c r="R15" s="39">
        <f t="shared" si="7"/>
        <v>1040.5384615384617</v>
      </c>
      <c r="S15" s="31">
        <f>D15*J15+Param!$B$1+Param!$B$2</f>
        <v>165</v>
      </c>
      <c r="T15" s="63">
        <f t="shared" si="8"/>
        <v>1.5865384615384615</v>
      </c>
      <c r="U15" s="158">
        <f t="shared" si="9"/>
        <v>38.076923076923073</v>
      </c>
      <c r="V15" s="132">
        <f t="shared" si="10"/>
        <v>68.785595414201183</v>
      </c>
      <c r="W15" s="132">
        <v>14</v>
      </c>
      <c r="X15" s="125"/>
      <c r="Y15" s="125"/>
      <c r="Z15" s="125"/>
      <c r="AB15" s="19"/>
      <c r="AC15" s="19"/>
      <c r="AD15" s="19"/>
      <c r="AF15" s="126"/>
      <c r="AG15" s="126"/>
      <c r="AH15" s="126"/>
      <c r="AJ15" s="15"/>
      <c r="AK15" s="15"/>
      <c r="AL15" s="15"/>
      <c r="AN15" s="126"/>
      <c r="AO15" s="126"/>
      <c r="AP15" s="126"/>
    </row>
    <row r="16" spans="1:50">
      <c r="A16" s="139" t="s">
        <v>18</v>
      </c>
      <c r="B16" s="36">
        <v>14</v>
      </c>
      <c r="C16" s="37">
        <v>3350</v>
      </c>
      <c r="D16" s="36">
        <v>3</v>
      </c>
      <c r="E16" s="36">
        <v>66</v>
      </c>
      <c r="F16" s="36">
        <v>24</v>
      </c>
      <c r="G16" s="57">
        <v>34</v>
      </c>
      <c r="H16" s="37">
        <v>80</v>
      </c>
      <c r="I16" s="37">
        <v>8160</v>
      </c>
      <c r="J16" s="56">
        <v>54</v>
      </c>
      <c r="K16" s="64" t="str">
        <f t="shared" si="0"/>
        <v>OK</v>
      </c>
      <c r="L16" s="39">
        <f t="shared" si="1"/>
        <v>2720</v>
      </c>
      <c r="M16" s="39">
        <f t="shared" si="2"/>
        <v>4810</v>
      </c>
      <c r="N16" s="92">
        <f t="shared" si="3"/>
        <v>1.4358208955223879</v>
      </c>
      <c r="O16" s="39">
        <f t="shared" si="4"/>
        <v>114</v>
      </c>
      <c r="P16" s="65">
        <f t="shared" si="5"/>
        <v>4.75</v>
      </c>
      <c r="Q16" s="66">
        <f t="shared" si="6"/>
        <v>42.192982456140349</v>
      </c>
      <c r="R16" s="39">
        <f t="shared" si="7"/>
        <v>1012.6315789473683</v>
      </c>
      <c r="S16" s="31">
        <f>D16*J16+Param!$B$1+Param!$B$2</f>
        <v>168</v>
      </c>
      <c r="T16" s="63">
        <f t="shared" si="8"/>
        <v>1.4736842105263157</v>
      </c>
      <c r="U16" s="158">
        <f t="shared" si="9"/>
        <v>35.368421052631575</v>
      </c>
      <c r="V16" s="132">
        <f t="shared" si="10"/>
        <v>62.179132040627877</v>
      </c>
      <c r="W16" s="132">
        <v>15</v>
      </c>
      <c r="X16" s="125"/>
      <c r="Y16" s="125"/>
      <c r="Z16" s="125"/>
      <c r="AB16" s="19"/>
      <c r="AC16" s="19"/>
      <c r="AD16" s="19"/>
      <c r="AF16" s="126"/>
      <c r="AG16" s="126"/>
      <c r="AH16" s="126"/>
      <c r="AJ16" s="15"/>
      <c r="AK16" s="15"/>
      <c r="AL16" s="15"/>
      <c r="AN16" s="126"/>
      <c r="AO16" s="126"/>
      <c r="AP16" s="126"/>
    </row>
    <row r="17" spans="1:44">
      <c r="A17" s="139" t="s">
        <v>11</v>
      </c>
      <c r="B17" s="36">
        <v>15</v>
      </c>
      <c r="C17" s="37">
        <v>4125</v>
      </c>
      <c r="D17" s="36">
        <v>4</v>
      </c>
      <c r="E17" s="36">
        <v>66</v>
      </c>
      <c r="F17" s="36">
        <v>24</v>
      </c>
      <c r="G17" s="36">
        <v>30</v>
      </c>
      <c r="H17" s="37">
        <v>86</v>
      </c>
      <c r="I17" s="37">
        <v>10320</v>
      </c>
      <c r="J17" s="56">
        <v>55</v>
      </c>
      <c r="K17" s="64" t="str">
        <f t="shared" si="0"/>
        <v>OK</v>
      </c>
      <c r="L17" s="39">
        <f t="shared" si="1"/>
        <v>2580</v>
      </c>
      <c r="M17" s="39">
        <f t="shared" si="2"/>
        <v>6195</v>
      </c>
      <c r="N17" s="92">
        <f t="shared" si="3"/>
        <v>1.5018181818181819</v>
      </c>
      <c r="O17" s="39">
        <f t="shared" si="4"/>
        <v>138</v>
      </c>
      <c r="P17" s="65">
        <f t="shared" si="5"/>
        <v>5.75</v>
      </c>
      <c r="Q17" s="66">
        <f t="shared" si="6"/>
        <v>44.891304347826086</v>
      </c>
      <c r="R17" s="39">
        <f t="shared" si="7"/>
        <v>1077.391304347826</v>
      </c>
      <c r="S17" s="31">
        <f>D17*J17+Param!$B$1+Param!$B$2</f>
        <v>226</v>
      </c>
      <c r="T17" s="63">
        <f t="shared" si="8"/>
        <v>1.6376811594202898</v>
      </c>
      <c r="U17" s="158">
        <f t="shared" si="9"/>
        <v>39.304347826086953</v>
      </c>
      <c r="V17" s="132">
        <f t="shared" si="10"/>
        <v>73.517643352236917</v>
      </c>
      <c r="W17" s="132">
        <v>16</v>
      </c>
      <c r="X17" s="125"/>
      <c r="Y17" s="125"/>
      <c r="Z17" s="125"/>
      <c r="AB17" s="19"/>
      <c r="AC17" s="19"/>
      <c r="AD17" s="19"/>
      <c r="AF17" s="126"/>
      <c r="AG17" s="126"/>
      <c r="AH17" s="126"/>
      <c r="AJ17" s="15"/>
      <c r="AK17" s="15"/>
      <c r="AL17" s="15"/>
      <c r="AN17" s="126"/>
      <c r="AO17" s="126"/>
      <c r="AP17" s="126"/>
    </row>
    <row r="18" spans="1:44">
      <c r="A18" s="139" t="s">
        <v>59</v>
      </c>
      <c r="B18" s="36">
        <v>16</v>
      </c>
      <c r="C18" s="37">
        <v>3875</v>
      </c>
      <c r="D18" s="36">
        <v>4</v>
      </c>
      <c r="E18" s="36">
        <v>55</v>
      </c>
      <c r="F18" s="36">
        <v>22</v>
      </c>
      <c r="G18" s="36">
        <v>29</v>
      </c>
      <c r="H18" s="37">
        <v>84</v>
      </c>
      <c r="I18" s="37">
        <v>9744</v>
      </c>
      <c r="J18" s="56">
        <v>56</v>
      </c>
      <c r="K18" s="64" t="str">
        <f t="shared" si="0"/>
        <v>OK</v>
      </c>
      <c r="L18" s="39">
        <f t="shared" si="1"/>
        <v>2436</v>
      </c>
      <c r="M18" s="39">
        <f t="shared" si="2"/>
        <v>5869</v>
      </c>
      <c r="N18" s="92">
        <f t="shared" si="3"/>
        <v>1.5145806451612902</v>
      </c>
      <c r="O18" s="39">
        <f t="shared" si="4"/>
        <v>121</v>
      </c>
      <c r="P18" s="65">
        <f t="shared" si="5"/>
        <v>5.041666666666667</v>
      </c>
      <c r="Q18" s="66">
        <f t="shared" si="6"/>
        <v>48.504132231404959</v>
      </c>
      <c r="R18" s="39">
        <f t="shared" si="7"/>
        <v>1164.0991735537191</v>
      </c>
      <c r="S18" s="31">
        <f>D18*J18+Param!$B$1+Param!$B$2</f>
        <v>230</v>
      </c>
      <c r="T18" s="63">
        <f t="shared" si="8"/>
        <v>1.9008264462809918</v>
      </c>
      <c r="U18" s="158">
        <f t="shared" si="9"/>
        <v>45.619834710743802</v>
      </c>
      <c r="V18" s="132">
        <f t="shared" si="10"/>
        <v>92.19793729936481</v>
      </c>
      <c r="W18" s="132">
        <v>17</v>
      </c>
      <c r="X18" s="125"/>
      <c r="Y18" s="125"/>
      <c r="Z18" s="125"/>
      <c r="AB18" s="19"/>
      <c r="AC18" s="19"/>
      <c r="AD18" s="19"/>
      <c r="AF18" s="126"/>
      <c r="AG18" s="126"/>
      <c r="AH18" s="126"/>
      <c r="AJ18" s="15"/>
      <c r="AK18" s="15"/>
      <c r="AL18" s="15"/>
      <c r="AN18" s="126"/>
      <c r="AO18" s="126"/>
      <c r="AP18" s="126"/>
    </row>
    <row r="19" spans="1:44">
      <c r="A19" s="139" t="s">
        <v>60</v>
      </c>
      <c r="B19" s="36">
        <v>17</v>
      </c>
      <c r="C19" s="37">
        <v>4600</v>
      </c>
      <c r="D19" s="36">
        <v>3</v>
      </c>
      <c r="E19" s="36">
        <v>40</v>
      </c>
      <c r="F19" s="36">
        <v>16</v>
      </c>
      <c r="G19" s="36">
        <v>40</v>
      </c>
      <c r="H19" s="37">
        <v>97</v>
      </c>
      <c r="I19" s="37">
        <v>11640</v>
      </c>
      <c r="J19" s="56">
        <v>50</v>
      </c>
      <c r="K19" s="64" t="str">
        <f t="shared" si="0"/>
        <v>OK</v>
      </c>
      <c r="L19" s="39">
        <f t="shared" si="1"/>
        <v>3880</v>
      </c>
      <c r="M19" s="39">
        <f t="shared" si="2"/>
        <v>7040</v>
      </c>
      <c r="N19" s="92">
        <f t="shared" si="3"/>
        <v>1.5304347826086957</v>
      </c>
      <c r="O19" s="39">
        <f t="shared" si="4"/>
        <v>72</v>
      </c>
      <c r="P19" s="65">
        <f t="shared" si="5"/>
        <v>3</v>
      </c>
      <c r="Q19" s="66">
        <f t="shared" si="6"/>
        <v>97.777777777777771</v>
      </c>
      <c r="R19" s="39">
        <f t="shared" si="7"/>
        <v>2346.6666666666665</v>
      </c>
      <c r="S19" s="31">
        <f>D19*J19+Param!$B$1+Param!$B$2</f>
        <v>156</v>
      </c>
      <c r="T19" s="63">
        <f t="shared" si="8"/>
        <v>2.1666666666666665</v>
      </c>
      <c r="U19" s="158">
        <f t="shared" si="9"/>
        <v>52</v>
      </c>
      <c r="V19" s="132">
        <f t="shared" si="10"/>
        <v>211.85185185185182</v>
      </c>
      <c r="W19" s="132">
        <v>18</v>
      </c>
      <c r="X19" s="125"/>
      <c r="Y19" s="125"/>
      <c r="Z19" s="125"/>
      <c r="AB19" s="19"/>
      <c r="AC19" s="19"/>
      <c r="AD19" s="19"/>
      <c r="AF19" s="126"/>
      <c r="AG19" s="126"/>
      <c r="AH19" s="126"/>
      <c r="AJ19" s="15"/>
      <c r="AK19" s="15"/>
      <c r="AL19" s="15"/>
      <c r="AN19" s="126"/>
      <c r="AO19" s="126"/>
      <c r="AP19" s="126"/>
    </row>
    <row r="20" spans="1:44">
      <c r="A20" s="139" t="s">
        <v>203</v>
      </c>
      <c r="B20" s="36">
        <v>18</v>
      </c>
      <c r="C20" s="37">
        <v>4600</v>
      </c>
      <c r="D20" s="36">
        <v>3</v>
      </c>
      <c r="E20" s="36">
        <v>40</v>
      </c>
      <c r="F20" s="36">
        <v>16</v>
      </c>
      <c r="G20" s="36">
        <v>40</v>
      </c>
      <c r="H20" s="37">
        <v>97</v>
      </c>
      <c r="I20" s="37">
        <v>11640</v>
      </c>
      <c r="J20" s="56">
        <v>50</v>
      </c>
      <c r="K20" s="64" t="str">
        <f t="shared" si="0"/>
        <v>OK</v>
      </c>
      <c r="L20" s="39">
        <f t="shared" si="1"/>
        <v>3880</v>
      </c>
      <c r="M20" s="39">
        <f t="shared" si="2"/>
        <v>7040</v>
      </c>
      <c r="N20" s="92">
        <f t="shared" si="3"/>
        <v>1.5304347826086957</v>
      </c>
      <c r="O20" s="39">
        <f t="shared" si="4"/>
        <v>72</v>
      </c>
      <c r="P20" s="65">
        <f t="shared" si="5"/>
        <v>3</v>
      </c>
      <c r="Q20" s="66">
        <f t="shared" si="6"/>
        <v>97.777777777777771</v>
      </c>
      <c r="R20" s="39">
        <f t="shared" si="7"/>
        <v>2346.6666666666665</v>
      </c>
      <c r="S20" s="31">
        <f>D20*J20+Param!$B$1+Param!$B$2</f>
        <v>156</v>
      </c>
      <c r="T20" s="63">
        <f>S20/O20</f>
        <v>2.1666666666666665</v>
      </c>
      <c r="U20" s="158">
        <f>T20*24</f>
        <v>52</v>
      </c>
      <c r="V20" s="132">
        <f>T20*Q20</f>
        <v>211.85185185185182</v>
      </c>
      <c r="W20" s="132">
        <v>18</v>
      </c>
      <c r="X20" s="125"/>
      <c r="Y20" s="125"/>
      <c r="Z20" s="125"/>
      <c r="AB20" s="19"/>
      <c r="AC20" s="19"/>
      <c r="AD20" s="19"/>
      <c r="AF20" s="126"/>
      <c r="AG20" s="126"/>
      <c r="AH20" s="126"/>
      <c r="AJ20" s="15"/>
      <c r="AK20" s="15"/>
      <c r="AL20" s="15"/>
      <c r="AN20" s="126"/>
      <c r="AO20" s="126"/>
      <c r="AP20" s="126"/>
    </row>
    <row r="21" spans="1:44">
      <c r="A21" s="140" t="s">
        <v>239</v>
      </c>
      <c r="B21" s="44">
        <v>19</v>
      </c>
      <c r="C21" s="45">
        <v>15500</v>
      </c>
      <c r="D21" s="44">
        <v>3</v>
      </c>
      <c r="E21" s="44">
        <v>61</v>
      </c>
      <c r="F21" s="44">
        <v>27</v>
      </c>
      <c r="G21" s="44">
        <v>42</v>
      </c>
      <c r="H21" s="45">
        <v>98</v>
      </c>
      <c r="I21" s="45">
        <v>12348</v>
      </c>
      <c r="J21" s="58">
        <v>55</v>
      </c>
      <c r="K21" s="67" t="str">
        <f>IF(I21=D21*G21*H21,"OK","ERRO")</f>
        <v>OK</v>
      </c>
      <c r="L21" s="46">
        <f>I21/D21</f>
        <v>4116</v>
      </c>
      <c r="M21" s="46">
        <f>I21-C21</f>
        <v>-3152</v>
      </c>
      <c r="N21" s="92">
        <f>I21/C21-1</f>
        <v>-0.20335483870967741</v>
      </c>
      <c r="O21" s="46">
        <f>E21+F21*(D21-1)</f>
        <v>115</v>
      </c>
      <c r="P21" s="68">
        <f>O21/24</f>
        <v>4.791666666666667</v>
      </c>
      <c r="Q21" s="69">
        <f>M21/(E21+F21*(D21-1))</f>
        <v>-27.408695652173915</v>
      </c>
      <c r="R21" s="46">
        <f>Q21*24</f>
        <v>-657.80869565217392</v>
      </c>
      <c r="S21" s="31">
        <f>D21*J21+Param!$B$1+Param!$B$2</f>
        <v>171</v>
      </c>
      <c r="T21" s="63">
        <f>S21/O21</f>
        <v>1.4869565217391305</v>
      </c>
      <c r="U21" s="159">
        <f>T21*24</f>
        <v>35.686956521739134</v>
      </c>
      <c r="V21" s="133">
        <f>T21*Q21</f>
        <v>-40.755538752362952</v>
      </c>
      <c r="W21" s="133">
        <v>32</v>
      </c>
      <c r="X21" s="125"/>
      <c r="Y21" s="125"/>
      <c r="Z21" s="125"/>
      <c r="AB21" s="19"/>
      <c r="AC21" s="19"/>
      <c r="AD21" s="19"/>
      <c r="AF21" s="126"/>
      <c r="AG21" s="126"/>
      <c r="AH21" s="126"/>
      <c r="AJ21" s="15"/>
      <c r="AK21" s="15"/>
      <c r="AL21" s="15"/>
      <c r="AN21" s="126"/>
      <c r="AO21" s="126"/>
      <c r="AP21" s="126"/>
    </row>
    <row r="22" spans="1:44">
      <c r="A22" s="139" t="s">
        <v>238</v>
      </c>
      <c r="B22" s="36">
        <v>19</v>
      </c>
      <c r="C22" s="37">
        <v>2300</v>
      </c>
      <c r="D22" s="36">
        <v>3</v>
      </c>
      <c r="E22" s="36">
        <v>61</v>
      </c>
      <c r="F22" s="36">
        <v>27</v>
      </c>
      <c r="G22" s="36">
        <v>42</v>
      </c>
      <c r="H22" s="37">
        <v>98</v>
      </c>
      <c r="I22" s="37">
        <v>12348</v>
      </c>
      <c r="J22" s="56">
        <v>55</v>
      </c>
      <c r="K22" s="64" t="str">
        <f t="shared" ref="K22" si="11">IF(I22=D22*G22*H22,"OK","ERRO")</f>
        <v>OK</v>
      </c>
      <c r="L22" s="39">
        <f t="shared" ref="L22" si="12">I22/D22</f>
        <v>4116</v>
      </c>
      <c r="M22" s="39">
        <f t="shared" ref="M22" si="13">I22-C22</f>
        <v>10048</v>
      </c>
      <c r="N22" s="92">
        <f t="shared" ref="N22" si="14">I22/C22-1</f>
        <v>4.3686956521739129</v>
      </c>
      <c r="O22" s="39">
        <f t="shared" ref="O22" si="15">E22+F22*(D22-1)</f>
        <v>115</v>
      </c>
      <c r="P22" s="65">
        <f t="shared" ref="P22" si="16">O22/24</f>
        <v>4.791666666666667</v>
      </c>
      <c r="Q22" s="66">
        <f t="shared" ref="Q22" si="17">M22/(E22+F22*(D22-1))</f>
        <v>87.373913043478254</v>
      </c>
      <c r="R22" s="39">
        <f t="shared" ref="R22" si="18">Q22*24</f>
        <v>2096.9739130434782</v>
      </c>
      <c r="S22" s="31">
        <f>D22*J22+Param!$B$1+Param!$B$2</f>
        <v>171</v>
      </c>
      <c r="T22" s="63">
        <f t="shared" ref="T22" si="19">S22/O22</f>
        <v>1.4869565217391305</v>
      </c>
      <c r="U22" s="158">
        <f t="shared" ref="U22" si="20">T22*24</f>
        <v>35.686956521739134</v>
      </c>
      <c r="V22" s="132">
        <f t="shared" ref="V22" si="21">T22*Q22</f>
        <v>129.92120982986768</v>
      </c>
      <c r="W22" s="133">
        <v>31</v>
      </c>
      <c r="X22" s="125"/>
      <c r="Y22" s="125"/>
      <c r="Z22" s="125"/>
      <c r="AB22" s="19"/>
      <c r="AC22" s="19"/>
      <c r="AD22" s="19"/>
      <c r="AF22" s="126"/>
      <c r="AG22" s="126"/>
      <c r="AH22" s="126"/>
      <c r="AJ22" s="15"/>
      <c r="AK22" s="15"/>
      <c r="AL22" s="15"/>
      <c r="AN22" s="126"/>
      <c r="AO22" s="126"/>
      <c r="AP22" s="126"/>
    </row>
    <row r="23" spans="1:44">
      <c r="A23" s="139" t="s">
        <v>61</v>
      </c>
      <c r="B23" s="36">
        <v>19</v>
      </c>
      <c r="C23" s="37">
        <v>4750</v>
      </c>
      <c r="D23" s="36">
        <v>3</v>
      </c>
      <c r="E23" s="36">
        <v>61</v>
      </c>
      <c r="F23" s="36">
        <v>27</v>
      </c>
      <c r="G23" s="36">
        <v>42</v>
      </c>
      <c r="H23" s="37">
        <v>98</v>
      </c>
      <c r="I23" s="37">
        <v>12348</v>
      </c>
      <c r="J23" s="56">
        <v>55</v>
      </c>
      <c r="K23" s="64" t="str">
        <f t="shared" si="0"/>
        <v>OK</v>
      </c>
      <c r="L23" s="39">
        <f t="shared" si="1"/>
        <v>4116</v>
      </c>
      <c r="M23" s="39">
        <f t="shared" si="2"/>
        <v>7598</v>
      </c>
      <c r="N23" s="92">
        <f t="shared" si="3"/>
        <v>1.5995789473684212</v>
      </c>
      <c r="O23" s="39">
        <f t="shared" si="4"/>
        <v>115</v>
      </c>
      <c r="P23" s="65">
        <f t="shared" si="5"/>
        <v>4.791666666666667</v>
      </c>
      <c r="Q23" s="66">
        <f t="shared" si="6"/>
        <v>66.0695652173913</v>
      </c>
      <c r="R23" s="39">
        <f t="shared" si="7"/>
        <v>1585.6695652173912</v>
      </c>
      <c r="S23" s="31">
        <f>D23*J23+Param!$B$1+Param!$B$2</f>
        <v>171</v>
      </c>
      <c r="T23" s="63">
        <f t="shared" si="8"/>
        <v>1.4869565217391305</v>
      </c>
      <c r="U23" s="158">
        <f t="shared" si="9"/>
        <v>35.686956521739134</v>
      </c>
      <c r="V23" s="132">
        <f t="shared" si="10"/>
        <v>98.242570888468805</v>
      </c>
      <c r="W23" s="132">
        <v>19</v>
      </c>
      <c r="X23" s="125"/>
      <c r="Y23" s="125"/>
      <c r="Z23" s="125"/>
      <c r="AB23" s="19"/>
      <c r="AC23" s="19"/>
      <c r="AD23" s="19"/>
      <c r="AF23" s="126"/>
      <c r="AG23" s="126"/>
      <c r="AH23" s="126"/>
      <c r="AJ23" s="15"/>
      <c r="AK23" s="15"/>
      <c r="AL23" s="15"/>
      <c r="AN23" s="126"/>
      <c r="AO23" s="126"/>
      <c r="AP23" s="126"/>
    </row>
    <row r="24" spans="1:44">
      <c r="A24" s="139" t="s">
        <v>240</v>
      </c>
      <c r="B24" s="36">
        <v>19</v>
      </c>
      <c r="C24" s="37">
        <v>4750</v>
      </c>
      <c r="D24" s="36">
        <v>3</v>
      </c>
      <c r="E24" s="36">
        <v>40</v>
      </c>
      <c r="F24" s="36">
        <v>16</v>
      </c>
      <c r="G24" s="36">
        <v>42</v>
      </c>
      <c r="H24" s="37">
        <v>98</v>
      </c>
      <c r="I24" s="37">
        <v>12348</v>
      </c>
      <c r="J24" s="56">
        <v>55</v>
      </c>
      <c r="K24" s="64" t="str">
        <f t="shared" ref="K24" si="22">IF(I24=D24*G24*H24,"OK","ERRO")</f>
        <v>OK</v>
      </c>
      <c r="L24" s="39">
        <f t="shared" ref="L24" si="23">I24/D24</f>
        <v>4116</v>
      </c>
      <c r="M24" s="39">
        <f t="shared" ref="M24" si="24">I24-C24</f>
        <v>7598</v>
      </c>
      <c r="N24" s="92">
        <f t="shared" ref="N24" si="25">I24/C24-1</f>
        <v>1.5995789473684212</v>
      </c>
      <c r="O24" s="39">
        <f t="shared" ref="O24" si="26">E24+F24*(D24-1)</f>
        <v>72</v>
      </c>
      <c r="P24" s="65">
        <f t="shared" ref="P24" si="27">O24/24</f>
        <v>3</v>
      </c>
      <c r="Q24" s="66">
        <f t="shared" ref="Q24" si="28">M24/(E24+F24*(D24-1))</f>
        <v>105.52777777777777</v>
      </c>
      <c r="R24" s="39">
        <f t="shared" ref="R24" si="29">Q24*24</f>
        <v>2532.6666666666665</v>
      </c>
      <c r="S24" s="31">
        <f>D24*J24+Param!$B$1+Param!$B$2</f>
        <v>171</v>
      </c>
      <c r="T24" s="63">
        <f t="shared" ref="T24" si="30">S24/O24</f>
        <v>2.375</v>
      </c>
      <c r="U24" s="158">
        <f t="shared" ref="U24" si="31">T24*24</f>
        <v>57</v>
      </c>
      <c r="V24" s="132">
        <f t="shared" ref="V24" si="32">T24*Q24</f>
        <v>250.6284722222222</v>
      </c>
      <c r="W24" s="132">
        <v>19</v>
      </c>
      <c r="X24" s="125"/>
      <c r="Y24" s="125"/>
      <c r="Z24" s="125"/>
      <c r="AB24" s="19"/>
      <c r="AC24" s="19"/>
      <c r="AD24" s="19"/>
      <c r="AF24" s="126"/>
      <c r="AG24" s="126"/>
      <c r="AH24" s="126"/>
      <c r="AJ24" s="15"/>
      <c r="AK24" s="15"/>
      <c r="AL24" s="15"/>
      <c r="AN24" s="126"/>
      <c r="AO24" s="126"/>
      <c r="AP24" s="126"/>
    </row>
    <row r="25" spans="1:44">
      <c r="A25" s="139" t="s">
        <v>241</v>
      </c>
      <c r="B25" s="36">
        <v>21</v>
      </c>
      <c r="C25" s="37">
        <v>6850</v>
      </c>
      <c r="D25" s="36">
        <v>3</v>
      </c>
      <c r="E25" s="36">
        <v>40</v>
      </c>
      <c r="F25" s="36">
        <v>16</v>
      </c>
      <c r="G25" s="36">
        <v>44</v>
      </c>
      <c r="H25" s="37">
        <v>99</v>
      </c>
      <c r="I25" s="37">
        <v>13068</v>
      </c>
      <c r="J25" s="56">
        <v>60</v>
      </c>
      <c r="K25" s="64" t="str">
        <f t="shared" ref="K25" si="33">IF(I25=D25*G25*H25,"OK","ERRO")</f>
        <v>OK</v>
      </c>
      <c r="L25" s="39">
        <f t="shared" ref="L25" si="34">I25/D25</f>
        <v>4356</v>
      </c>
      <c r="M25" s="39">
        <f t="shared" ref="M25" si="35">I25-C25</f>
        <v>6218</v>
      </c>
      <c r="N25" s="92">
        <f t="shared" ref="N25" si="36">I25/C25-1</f>
        <v>0.90773722627737219</v>
      </c>
      <c r="O25" s="39">
        <f t="shared" ref="O25" si="37">E25+F25*(D25-1)</f>
        <v>72</v>
      </c>
      <c r="P25" s="65">
        <f t="shared" ref="P25" si="38">O25/24</f>
        <v>3</v>
      </c>
      <c r="Q25" s="66">
        <f t="shared" ref="Q25" si="39">M25/(E25+F25*(D25-1))</f>
        <v>86.361111111111114</v>
      </c>
      <c r="R25" s="39">
        <f t="shared" ref="R25" si="40">Q25*24</f>
        <v>2072.666666666667</v>
      </c>
      <c r="S25" s="31">
        <f>D25*J25+Param!$B$1+Param!$B$2</f>
        <v>186</v>
      </c>
      <c r="T25" s="63">
        <f t="shared" ref="T25" si="41">S25/O25</f>
        <v>2.5833333333333335</v>
      </c>
      <c r="U25" s="158">
        <f t="shared" ref="U25" si="42">T25*24</f>
        <v>62</v>
      </c>
      <c r="V25" s="132">
        <f t="shared" ref="V25" si="43">T25*Q25</f>
        <v>223.09953703703707</v>
      </c>
      <c r="W25" s="132">
        <v>24</v>
      </c>
      <c r="X25" s="125"/>
      <c r="Y25" s="125"/>
      <c r="Z25" s="125"/>
      <c r="AB25" s="19"/>
      <c r="AC25" s="19"/>
      <c r="AD25" s="19"/>
      <c r="AF25" s="126"/>
      <c r="AG25" s="126"/>
      <c r="AH25" s="126"/>
      <c r="AJ25" s="15"/>
      <c r="AK25" s="15"/>
      <c r="AL25" s="15"/>
      <c r="AN25" s="126"/>
      <c r="AO25" s="126"/>
      <c r="AP25" s="126"/>
    </row>
    <row r="26" spans="1:44">
      <c r="A26" s="139" t="s">
        <v>242</v>
      </c>
      <c r="B26" s="36">
        <v>22</v>
      </c>
      <c r="C26" s="37">
        <v>4600</v>
      </c>
      <c r="D26" s="36">
        <v>3</v>
      </c>
      <c r="E26" s="36">
        <v>44</v>
      </c>
      <c r="F26" s="36">
        <v>16</v>
      </c>
      <c r="G26" s="36">
        <v>35</v>
      </c>
      <c r="H26" s="37">
        <v>130</v>
      </c>
      <c r="I26" s="37">
        <v>13650</v>
      </c>
      <c r="J26" s="56">
        <v>65</v>
      </c>
      <c r="K26" s="64" t="str">
        <f t="shared" ref="K26" si="44">IF(I26=D26*G26*H26,"OK","ERRO")</f>
        <v>OK</v>
      </c>
      <c r="L26" s="39">
        <f t="shared" ref="L26" si="45">I26/D26</f>
        <v>4550</v>
      </c>
      <c r="M26" s="39">
        <f t="shared" ref="M26" si="46">I26-C26</f>
        <v>9050</v>
      </c>
      <c r="N26" s="92">
        <f t="shared" ref="N26" si="47">I26/C26-1</f>
        <v>1.9673913043478262</v>
      </c>
      <c r="O26" s="39">
        <f t="shared" ref="O26" si="48">E26+F26*(D26-1)</f>
        <v>76</v>
      </c>
      <c r="P26" s="65">
        <f t="shared" ref="P26" si="49">O26/24</f>
        <v>3.1666666666666665</v>
      </c>
      <c r="Q26" s="66">
        <f t="shared" ref="Q26" si="50">M26/(E26+F26*(D26-1))</f>
        <v>119.07894736842105</v>
      </c>
      <c r="R26" s="39">
        <f t="shared" ref="R26" si="51">Q26*24</f>
        <v>2857.8947368421054</v>
      </c>
      <c r="S26" s="31">
        <f>D26*J26+Param!$B$1+Param!$B$2</f>
        <v>201</v>
      </c>
      <c r="T26" s="63">
        <f>S26/O26</f>
        <v>2.6447368421052633</v>
      </c>
      <c r="U26" s="158">
        <f>T26*24</f>
        <v>63.473684210526315</v>
      </c>
      <c r="V26" s="132">
        <f>T26*Q26</f>
        <v>314.93247922437678</v>
      </c>
      <c r="W26" s="132">
        <v>18</v>
      </c>
      <c r="X26" s="125"/>
      <c r="Y26" s="125"/>
      <c r="Z26" s="125"/>
      <c r="AB26" s="19"/>
      <c r="AC26" s="19"/>
      <c r="AD26" s="19"/>
      <c r="AF26" s="126"/>
      <c r="AG26" s="126"/>
      <c r="AH26" s="126"/>
      <c r="AJ26" s="15"/>
      <c r="AK26" s="15"/>
      <c r="AL26" s="15"/>
      <c r="AN26" s="126"/>
      <c r="AO26" s="126"/>
      <c r="AP26" s="126"/>
    </row>
    <row r="27" spans="1:44">
      <c r="A27" s="139" t="s">
        <v>62</v>
      </c>
      <c r="B27" s="36">
        <v>23</v>
      </c>
      <c r="C27" s="37">
        <v>5050</v>
      </c>
      <c r="D27" s="36">
        <v>3</v>
      </c>
      <c r="E27" s="36">
        <v>40</v>
      </c>
      <c r="F27" s="36">
        <v>16</v>
      </c>
      <c r="G27" s="36">
        <v>46</v>
      </c>
      <c r="H27" s="37">
        <v>100</v>
      </c>
      <c r="I27" s="37">
        <v>13800</v>
      </c>
      <c r="J27" s="56">
        <v>65</v>
      </c>
      <c r="K27" s="64" t="str">
        <f t="shared" si="0"/>
        <v>OK</v>
      </c>
      <c r="L27" s="39">
        <f t="shared" si="1"/>
        <v>4600</v>
      </c>
      <c r="M27" s="39">
        <f t="shared" si="2"/>
        <v>8750</v>
      </c>
      <c r="N27" s="92">
        <f t="shared" si="3"/>
        <v>1.7326732673267329</v>
      </c>
      <c r="O27" s="39">
        <f t="shared" si="4"/>
        <v>72</v>
      </c>
      <c r="P27" s="65">
        <f t="shared" si="5"/>
        <v>3</v>
      </c>
      <c r="Q27" s="66">
        <f t="shared" si="6"/>
        <v>121.52777777777777</v>
      </c>
      <c r="R27" s="39">
        <f t="shared" si="7"/>
        <v>2916.6666666666665</v>
      </c>
      <c r="S27" s="31">
        <f>D27*J27+Param!$B$1+Param!$B$2</f>
        <v>201</v>
      </c>
      <c r="T27" s="63">
        <f t="shared" si="8"/>
        <v>2.7916666666666665</v>
      </c>
      <c r="U27" s="158">
        <f t="shared" si="9"/>
        <v>67</v>
      </c>
      <c r="V27" s="132">
        <f t="shared" si="10"/>
        <v>339.26504629629625</v>
      </c>
      <c r="W27" s="132">
        <v>20</v>
      </c>
      <c r="X27" s="125"/>
      <c r="Y27" s="125"/>
      <c r="Z27" s="125"/>
      <c r="AB27" s="19"/>
      <c r="AC27" s="19"/>
      <c r="AD27" s="19"/>
      <c r="AF27" s="126"/>
      <c r="AG27" s="126"/>
      <c r="AH27" s="126"/>
      <c r="AJ27" s="15"/>
      <c r="AK27" s="15"/>
      <c r="AL27" s="15"/>
      <c r="AN27" s="126"/>
      <c r="AO27" s="126"/>
      <c r="AP27" s="126"/>
    </row>
    <row r="28" spans="1:44">
      <c r="A28" s="139" t="s">
        <v>63</v>
      </c>
      <c r="B28" s="36">
        <v>26</v>
      </c>
      <c r="C28" s="37">
        <v>5200</v>
      </c>
      <c r="D28" s="36">
        <v>3</v>
      </c>
      <c r="E28" s="36">
        <v>56</v>
      </c>
      <c r="F28" s="36">
        <v>22</v>
      </c>
      <c r="G28" s="36">
        <v>48</v>
      </c>
      <c r="H28" s="37">
        <v>101</v>
      </c>
      <c r="I28" s="37">
        <v>14544</v>
      </c>
      <c r="J28" s="56">
        <v>70</v>
      </c>
      <c r="K28" s="64" t="str">
        <f t="shared" si="0"/>
        <v>OK</v>
      </c>
      <c r="L28" s="39">
        <f t="shared" si="1"/>
        <v>4848</v>
      </c>
      <c r="M28" s="39">
        <f t="shared" si="2"/>
        <v>9344</v>
      </c>
      <c r="N28" s="92">
        <f t="shared" si="3"/>
        <v>1.7969230769230768</v>
      </c>
      <c r="O28" s="39">
        <f t="shared" si="4"/>
        <v>100</v>
      </c>
      <c r="P28" s="65">
        <f t="shared" si="5"/>
        <v>4.166666666666667</v>
      </c>
      <c r="Q28" s="66">
        <f t="shared" si="6"/>
        <v>93.44</v>
      </c>
      <c r="R28" s="39">
        <f t="shared" si="7"/>
        <v>2242.56</v>
      </c>
      <c r="S28" s="31">
        <f>D28*J28+Param!$B$1+Param!$B$2</f>
        <v>216</v>
      </c>
      <c r="T28" s="63">
        <f t="shared" si="8"/>
        <v>2.16</v>
      </c>
      <c r="U28" s="158">
        <f t="shared" si="9"/>
        <v>51.84</v>
      </c>
      <c r="V28" s="132">
        <f t="shared" si="10"/>
        <v>201.8304</v>
      </c>
      <c r="W28" s="132">
        <v>21</v>
      </c>
      <c r="X28" s="125"/>
      <c r="Y28" s="125"/>
      <c r="Z28" s="125"/>
      <c r="AB28" s="19"/>
      <c r="AC28" s="19"/>
      <c r="AD28" s="19"/>
      <c r="AF28" s="126"/>
      <c r="AG28" s="126"/>
      <c r="AH28" s="126"/>
      <c r="AJ28" s="15"/>
      <c r="AK28" s="15"/>
      <c r="AL28" s="15"/>
      <c r="AN28" s="126"/>
      <c r="AO28" s="126"/>
      <c r="AP28" s="126"/>
    </row>
    <row r="29" spans="1:44">
      <c r="A29" s="139" t="s">
        <v>64</v>
      </c>
      <c r="B29" s="36">
        <v>28</v>
      </c>
      <c r="C29" s="37">
        <v>5500</v>
      </c>
      <c r="D29" s="36">
        <v>3</v>
      </c>
      <c r="E29" s="36">
        <v>40</v>
      </c>
      <c r="F29" s="36">
        <v>16</v>
      </c>
      <c r="G29" s="36">
        <v>52</v>
      </c>
      <c r="H29" s="37">
        <v>103</v>
      </c>
      <c r="I29" s="37">
        <v>16068</v>
      </c>
      <c r="J29" s="56">
        <v>80</v>
      </c>
      <c r="K29" s="64" t="str">
        <f t="shared" si="0"/>
        <v>OK</v>
      </c>
      <c r="L29" s="39">
        <f t="shared" si="1"/>
        <v>5356</v>
      </c>
      <c r="M29" s="39">
        <f t="shared" si="2"/>
        <v>10568</v>
      </c>
      <c r="N29" s="92">
        <f t="shared" si="3"/>
        <v>1.9214545454545453</v>
      </c>
      <c r="O29" s="39">
        <f t="shared" si="4"/>
        <v>72</v>
      </c>
      <c r="P29" s="65">
        <f t="shared" si="5"/>
        <v>3</v>
      </c>
      <c r="Q29" s="66">
        <f t="shared" si="6"/>
        <v>146.77777777777777</v>
      </c>
      <c r="R29" s="39">
        <f t="shared" si="7"/>
        <v>3522.6666666666665</v>
      </c>
      <c r="S29" s="31">
        <f>D29*J29+Param!$B$1+Param!$B$2</f>
        <v>246</v>
      </c>
      <c r="T29" s="63">
        <f t="shared" si="8"/>
        <v>3.4166666666666665</v>
      </c>
      <c r="U29" s="158">
        <f t="shared" si="9"/>
        <v>82</v>
      </c>
      <c r="V29" s="132">
        <f t="shared" si="10"/>
        <v>501.4907407407407</v>
      </c>
      <c r="W29" s="132">
        <v>22</v>
      </c>
      <c r="X29" s="125"/>
      <c r="Y29" s="125"/>
      <c r="Z29" s="125"/>
      <c r="AB29" s="19"/>
      <c r="AC29" s="19"/>
      <c r="AD29" s="19"/>
      <c r="AF29" s="126"/>
      <c r="AG29" s="126"/>
      <c r="AH29" s="126"/>
      <c r="AJ29" s="15"/>
      <c r="AK29" s="15"/>
      <c r="AL29" s="15"/>
      <c r="AN29" s="126"/>
      <c r="AO29" s="126"/>
      <c r="AP29" s="126"/>
    </row>
    <row r="30" spans="1:44">
      <c r="A30" s="139" t="s">
        <v>65</v>
      </c>
      <c r="B30" s="36">
        <v>31</v>
      </c>
      <c r="C30" s="37">
        <v>6180</v>
      </c>
      <c r="D30" s="36">
        <v>4</v>
      </c>
      <c r="E30" s="36">
        <v>50</v>
      </c>
      <c r="F30" s="36">
        <v>18</v>
      </c>
      <c r="G30" s="36">
        <v>46</v>
      </c>
      <c r="H30" s="37">
        <v>138</v>
      </c>
      <c r="I30" s="37">
        <v>25392</v>
      </c>
      <c r="J30" s="56">
        <v>60</v>
      </c>
      <c r="K30" s="64" t="str">
        <f t="shared" si="0"/>
        <v>OK</v>
      </c>
      <c r="L30" s="39">
        <f t="shared" si="1"/>
        <v>6348</v>
      </c>
      <c r="M30" s="39">
        <f t="shared" si="2"/>
        <v>19212</v>
      </c>
      <c r="N30" s="92">
        <f t="shared" si="3"/>
        <v>3.1087378640776695</v>
      </c>
      <c r="O30" s="39">
        <f t="shared" si="4"/>
        <v>104</v>
      </c>
      <c r="P30" s="65">
        <f t="shared" si="5"/>
        <v>4.333333333333333</v>
      </c>
      <c r="Q30" s="66">
        <f t="shared" si="6"/>
        <v>184.73076923076923</v>
      </c>
      <c r="R30" s="39">
        <f t="shared" si="7"/>
        <v>4433.538461538461</v>
      </c>
      <c r="S30" s="31">
        <f>D30*J30+Param!$B$1+Param!$B$2</f>
        <v>246</v>
      </c>
      <c r="T30" s="63">
        <f t="shared" si="8"/>
        <v>2.3653846153846154</v>
      </c>
      <c r="U30" s="158">
        <f t="shared" si="9"/>
        <v>56.769230769230774</v>
      </c>
      <c r="V30" s="132">
        <f t="shared" si="10"/>
        <v>436.95931952662721</v>
      </c>
      <c r="W30" s="132">
        <v>23</v>
      </c>
      <c r="X30" s="125"/>
      <c r="Y30" s="125"/>
      <c r="Z30" s="125"/>
      <c r="AB30" s="19"/>
      <c r="AC30" s="19"/>
      <c r="AD30" s="19"/>
      <c r="AF30" s="126"/>
      <c r="AG30" s="126"/>
      <c r="AH30" s="126"/>
      <c r="AJ30" s="15"/>
      <c r="AK30" s="15"/>
      <c r="AL30" s="15"/>
      <c r="AN30" s="126"/>
      <c r="AO30" s="126"/>
      <c r="AP30" s="126"/>
      <c r="AR30" s="16"/>
    </row>
    <row r="31" spans="1:44">
      <c r="A31" s="139" t="s">
        <v>28</v>
      </c>
      <c r="B31" s="36">
        <v>36</v>
      </c>
      <c r="C31" s="37">
        <v>6850</v>
      </c>
      <c r="D31" s="36">
        <v>4</v>
      </c>
      <c r="E31" s="36">
        <v>45</v>
      </c>
      <c r="F31" s="36">
        <v>18</v>
      </c>
      <c r="G31" s="36">
        <v>46</v>
      </c>
      <c r="H31" s="37">
        <v>169</v>
      </c>
      <c r="I31" s="37">
        <v>31096</v>
      </c>
      <c r="J31" s="56">
        <v>60</v>
      </c>
      <c r="K31" s="64" t="str">
        <f t="shared" si="0"/>
        <v>OK</v>
      </c>
      <c r="L31" s="39">
        <f t="shared" si="1"/>
        <v>7774</v>
      </c>
      <c r="M31" s="39">
        <f t="shared" si="2"/>
        <v>24246</v>
      </c>
      <c r="N31" s="92">
        <f t="shared" si="3"/>
        <v>3.5395620437956206</v>
      </c>
      <c r="O31" s="39">
        <f t="shared" si="4"/>
        <v>99</v>
      </c>
      <c r="P31" s="65">
        <f t="shared" si="5"/>
        <v>4.125</v>
      </c>
      <c r="Q31" s="66">
        <f t="shared" si="6"/>
        <v>244.90909090909091</v>
      </c>
      <c r="R31" s="39">
        <f t="shared" si="7"/>
        <v>5877.818181818182</v>
      </c>
      <c r="S31" s="31">
        <f>D31*J31+Param!$B$1+Param!$B$2</f>
        <v>246</v>
      </c>
      <c r="T31" s="63">
        <f t="shared" si="8"/>
        <v>2.4848484848484849</v>
      </c>
      <c r="U31" s="158">
        <f t="shared" si="9"/>
        <v>59.63636363636364</v>
      </c>
      <c r="V31" s="132">
        <f t="shared" si="10"/>
        <v>608.56198347107443</v>
      </c>
      <c r="W31" s="132">
        <v>24</v>
      </c>
      <c r="X31" s="125"/>
      <c r="Y31" s="125"/>
      <c r="Z31" s="125"/>
      <c r="AB31" s="19"/>
      <c r="AC31" s="19"/>
      <c r="AD31" s="19"/>
      <c r="AF31" s="126"/>
      <c r="AG31" s="126"/>
      <c r="AH31" s="126"/>
      <c r="AJ31" s="15"/>
      <c r="AK31" s="15"/>
      <c r="AL31" s="15"/>
      <c r="AN31" s="126"/>
      <c r="AO31" s="126"/>
      <c r="AP31" s="126"/>
    </row>
    <row r="32" spans="1:44">
      <c r="A32" s="139" t="s">
        <v>66</v>
      </c>
      <c r="B32" s="36">
        <v>40</v>
      </c>
      <c r="C32" s="37">
        <v>8500</v>
      </c>
      <c r="D32" s="36">
        <v>4</v>
      </c>
      <c r="E32" s="36">
        <v>86</v>
      </c>
      <c r="F32" s="36">
        <v>51</v>
      </c>
      <c r="G32" s="36">
        <v>78</v>
      </c>
      <c r="H32" s="37">
        <v>255</v>
      </c>
      <c r="I32" s="37">
        <v>79560</v>
      </c>
      <c r="J32" s="56">
        <v>56</v>
      </c>
      <c r="K32" s="64" t="str">
        <f t="shared" si="0"/>
        <v>OK</v>
      </c>
      <c r="L32" s="39">
        <f t="shared" si="1"/>
        <v>19890</v>
      </c>
      <c r="M32" s="39">
        <f t="shared" si="2"/>
        <v>71060</v>
      </c>
      <c r="N32" s="92">
        <f t="shared" si="3"/>
        <v>8.36</v>
      </c>
      <c r="O32" s="39">
        <f t="shared" si="4"/>
        <v>239</v>
      </c>
      <c r="P32" s="65">
        <f t="shared" si="5"/>
        <v>9.9583333333333339</v>
      </c>
      <c r="Q32" s="66">
        <f t="shared" si="6"/>
        <v>297.32217573221754</v>
      </c>
      <c r="R32" s="39">
        <f t="shared" si="7"/>
        <v>7135.7322175732206</v>
      </c>
      <c r="S32" s="31">
        <f>D32*J32+Param!$B$1+Param!$B$2</f>
        <v>230</v>
      </c>
      <c r="T32" s="63">
        <f t="shared" si="8"/>
        <v>0.96234309623430958</v>
      </c>
      <c r="U32" s="158">
        <f t="shared" si="9"/>
        <v>23.09623430962343</v>
      </c>
      <c r="V32" s="132">
        <f t="shared" si="10"/>
        <v>286.12594317326375</v>
      </c>
      <c r="W32" s="132">
        <v>25</v>
      </c>
      <c r="X32" s="125"/>
      <c r="Y32" s="125"/>
      <c r="Z32" s="125"/>
      <c r="AB32" s="19"/>
      <c r="AC32" s="19"/>
      <c r="AD32" s="19"/>
      <c r="AF32" s="126"/>
      <c r="AG32" s="126"/>
      <c r="AH32" s="126"/>
      <c r="AJ32" s="15"/>
      <c r="AK32" s="15"/>
      <c r="AL32" s="15"/>
      <c r="AN32" s="126"/>
      <c r="AO32" s="126"/>
      <c r="AP32" s="126"/>
    </row>
    <row r="33" spans="1:42">
      <c r="A33" s="139" t="s">
        <v>217</v>
      </c>
      <c r="B33" s="36">
        <v>50</v>
      </c>
      <c r="C33" s="37">
        <v>15000</v>
      </c>
      <c r="D33" s="36">
        <v>1</v>
      </c>
      <c r="E33" s="36">
        <v>70</v>
      </c>
      <c r="F33" s="36">
        <v>0</v>
      </c>
      <c r="G33" s="36">
        <v>20</v>
      </c>
      <c r="H33" s="37">
        <v>1700</v>
      </c>
      <c r="I33" s="37">
        <v>34000</v>
      </c>
      <c r="J33" s="56">
        <v>120</v>
      </c>
      <c r="K33" s="64" t="str">
        <f t="shared" si="0"/>
        <v>OK</v>
      </c>
      <c r="L33" s="39">
        <f t="shared" si="1"/>
        <v>34000</v>
      </c>
      <c r="M33" s="39">
        <f t="shared" si="2"/>
        <v>19000</v>
      </c>
      <c r="N33" s="92">
        <f t="shared" si="3"/>
        <v>1.2666666666666666</v>
      </c>
      <c r="O33" s="39">
        <f t="shared" si="4"/>
        <v>70</v>
      </c>
      <c r="P33" s="65">
        <f t="shared" si="5"/>
        <v>2.9166666666666665</v>
      </c>
      <c r="Q33" s="66">
        <f t="shared" si="6"/>
        <v>271.42857142857144</v>
      </c>
      <c r="R33" s="39">
        <f t="shared" si="7"/>
        <v>6514.2857142857147</v>
      </c>
      <c r="S33" s="31">
        <f>D33*J33+Param!$B$1+Param!$B$2</f>
        <v>126</v>
      </c>
      <c r="T33" s="63">
        <f>S33/O33</f>
        <v>1.8</v>
      </c>
      <c r="U33" s="158">
        <f>T33*24</f>
        <v>43.2</v>
      </c>
      <c r="V33" s="132">
        <f>T33*Q33</f>
        <v>488.57142857142861</v>
      </c>
      <c r="W33" s="132">
        <v>26</v>
      </c>
      <c r="X33" s="125"/>
      <c r="Y33" s="125"/>
      <c r="Z33" s="125"/>
      <c r="AB33" s="19"/>
      <c r="AC33" s="19"/>
      <c r="AD33" s="19"/>
      <c r="AF33" s="126"/>
      <c r="AG33" s="126"/>
      <c r="AH33" s="126"/>
      <c r="AJ33" s="15"/>
      <c r="AK33" s="15"/>
      <c r="AL33" s="15"/>
      <c r="AN33" s="126"/>
      <c r="AO33" s="126"/>
      <c r="AP33" s="126"/>
    </row>
    <row r="34" spans="1:42">
      <c r="A34" s="139" t="s">
        <v>235</v>
      </c>
      <c r="B34" s="36">
        <v>50</v>
      </c>
      <c r="C34" s="37">
        <v>15000</v>
      </c>
      <c r="D34" s="36">
        <v>4</v>
      </c>
      <c r="E34" s="36">
        <v>40</v>
      </c>
      <c r="F34" s="36">
        <v>16</v>
      </c>
      <c r="G34" s="36">
        <v>40</v>
      </c>
      <c r="H34" s="37">
        <v>280</v>
      </c>
      <c r="I34" s="37">
        <v>44800</v>
      </c>
      <c r="J34" s="56">
        <v>80</v>
      </c>
      <c r="K34" s="64" t="str">
        <f t="shared" si="0"/>
        <v>OK</v>
      </c>
      <c r="L34" s="39">
        <f t="shared" si="1"/>
        <v>11200</v>
      </c>
      <c r="M34" s="39">
        <f t="shared" si="2"/>
        <v>29800</v>
      </c>
      <c r="N34" s="92">
        <f t="shared" si="3"/>
        <v>1.9866666666666668</v>
      </c>
      <c r="O34" s="39">
        <f t="shared" si="4"/>
        <v>88</v>
      </c>
      <c r="P34" s="65">
        <f t="shared" si="5"/>
        <v>3.6666666666666665</v>
      </c>
      <c r="Q34" s="66">
        <f t="shared" si="6"/>
        <v>338.63636363636363</v>
      </c>
      <c r="R34" s="39">
        <f t="shared" si="7"/>
        <v>8127.272727272727</v>
      </c>
      <c r="S34" s="31">
        <f>D34*J34+Param!$B$1+Param!$B$2</f>
        <v>326</v>
      </c>
      <c r="T34" s="63">
        <f>S34/O34</f>
        <v>3.7045454545454546</v>
      </c>
      <c r="U34" s="158">
        <f>T34*24</f>
        <v>88.909090909090907</v>
      </c>
      <c r="V34" s="132">
        <f>T34*Q34</f>
        <v>1254.4938016528924</v>
      </c>
      <c r="W34" s="132">
        <v>27</v>
      </c>
      <c r="X34" s="125"/>
      <c r="Y34" s="125"/>
      <c r="Z34" s="125"/>
      <c r="AB34" s="19"/>
      <c r="AC34" s="19"/>
      <c r="AD34" s="19"/>
      <c r="AF34" s="126"/>
      <c r="AG34" s="126"/>
      <c r="AH34" s="126"/>
      <c r="AJ34" s="15"/>
      <c r="AK34" s="15"/>
      <c r="AL34" s="15"/>
      <c r="AN34" s="126"/>
      <c r="AO34" s="126"/>
      <c r="AP34" s="126"/>
    </row>
    <row r="35" spans="1:42">
      <c r="A35" s="139" t="s">
        <v>102</v>
      </c>
      <c r="B35" s="36">
        <v>0</v>
      </c>
      <c r="C35" s="37">
        <v>0</v>
      </c>
      <c r="D35" s="36">
        <v>1</v>
      </c>
      <c r="E35" s="36">
        <v>72</v>
      </c>
      <c r="F35" s="36">
        <v>0</v>
      </c>
      <c r="G35" s="36">
        <v>12</v>
      </c>
      <c r="H35" s="37">
        <v>500</v>
      </c>
      <c r="I35" s="37">
        <v>6000</v>
      </c>
      <c r="J35" s="56">
        <v>50</v>
      </c>
      <c r="K35" s="64" t="str">
        <f t="shared" si="0"/>
        <v>OK</v>
      </c>
      <c r="L35" s="39">
        <f t="shared" si="1"/>
        <v>6000</v>
      </c>
      <c r="M35" s="39">
        <f t="shared" si="2"/>
        <v>6000</v>
      </c>
      <c r="N35" s="92"/>
      <c r="O35" s="39">
        <f t="shared" si="4"/>
        <v>72</v>
      </c>
      <c r="P35" s="65">
        <f t="shared" si="5"/>
        <v>3</v>
      </c>
      <c r="Q35" s="66">
        <f t="shared" si="6"/>
        <v>83.333333333333329</v>
      </c>
      <c r="R35" s="39">
        <f t="shared" si="7"/>
        <v>2000</v>
      </c>
      <c r="S35" s="31">
        <f>D35*J35+Param!$B$1+Param!$B$2</f>
        <v>56</v>
      </c>
      <c r="T35" s="63">
        <f t="shared" si="8"/>
        <v>0.77777777777777779</v>
      </c>
      <c r="U35" s="158">
        <f t="shared" si="9"/>
        <v>18.666666666666668</v>
      </c>
      <c r="V35" s="132">
        <f t="shared" si="10"/>
        <v>64.81481481481481</v>
      </c>
      <c r="W35" s="132">
        <v>28</v>
      </c>
      <c r="X35" s="125"/>
      <c r="Y35" s="125"/>
      <c r="Z35" s="125"/>
      <c r="AB35" s="19"/>
      <c r="AC35" s="19"/>
      <c r="AD35" s="19"/>
      <c r="AF35" s="126"/>
      <c r="AG35" s="126"/>
      <c r="AH35" s="126"/>
      <c r="AJ35" s="15"/>
      <c r="AK35" s="15"/>
      <c r="AL35" s="15"/>
      <c r="AN35" s="126"/>
      <c r="AO35" s="126"/>
      <c r="AP35" s="126"/>
    </row>
    <row r="36" spans="1:42">
      <c r="A36" s="139" t="s">
        <v>20</v>
      </c>
      <c r="B36" s="36">
        <v>5</v>
      </c>
      <c r="C36" s="37">
        <v>300</v>
      </c>
      <c r="D36" s="36">
        <v>1</v>
      </c>
      <c r="E36" s="36">
        <v>18</v>
      </c>
      <c r="F36" s="36">
        <v>0</v>
      </c>
      <c r="G36" s="36">
        <v>47</v>
      </c>
      <c r="H36" s="37">
        <v>45</v>
      </c>
      <c r="I36" s="37">
        <v>2115</v>
      </c>
      <c r="J36" s="56">
        <v>75</v>
      </c>
      <c r="K36" s="64" t="str">
        <f t="shared" si="0"/>
        <v>OK</v>
      </c>
      <c r="L36" s="39">
        <f t="shared" si="1"/>
        <v>2115</v>
      </c>
      <c r="M36" s="39">
        <f t="shared" si="2"/>
        <v>1815</v>
      </c>
      <c r="N36" s="92">
        <f t="shared" si="3"/>
        <v>6.05</v>
      </c>
      <c r="O36" s="39">
        <f t="shared" si="4"/>
        <v>18</v>
      </c>
      <c r="P36" s="65">
        <f t="shared" si="5"/>
        <v>0.75</v>
      </c>
      <c r="Q36" s="66">
        <f t="shared" si="6"/>
        <v>100.83333333333333</v>
      </c>
      <c r="R36" s="39">
        <f t="shared" si="7"/>
        <v>2420</v>
      </c>
      <c r="S36" s="31">
        <f>D36*J36+Param!$B$1+Param!$B$2</f>
        <v>81</v>
      </c>
      <c r="T36" s="63">
        <f t="shared" si="8"/>
        <v>4.5</v>
      </c>
      <c r="U36" s="158">
        <f t="shared" si="9"/>
        <v>108</v>
      </c>
      <c r="V36" s="132">
        <f t="shared" si="10"/>
        <v>453.75</v>
      </c>
      <c r="W36" s="132">
        <v>29</v>
      </c>
      <c r="X36" s="125"/>
      <c r="Y36" s="125"/>
      <c r="Z36" s="125"/>
      <c r="AB36" s="19"/>
      <c r="AC36" s="19"/>
      <c r="AD36" s="19"/>
      <c r="AF36" s="126"/>
      <c r="AG36" s="126"/>
      <c r="AH36" s="126"/>
      <c r="AJ36" s="15"/>
      <c r="AK36" s="15"/>
      <c r="AL36" s="15"/>
      <c r="AN36" s="126"/>
      <c r="AO36" s="126"/>
      <c r="AP36" s="126"/>
    </row>
    <row r="37" spans="1:42">
      <c r="A37" s="139" t="s">
        <v>22</v>
      </c>
      <c r="B37" s="36">
        <v>15</v>
      </c>
      <c r="C37" s="37">
        <v>4300</v>
      </c>
      <c r="D37" s="36">
        <v>3</v>
      </c>
      <c r="E37" s="36">
        <v>40</v>
      </c>
      <c r="F37" s="36">
        <v>16</v>
      </c>
      <c r="G37" s="36">
        <v>50</v>
      </c>
      <c r="H37" s="37">
        <v>95</v>
      </c>
      <c r="I37" s="37">
        <v>14250</v>
      </c>
      <c r="J37" s="56">
        <v>75</v>
      </c>
      <c r="K37" s="64" t="str">
        <f t="shared" si="0"/>
        <v>OK</v>
      </c>
      <c r="L37" s="39">
        <f t="shared" si="1"/>
        <v>4750</v>
      </c>
      <c r="M37" s="39">
        <f t="shared" si="2"/>
        <v>9950</v>
      </c>
      <c r="N37" s="92">
        <f t="shared" si="3"/>
        <v>2.3139534883720931</v>
      </c>
      <c r="O37" s="39">
        <f t="shared" si="4"/>
        <v>72</v>
      </c>
      <c r="P37" s="65">
        <f t="shared" si="5"/>
        <v>3</v>
      </c>
      <c r="Q37" s="66">
        <f t="shared" si="6"/>
        <v>138.19444444444446</v>
      </c>
      <c r="R37" s="39">
        <f t="shared" si="7"/>
        <v>3316.666666666667</v>
      </c>
      <c r="S37" s="31">
        <f>D37*J37+Param!$B$1+Param!$B$2</f>
        <v>231</v>
      </c>
      <c r="T37" s="63">
        <f t="shared" si="8"/>
        <v>3.2083333333333335</v>
      </c>
      <c r="U37" s="158">
        <f t="shared" si="9"/>
        <v>77</v>
      </c>
      <c r="V37" s="132">
        <f t="shared" si="10"/>
        <v>443.37384259259267</v>
      </c>
      <c r="W37" s="132">
        <v>30</v>
      </c>
      <c r="X37" s="125"/>
      <c r="Y37" s="125"/>
      <c r="Z37" s="125"/>
      <c r="AB37" s="19"/>
      <c r="AC37" s="19"/>
      <c r="AD37" s="19"/>
      <c r="AF37" s="126"/>
      <c r="AG37" s="126"/>
      <c r="AH37" s="126"/>
      <c r="AJ37" s="15"/>
      <c r="AK37" s="15"/>
      <c r="AL37" s="15"/>
      <c r="AN37" s="126"/>
      <c r="AO37" s="126"/>
      <c r="AP37" s="126"/>
    </row>
    <row r="38" spans="1:42">
      <c r="A38" s="139" t="s">
        <v>19</v>
      </c>
      <c r="B38" s="36">
        <v>26</v>
      </c>
      <c r="C38" s="37">
        <v>2300</v>
      </c>
      <c r="D38" s="36">
        <v>1</v>
      </c>
      <c r="E38" s="36">
        <v>25</v>
      </c>
      <c r="F38" s="36">
        <v>0</v>
      </c>
      <c r="G38" s="36">
        <v>57</v>
      </c>
      <c r="H38" s="37">
        <v>125</v>
      </c>
      <c r="I38" s="37">
        <v>7125</v>
      </c>
      <c r="J38" s="56">
        <v>80</v>
      </c>
      <c r="K38" s="64" t="str">
        <f t="shared" ref="K38" si="52">IF(I38=D38*G38*H38,"OK","ERRO")</f>
        <v>OK</v>
      </c>
      <c r="L38" s="39">
        <f t="shared" ref="L38" si="53">I38/D38</f>
        <v>7125</v>
      </c>
      <c r="M38" s="39">
        <f t="shared" ref="M38" si="54">I38-C38</f>
        <v>4825</v>
      </c>
      <c r="N38" s="92">
        <f t="shared" ref="N38" si="55">I38/C38-1</f>
        <v>2.097826086956522</v>
      </c>
      <c r="O38" s="39">
        <f t="shared" ref="O38" si="56">E38+F38*(D38-1)</f>
        <v>25</v>
      </c>
      <c r="P38" s="65">
        <f t="shared" ref="P38" si="57">O38/24</f>
        <v>1.0416666666666667</v>
      </c>
      <c r="Q38" s="66">
        <f t="shared" ref="Q38" si="58">M38/(E38+F38*(D38-1))</f>
        <v>193</v>
      </c>
      <c r="R38" s="39">
        <f t="shared" ref="R38" si="59">Q38*24</f>
        <v>4632</v>
      </c>
      <c r="S38" s="31">
        <f>D38*J38+Param!$B$1+Param!$B$2</f>
        <v>86</v>
      </c>
      <c r="T38" s="63">
        <f t="shared" ref="T38" si="60">S38/O38</f>
        <v>3.44</v>
      </c>
      <c r="U38" s="158">
        <f t="shared" ref="U38" si="61">T38*24</f>
        <v>82.56</v>
      </c>
      <c r="V38" s="132">
        <f t="shared" ref="V38" si="62">T38*Q38</f>
        <v>663.92</v>
      </c>
      <c r="W38" s="133">
        <v>31</v>
      </c>
      <c r="X38" s="125"/>
      <c r="Y38" s="125"/>
      <c r="Z38" s="125"/>
      <c r="AB38" s="19"/>
      <c r="AC38" s="19"/>
      <c r="AD38" s="19"/>
      <c r="AF38" s="126"/>
      <c r="AG38" s="126"/>
      <c r="AH38" s="126"/>
      <c r="AJ38" s="15"/>
      <c r="AK38" s="15"/>
      <c r="AL38" s="15"/>
      <c r="AN38" s="126"/>
      <c r="AO38" s="126"/>
      <c r="AP38" s="126"/>
    </row>
    <row r="39" spans="1:42">
      <c r="A39" s="140" t="s">
        <v>21</v>
      </c>
      <c r="B39" s="44">
        <v>46</v>
      </c>
      <c r="C39" s="45">
        <v>15500</v>
      </c>
      <c r="D39" s="44">
        <v>4</v>
      </c>
      <c r="E39" s="44">
        <v>92</v>
      </c>
      <c r="F39" s="44">
        <v>54</v>
      </c>
      <c r="G39" s="44">
        <v>28</v>
      </c>
      <c r="H39" s="45">
        <v>1058</v>
      </c>
      <c r="I39" s="45">
        <v>118496</v>
      </c>
      <c r="J39" s="58">
        <v>62</v>
      </c>
      <c r="K39" s="67" t="str">
        <f t="shared" ref="K39" si="63">IF(I39=D39*G39*H39,"OK","ERRO")</f>
        <v>OK</v>
      </c>
      <c r="L39" s="46">
        <f t="shared" ref="L39" si="64">I39/D39</f>
        <v>29624</v>
      </c>
      <c r="M39" s="46">
        <f t="shared" ref="M39" si="65">I39-C39</f>
        <v>102996</v>
      </c>
      <c r="N39" s="92">
        <f t="shared" ref="N39" si="66">I39/C39-1</f>
        <v>6.644903225806452</v>
      </c>
      <c r="O39" s="46">
        <f t="shared" ref="O39" si="67">E39+F39*(D39-1)</f>
        <v>254</v>
      </c>
      <c r="P39" s="68">
        <f t="shared" ref="P39" si="68">O39/24</f>
        <v>10.583333333333334</v>
      </c>
      <c r="Q39" s="69">
        <f t="shared" ref="Q39" si="69">M39/(E39+F39*(D39-1))</f>
        <v>405.49606299212599</v>
      </c>
      <c r="R39" s="46">
        <f t="shared" ref="R39" si="70">Q39*24</f>
        <v>9731.9055118110227</v>
      </c>
      <c r="S39" s="31">
        <f>D39*J39+Param!$B$1+Param!$B$2</f>
        <v>254</v>
      </c>
      <c r="T39" s="63">
        <f t="shared" ref="T39" si="71">S39/O39</f>
        <v>1</v>
      </c>
      <c r="U39" s="159">
        <f t="shared" ref="U39" si="72">T39*24</f>
        <v>24</v>
      </c>
      <c r="V39" s="133">
        <f t="shared" ref="V39" si="73">T39*Q39</f>
        <v>405.49606299212599</v>
      </c>
      <c r="W39" s="133">
        <v>32</v>
      </c>
      <c r="X39" s="125"/>
      <c r="Y39" s="125"/>
      <c r="Z39" s="125"/>
      <c r="AB39" s="19"/>
      <c r="AC39" s="19"/>
      <c r="AD39" s="19"/>
      <c r="AF39" s="126"/>
      <c r="AG39" s="126"/>
      <c r="AH39" s="126"/>
      <c r="AJ39" s="15"/>
      <c r="AK39" s="15"/>
      <c r="AL39" s="15"/>
      <c r="AN39" s="126"/>
      <c r="AO39" s="126"/>
      <c r="AP39" s="126"/>
    </row>
  </sheetData>
  <sortState ref="A1:W31">
    <sortCondition ref="W12"/>
  </sortState>
  <conditionalFormatting sqref="C1:C1048576">
    <cfRule type="top10" dxfId="61" priority="37" bottom="1" rank="1"/>
    <cfRule type="top10" dxfId="60" priority="38" rank="1"/>
  </conditionalFormatting>
  <conditionalFormatting sqref="I1:I1048576">
    <cfRule type="top10" dxfId="59" priority="35" bottom="1" rank="1"/>
    <cfRule type="top10" dxfId="58" priority="36" rank="1"/>
  </conditionalFormatting>
  <conditionalFormatting sqref="M1:M1048576">
    <cfRule type="top10" dxfId="57" priority="33" bottom="1" rank="1"/>
    <cfRule type="top10" dxfId="56" priority="34" rank="1"/>
  </conditionalFormatting>
  <conditionalFormatting sqref="O1:O1048576">
    <cfRule type="top10" dxfId="55" priority="29" bottom="1" rank="1"/>
    <cfRule type="top10" dxfId="54" priority="30" rank="1"/>
  </conditionalFormatting>
  <conditionalFormatting sqref="P1:P1048576">
    <cfRule type="top10" dxfId="53" priority="27" bottom="1" rank="1"/>
    <cfRule type="top10" dxfId="52" priority="28" rank="1"/>
  </conditionalFormatting>
  <conditionalFormatting sqref="Q1:Q1048576">
    <cfRule type="top10" dxfId="51" priority="25" bottom="1" rank="1"/>
    <cfRule type="top10" dxfId="50" priority="26" rank="1"/>
  </conditionalFormatting>
  <conditionalFormatting sqref="R1:R1048576">
    <cfRule type="top10" dxfId="49" priority="23" bottom="1" rank="1"/>
    <cfRule type="top10" dxfId="48" priority="24" rank="1"/>
  </conditionalFormatting>
  <conditionalFormatting sqref="T1:T1048576">
    <cfRule type="top10" dxfId="47" priority="19" bottom="1" rank="1"/>
    <cfRule type="top10" dxfId="46" priority="20" rank="1"/>
  </conditionalFormatting>
  <conditionalFormatting sqref="S1:S1048576">
    <cfRule type="top10" dxfId="45" priority="15" bottom="1" rank="1"/>
    <cfRule type="top10" dxfId="44" priority="16" rank="1"/>
  </conditionalFormatting>
  <conditionalFormatting sqref="H1:H1048576">
    <cfRule type="top10" dxfId="43" priority="11" bottom="1" rank="1"/>
    <cfRule type="top10" dxfId="42" priority="12" rank="1"/>
  </conditionalFormatting>
  <conditionalFormatting sqref="U1:U1048576">
    <cfRule type="top10" dxfId="41" priority="9" bottom="1" rank="1"/>
    <cfRule type="top10" dxfId="40" priority="10" rank="1"/>
  </conditionalFormatting>
  <conditionalFormatting sqref="N1:N1048576">
    <cfRule type="top10" dxfId="39" priority="7" bottom="1" rank="1"/>
    <cfRule type="top10" dxfId="38" priority="8" rank="1"/>
  </conditionalFormatting>
  <conditionalFormatting sqref="L1:L1048576">
    <cfRule type="top10" dxfId="37" priority="61" bottom="1" rank="1"/>
    <cfRule type="top10" dxfId="36" priority="62" rank="1"/>
  </conditionalFormatting>
  <conditionalFormatting sqref="V1:V1048576">
    <cfRule type="top10" dxfId="35" priority="5" bottom="1" rank="1"/>
    <cfRule type="top10" dxfId="34" priority="6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52"/>
  <sheetViews>
    <sheetView tabSelected="1" zoomScale="93" zoomScaleNormal="93" workbookViewId="0">
      <pane ySplit="3" topLeftCell="A7" activePane="bottomLeft" state="frozen"/>
      <selection pane="bottomLeft" activeCell="Z31" sqref="Z31"/>
    </sheetView>
  </sheetViews>
  <sheetFormatPr defaultRowHeight="15"/>
  <cols>
    <col min="1" max="1" width="11.42578125" style="90" bestFit="1" customWidth="1"/>
    <col min="2" max="2" width="3.5703125" bestFit="1" customWidth="1"/>
    <col min="3" max="3" width="2.42578125" bestFit="1" customWidth="1"/>
    <col min="4" max="5" width="3.7109375" customWidth="1"/>
    <col min="6" max="6" width="5" customWidth="1"/>
    <col min="7" max="7" width="8.140625" style="14" bestFit="1" customWidth="1"/>
    <col min="8" max="8" width="7.5703125" style="5" bestFit="1" customWidth="1"/>
    <col min="9" max="9" width="9" style="5" bestFit="1" customWidth="1"/>
    <col min="10" max="10" width="6.7109375" style="4" bestFit="1" customWidth="1"/>
    <col min="11" max="11" width="6.28515625" style="200" bestFit="1" customWidth="1"/>
    <col min="12" max="12" width="5.42578125" bestFit="1" customWidth="1"/>
    <col min="13" max="14" width="4.7109375" bestFit="1" customWidth="1"/>
    <col min="15" max="15" width="5.42578125" bestFit="1" customWidth="1"/>
    <col min="16" max="16" width="4.7109375" bestFit="1" customWidth="1"/>
    <col min="17" max="17" width="3.140625" style="173" customWidth="1"/>
    <col min="18" max="22" width="2.42578125" style="126" bestFit="1" customWidth="1"/>
    <col min="23" max="23" width="6.7109375" bestFit="1" customWidth="1"/>
    <col min="24" max="24" width="9" bestFit="1" customWidth="1"/>
    <col min="25" max="25" width="10.7109375" style="252" bestFit="1" customWidth="1"/>
    <col min="26" max="26" width="6.7109375" style="252" bestFit="1" customWidth="1"/>
    <col min="27" max="27" width="9.140625" style="180" bestFit="1" customWidth="1"/>
    <col min="28" max="28" width="10.7109375" style="161" bestFit="1" customWidth="1"/>
    <col min="29" max="29" width="10.7109375" bestFit="1" customWidth="1"/>
    <col min="30" max="30" width="7.28515625" bestFit="1" customWidth="1"/>
    <col min="31" max="31" width="10.7109375" bestFit="1" customWidth="1"/>
  </cols>
  <sheetData>
    <row r="1" spans="1:31">
      <c r="A1" s="90" t="s">
        <v>194</v>
      </c>
      <c r="R1" s="177" t="s">
        <v>195</v>
      </c>
      <c r="AB1" s="10" t="s">
        <v>197</v>
      </c>
      <c r="AC1" s="165" t="s">
        <v>82</v>
      </c>
      <c r="AD1" s="2" t="s">
        <v>104</v>
      </c>
      <c r="AE1" s="1" t="s">
        <v>191</v>
      </c>
    </row>
    <row r="2" spans="1:31" s="183" customFormat="1" ht="15.75" thickBot="1">
      <c r="A2" s="182"/>
      <c r="G2" s="184"/>
      <c r="H2" s="185"/>
      <c r="I2" s="185"/>
      <c r="J2" s="98"/>
      <c r="K2" s="201"/>
      <c r="L2" s="97" t="s">
        <v>204</v>
      </c>
      <c r="Q2" s="186"/>
      <c r="R2" s="187"/>
      <c r="S2" s="187"/>
      <c r="T2" s="187"/>
      <c r="U2" s="187"/>
      <c r="V2" s="187"/>
      <c r="Y2" s="253"/>
      <c r="Z2" s="253"/>
      <c r="AA2" s="254"/>
      <c r="AB2" s="188"/>
      <c r="AC2" s="189"/>
      <c r="AD2" s="189">
        <v>20</v>
      </c>
      <c r="AE2" s="190">
        <v>2000000</v>
      </c>
    </row>
    <row r="3" spans="1:31" s="1" customFormat="1">
      <c r="A3" s="90" t="str">
        <f>Frutos!A1</f>
        <v>Nome</v>
      </c>
      <c r="B3" s="1" t="s">
        <v>198</v>
      </c>
      <c r="C3" s="1" t="str">
        <f>Frutos!D1</f>
        <v>T</v>
      </c>
      <c r="D3" s="1" t="str">
        <f>Frutos!E1</f>
        <v>Amad.</v>
      </c>
      <c r="E3" s="1" t="str">
        <f>Frutos!F1</f>
        <v>Re-am.</v>
      </c>
      <c r="F3" s="1" t="str">
        <f>Frutos!J1</f>
        <v>XP/T</v>
      </c>
      <c r="G3" s="13" t="s">
        <v>192</v>
      </c>
      <c r="H3" s="4" t="str">
        <f>Frutos!S1</f>
        <v>XP tot</v>
      </c>
      <c r="I3" s="4" t="str">
        <f>Frutos!M1</f>
        <v>Lucro</v>
      </c>
      <c r="J3" s="4" t="s">
        <v>196</v>
      </c>
      <c r="K3" s="4" t="str">
        <f>Frutos!U1</f>
        <v>XP/d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74"/>
      <c r="R3" s="178" t="s">
        <v>193</v>
      </c>
      <c r="S3" s="177"/>
      <c r="T3" s="177"/>
      <c r="U3" s="177"/>
      <c r="V3" s="177"/>
      <c r="W3" s="1" t="s">
        <v>165</v>
      </c>
      <c r="X3" s="1" t="s">
        <v>9</v>
      </c>
      <c r="Y3" s="165" t="s">
        <v>164</v>
      </c>
      <c r="Z3" s="165" t="s">
        <v>79</v>
      </c>
      <c r="AA3" s="180" t="s">
        <v>43</v>
      </c>
      <c r="AB3" s="171" t="s">
        <v>176</v>
      </c>
      <c r="AC3" s="1" t="s">
        <v>82</v>
      </c>
      <c r="AD3" s="1" t="s">
        <v>172</v>
      </c>
      <c r="AE3" s="1" t="s">
        <v>51</v>
      </c>
    </row>
    <row r="4" spans="1:31">
      <c r="A4" s="138" t="str">
        <f>Frutos!A2</f>
        <v>Nabo</v>
      </c>
      <c r="B4" s="28">
        <f>Frutos!B2</f>
        <v>0</v>
      </c>
      <c r="C4" s="28">
        <f>Frutos!D2</f>
        <v>1</v>
      </c>
      <c r="D4" s="28">
        <f>Frutos!E2</f>
        <v>10</v>
      </c>
      <c r="E4" s="28">
        <f>Frutos!F2</f>
        <v>0</v>
      </c>
      <c r="F4" s="55">
        <f>Frutos!J2</f>
        <v>40</v>
      </c>
      <c r="G4" s="61">
        <f>Frutos!P2</f>
        <v>0.41666666666666669</v>
      </c>
      <c r="H4" s="31">
        <f>Frutos!S2</f>
        <v>46</v>
      </c>
      <c r="I4" s="31">
        <f>Frutos!M2</f>
        <v>268</v>
      </c>
      <c r="J4" s="202">
        <f>Frutos!R2</f>
        <v>643.20000000000005</v>
      </c>
      <c r="K4" s="157">
        <f>Frutos!U2</f>
        <v>110.39999999999999</v>
      </c>
      <c r="L4" s="166">
        <v>8.3333333333333329E-2</v>
      </c>
      <c r="M4" s="166">
        <v>8.3333333333333329E-2</v>
      </c>
      <c r="N4" s="166">
        <v>0.125</v>
      </c>
      <c r="O4" s="166">
        <v>0</v>
      </c>
      <c r="P4" s="166">
        <v>0.125</v>
      </c>
      <c r="Q4" s="175" t="str">
        <f t="shared" ref="Q4:Q19" si="0">IF(AND(OR(C4=1,SUM(O4:P4)=E4/24),SUM(L4:P4)=D4/24),"OK")</f>
        <v>OK</v>
      </c>
      <c r="R4" s="141">
        <v>2</v>
      </c>
      <c r="S4" s="142">
        <v>2</v>
      </c>
      <c r="T4" s="142">
        <v>3</v>
      </c>
      <c r="U4" s="142">
        <v>0</v>
      </c>
      <c r="V4" s="143">
        <v>3</v>
      </c>
      <c r="W4" s="162">
        <f ca="1">SUM(IF(OFFSET(Param!$C$4,R4,0)&gt;L4,0,L4-OFFSET(Param!$C$4,R4,0)),IF(OFFSET(Param!$C$4,S4,0)&gt;M4,0,M4-OFFSET(Param!$C$4,S4,0)),IF(OFFSET(Param!$C$4,T4,0)&gt;N4,0,N4-OFFSET(Param!$C$4,T4,0)),$C4*IF(OFFSET(Param!$C$4,U4,0)&gt;O4,0,O4-OFFSET(Param!$C$4,U4,0)),$C4*IF(OFFSET(Param!$C$4,V4,0)&gt;P4,0,P4-OFFSET(Param!$C$4,V4,0)))</f>
        <v>0</v>
      </c>
      <c r="X4" s="33">
        <f ca="1">I4-SUM(OFFSET(Param!$B$4,R4,0),OFFSET(Param!$B$4,S4,0),OFFSET(Param!$B$4,T4,0),$C4*OFFSET(Param!$B$4,U4,0),$C4*OFFSET(Param!$B$4,V4,0))</f>
        <v>-2432</v>
      </c>
      <c r="Y4" s="255" t="str">
        <f ca="1">IF(W4=0,IF(X4&lt;0,"-","")&amp;"inf",X4/W4)</f>
        <v>-inf</v>
      </c>
      <c r="Z4" s="255" t="str">
        <f ca="1">IF(W4=0,"inf",H4/W4)</f>
        <v>inf</v>
      </c>
      <c r="AA4" s="256">
        <f ca="1">-1000*H4/X4</f>
        <v>18.914473684210527</v>
      </c>
      <c r="AB4" s="172">
        <f ca="1">IF($AE$2="",$AC$2/H4,ABS($AE$2/X4))</f>
        <v>822.36842105263156</v>
      </c>
      <c r="AC4" s="179">
        <f ca="1">AB4*H4</f>
        <v>37828.947368421053</v>
      </c>
      <c r="AD4" s="181">
        <f ca="1">AB4*W4/$AD$2</f>
        <v>0</v>
      </c>
      <c r="AE4" s="164">
        <f ca="1">IF(X4&gt;0,"lucro",-AB4*X4)</f>
        <v>2000000</v>
      </c>
    </row>
    <row r="5" spans="1:31">
      <c r="A5" s="89" t="str">
        <f>Frutos!A3</f>
        <v>Cenoura</v>
      </c>
      <c r="B5" s="36">
        <f>Frutos!B3</f>
        <v>0</v>
      </c>
      <c r="C5" s="36">
        <f>Frutos!D3</f>
        <v>1</v>
      </c>
      <c r="D5" s="36">
        <f>Frutos!E3</f>
        <v>15</v>
      </c>
      <c r="E5" s="36">
        <f>Frutos!F3</f>
        <v>0</v>
      </c>
      <c r="F5" s="55">
        <f>Frutos!J3</f>
        <v>40</v>
      </c>
      <c r="G5" s="61">
        <f>Frutos!P3</f>
        <v>0.625</v>
      </c>
      <c r="H5" s="31">
        <f>Frutos!S3</f>
        <v>46</v>
      </c>
      <c r="I5" s="31">
        <f>Frutos!M3</f>
        <v>470</v>
      </c>
      <c r="J5" s="202">
        <f>Frutos!R3</f>
        <v>752</v>
      </c>
      <c r="K5" s="157">
        <f>Frutos!U3</f>
        <v>73.600000000000009</v>
      </c>
      <c r="L5" s="166">
        <v>0.125</v>
      </c>
      <c r="M5" s="166">
        <v>0.16666666666666666</v>
      </c>
      <c r="N5" s="166">
        <v>0.16666666666666666</v>
      </c>
      <c r="O5" s="166">
        <v>0</v>
      </c>
      <c r="P5" s="166">
        <v>0.16666666666666666</v>
      </c>
      <c r="Q5" s="175" t="str">
        <f t="shared" si="0"/>
        <v>OK</v>
      </c>
      <c r="R5" s="141">
        <v>3</v>
      </c>
      <c r="S5" s="142">
        <v>3</v>
      </c>
      <c r="T5" s="142">
        <v>3</v>
      </c>
      <c r="U5" s="142">
        <v>0</v>
      </c>
      <c r="V5" s="143">
        <v>3</v>
      </c>
      <c r="W5" s="162">
        <f ca="1">SUM(IF(OFFSET(Param!$C$4,R5,0)&gt;L5,0,L5-OFFSET(Param!$C$4,R5,0)),IF(OFFSET(Param!$C$4,S5,0)&gt;M5,0,M5-OFFSET(Param!$C$4,S5,0)),IF(OFFSET(Param!$C$4,T5,0)&gt;N5,0,N5-OFFSET(Param!$C$4,T5,0)),$C5*IF(OFFSET(Param!$C$4,U5,0)&gt;O5,0,O5-OFFSET(Param!$C$4,U5,0)),$C5*IF(OFFSET(Param!$C$4,V5,0)&gt;P5,0,P5-OFFSET(Param!$C$4,V5,0)))</f>
        <v>0</v>
      </c>
      <c r="X5" s="33">
        <f ca="1">I5-SUM(OFFSET(Param!$B$4,R5,0),OFFSET(Param!$B$4,S5,0),OFFSET(Param!$B$4,T5,0),$C5*OFFSET(Param!$B$4,U5,0),$C5*OFFSET(Param!$B$4,V5,0))</f>
        <v>-3530</v>
      </c>
      <c r="Y5" s="255" t="str">
        <f t="shared" ref="Y5:Y16" ca="1" si="1">IF(W5=0,IF(X5&lt;0,"-","")&amp;"inf",X5/W5)</f>
        <v>-inf</v>
      </c>
      <c r="Z5" s="255" t="str">
        <f t="shared" ref="Z5:Z16" ca="1" si="2">IF(W5=0,"inf",H5/W5)</f>
        <v>inf</v>
      </c>
      <c r="AA5" s="257">
        <f t="shared" ref="AA5:AA15" ca="1" si="3">-1000*H5/X5</f>
        <v>13.031161473087819</v>
      </c>
      <c r="AB5" s="172">
        <f t="shared" ref="AB5:AB18" ca="1" si="4">IF($AE$2="",$AC$2/H5,ABS($AE$2/X5))</f>
        <v>566.57223796033998</v>
      </c>
      <c r="AC5" s="179">
        <f t="shared" ref="AC5:AC41" ca="1" si="5">AB5*H5</f>
        <v>26062.322946175638</v>
      </c>
      <c r="AD5" s="181">
        <f t="shared" ref="AD5:AD18" ca="1" si="6">AB5*W5/$AD$2</f>
        <v>0</v>
      </c>
      <c r="AE5" s="164">
        <f t="shared" ref="AE5:AE18" ca="1" si="7">IF(X5&gt;0,"lucro",-AB5*X5)</f>
        <v>2000000</v>
      </c>
    </row>
    <row r="6" spans="1:31">
      <c r="A6" s="89" t="str">
        <f>Frutos!A4</f>
        <v>Milho</v>
      </c>
      <c r="B6" s="36">
        <f>Frutos!B4</f>
        <v>0</v>
      </c>
      <c r="C6" s="36">
        <f>Frutos!D4</f>
        <v>1</v>
      </c>
      <c r="D6" s="36">
        <f>Frutos!E4</f>
        <v>20</v>
      </c>
      <c r="E6" s="36">
        <f>Frutos!F4</f>
        <v>0</v>
      </c>
      <c r="F6" s="55">
        <f>Frutos!J4</f>
        <v>40</v>
      </c>
      <c r="G6" s="61">
        <f>Frutos!P4</f>
        <v>0.83333333333333337</v>
      </c>
      <c r="H6" s="31">
        <f>Frutos!S4</f>
        <v>46</v>
      </c>
      <c r="I6" s="31">
        <f>Frutos!M4</f>
        <v>676</v>
      </c>
      <c r="J6" s="202">
        <f>Frutos!R4</f>
        <v>811.19999999999993</v>
      </c>
      <c r="K6" s="157">
        <f>Frutos!U4</f>
        <v>55.199999999999996</v>
      </c>
      <c r="L6" s="166">
        <v>0.16666666666666666</v>
      </c>
      <c r="M6" s="166">
        <v>0.16666666666666666</v>
      </c>
      <c r="N6" s="166">
        <v>0.16666666666666666</v>
      </c>
      <c r="O6" s="166">
        <v>0.16666666666666666</v>
      </c>
      <c r="P6" s="166">
        <v>0.16666666666666666</v>
      </c>
      <c r="Q6" s="176" t="str">
        <f t="shared" si="0"/>
        <v>OK</v>
      </c>
      <c r="R6" s="141">
        <v>3</v>
      </c>
      <c r="S6" s="142">
        <v>3</v>
      </c>
      <c r="T6" s="142">
        <v>3</v>
      </c>
      <c r="U6" s="142">
        <v>3</v>
      </c>
      <c r="V6" s="143">
        <v>3</v>
      </c>
      <c r="W6" s="162">
        <f ca="1">SUM(IF(OFFSET(Param!$C$4,R6,0)&gt;L6,0,L6-OFFSET(Param!$C$4,R6,0)),IF(OFFSET(Param!$C$4,S6,0)&gt;M6,0,M6-OFFSET(Param!$C$4,S6,0)),IF(OFFSET(Param!$C$4,T6,0)&gt;N6,0,N6-OFFSET(Param!$C$4,T6,0)),$C6*IF(OFFSET(Param!$C$4,U6,0)&gt;O6,0,O6-OFFSET(Param!$C$4,U6,0)),$C6*IF(OFFSET(Param!$C$4,V6,0)&gt;P6,0,P6-OFFSET(Param!$C$4,V6,0)))</f>
        <v>0</v>
      </c>
      <c r="X6" s="33">
        <f ca="1">I6-SUM(OFFSET(Param!$B$4,R6,0),OFFSET(Param!$B$4,S6,0),OFFSET(Param!$B$4,T6,0),$C6*OFFSET(Param!$B$4,U6,0),$C6*OFFSET(Param!$B$4,V6,0))</f>
        <v>-4324</v>
      </c>
      <c r="Y6" s="255" t="str">
        <f t="shared" ca="1" si="1"/>
        <v>-inf</v>
      </c>
      <c r="Z6" s="255" t="str">
        <f t="shared" ca="1" si="2"/>
        <v>inf</v>
      </c>
      <c r="AA6" s="257">
        <f t="shared" ca="1" si="3"/>
        <v>10.638297872340425</v>
      </c>
      <c r="AB6" s="172">
        <f t="shared" ca="1" si="4"/>
        <v>462.53469010175763</v>
      </c>
      <c r="AC6" s="179">
        <f t="shared" ca="1" si="5"/>
        <v>21276.59574468085</v>
      </c>
      <c r="AD6" s="181">
        <f t="shared" ca="1" si="6"/>
        <v>0</v>
      </c>
      <c r="AE6" s="164">
        <f t="shared" ca="1" si="7"/>
        <v>2000000</v>
      </c>
    </row>
    <row r="7" spans="1:31">
      <c r="A7" s="89" t="str">
        <f>Frutos!A5</f>
        <v>Batata</v>
      </c>
      <c r="B7" s="36">
        <f>Frutos!B5</f>
        <v>0</v>
      </c>
      <c r="C7" s="36">
        <f>Frutos!D5</f>
        <v>1</v>
      </c>
      <c r="D7" s="36">
        <f>Frutos!E5</f>
        <v>24</v>
      </c>
      <c r="E7" s="36">
        <f>Frutos!F5</f>
        <v>0</v>
      </c>
      <c r="F7" s="55">
        <f>Frutos!J5</f>
        <v>40</v>
      </c>
      <c r="G7" s="61">
        <f>Frutos!P5</f>
        <v>1</v>
      </c>
      <c r="H7" s="31">
        <f>Frutos!S5</f>
        <v>46</v>
      </c>
      <c r="I7" s="31">
        <f>Frutos!M5</f>
        <v>838</v>
      </c>
      <c r="J7" s="202">
        <f>Frutos!R5</f>
        <v>838</v>
      </c>
      <c r="K7" s="157">
        <f>Frutos!U5</f>
        <v>46</v>
      </c>
      <c r="L7" s="166">
        <v>0.16666666666666666</v>
      </c>
      <c r="M7" s="166">
        <v>0.20833333333333334</v>
      </c>
      <c r="N7" s="166">
        <v>0.20833333333333334</v>
      </c>
      <c r="O7" s="166">
        <v>0.20833333333333334</v>
      </c>
      <c r="P7" s="166">
        <v>0.20833333333333334</v>
      </c>
      <c r="Q7" s="176" t="str">
        <f t="shared" si="0"/>
        <v>OK</v>
      </c>
      <c r="R7" s="141">
        <v>3</v>
      </c>
      <c r="S7" s="142">
        <v>3</v>
      </c>
      <c r="T7" s="142">
        <v>3</v>
      </c>
      <c r="U7" s="142">
        <v>3</v>
      </c>
      <c r="V7" s="143">
        <v>3</v>
      </c>
      <c r="W7" s="162">
        <f ca="1">SUM(IF(OFFSET(Param!$C$4,R7,0)&gt;L7,0,L7-OFFSET(Param!$C$4,R7,0)),IF(OFFSET(Param!$C$4,S7,0)&gt;M7,0,M7-OFFSET(Param!$C$4,S7,0)),IF(OFFSET(Param!$C$4,T7,0)&gt;N7,0,N7-OFFSET(Param!$C$4,T7,0)),$C7*IF(OFFSET(Param!$C$4,U7,0)&gt;O7,0,O7-OFFSET(Param!$C$4,U7,0)),$C7*IF(OFFSET(Param!$C$4,V7,0)&gt;P7,0,P7-OFFSET(Param!$C$4,V7,0)))</f>
        <v>0</v>
      </c>
      <c r="X7" s="33">
        <f ca="1">I7-SUM(OFFSET(Param!$B$4,R7,0),OFFSET(Param!$B$4,S7,0),OFFSET(Param!$B$4,T7,0),$C7*OFFSET(Param!$B$4,U7,0),$C7*OFFSET(Param!$B$4,V7,0))</f>
        <v>-4162</v>
      </c>
      <c r="Y7" s="255" t="str">
        <f t="shared" ca="1" si="1"/>
        <v>-inf</v>
      </c>
      <c r="Z7" s="255" t="str">
        <f t="shared" ca="1" si="2"/>
        <v>inf</v>
      </c>
      <c r="AA7" s="257">
        <f t="shared" ca="1" si="3"/>
        <v>11.052378664103797</v>
      </c>
      <c r="AB7" s="172">
        <f t="shared" ca="1" si="4"/>
        <v>480.53820278712158</v>
      </c>
      <c r="AC7" s="179">
        <f t="shared" ca="1" si="5"/>
        <v>22104.757328207594</v>
      </c>
      <c r="AD7" s="181">
        <f t="shared" ca="1" si="6"/>
        <v>0</v>
      </c>
      <c r="AE7" s="164">
        <f t="shared" ca="1" si="7"/>
        <v>2000000</v>
      </c>
    </row>
    <row r="8" spans="1:31">
      <c r="A8" s="89" t="str">
        <f>Frutos!A6</f>
        <v>Beringela</v>
      </c>
      <c r="B8" s="36">
        <f>Frutos!B6</f>
        <v>0</v>
      </c>
      <c r="C8" s="36">
        <f>Frutos!D6</f>
        <v>1</v>
      </c>
      <c r="D8" s="36">
        <f>Frutos!E6</f>
        <v>30</v>
      </c>
      <c r="E8" s="36">
        <f>Frutos!F6</f>
        <v>0</v>
      </c>
      <c r="F8" s="55">
        <f>Frutos!J6</f>
        <v>40</v>
      </c>
      <c r="G8" s="61">
        <f>Frutos!P6</f>
        <v>1.25</v>
      </c>
      <c r="H8" s="31">
        <f>Frutos!S6</f>
        <v>46</v>
      </c>
      <c r="I8" s="31">
        <f>Frutos!M6</f>
        <v>1036</v>
      </c>
      <c r="J8" s="202">
        <f>Frutos!R6</f>
        <v>828.8</v>
      </c>
      <c r="K8" s="157">
        <f>Frutos!U6</f>
        <v>36.800000000000004</v>
      </c>
      <c r="L8" s="166">
        <v>0.25</v>
      </c>
      <c r="M8" s="166">
        <v>0.25</v>
      </c>
      <c r="N8" s="166">
        <v>0.25</v>
      </c>
      <c r="O8" s="166">
        <v>0.25</v>
      </c>
      <c r="P8" s="166">
        <v>0.25</v>
      </c>
      <c r="Q8" s="176" t="str">
        <f t="shared" si="0"/>
        <v>OK</v>
      </c>
      <c r="R8" s="141">
        <v>3</v>
      </c>
      <c r="S8" s="142">
        <v>3</v>
      </c>
      <c r="T8" s="142">
        <v>3</v>
      </c>
      <c r="U8" s="142">
        <v>3</v>
      </c>
      <c r="V8" s="143">
        <v>3</v>
      </c>
      <c r="W8" s="162">
        <f ca="1">SUM(IF(OFFSET(Param!$C$4,R8,0)&gt;L8,0,L8-OFFSET(Param!$C$4,R8,0)),IF(OFFSET(Param!$C$4,S8,0)&gt;M8,0,M8-OFFSET(Param!$C$4,S8,0)),IF(OFFSET(Param!$C$4,T8,0)&gt;N8,0,N8-OFFSET(Param!$C$4,T8,0)),$C8*IF(OFFSET(Param!$C$4,U8,0)&gt;O8,0,O8-OFFSET(Param!$C$4,U8,0)),$C8*IF(OFFSET(Param!$C$4,V8,0)&gt;P8,0,P8-OFFSET(Param!$C$4,V8,0)))</f>
        <v>0.10416666666666671</v>
      </c>
      <c r="X8" s="33">
        <f ca="1">I8-SUM(OFFSET(Param!$B$4,R8,0),OFFSET(Param!$B$4,S8,0),OFFSET(Param!$B$4,T8,0),$C8*OFFSET(Param!$B$4,U8,0),$C8*OFFSET(Param!$B$4,V8,0))</f>
        <v>-3964</v>
      </c>
      <c r="Y8" s="255">
        <f t="shared" ca="1" si="1"/>
        <v>-38054.39999999998</v>
      </c>
      <c r="Z8" s="255">
        <f t="shared" ca="1" si="2"/>
        <v>441.5999999999998</v>
      </c>
      <c r="AA8" s="257">
        <f t="shared" ca="1" si="3"/>
        <v>11.60443995963673</v>
      </c>
      <c r="AB8" s="172">
        <f t="shared" ca="1" si="4"/>
        <v>504.54086781029264</v>
      </c>
      <c r="AC8" s="179">
        <f t="shared" ca="1" si="5"/>
        <v>23208.879919273462</v>
      </c>
      <c r="AD8" s="181">
        <f t="shared" ca="1" si="6"/>
        <v>2.627817019845275</v>
      </c>
      <c r="AE8" s="164">
        <f t="shared" ca="1" si="7"/>
        <v>2000000</v>
      </c>
    </row>
    <row r="9" spans="1:31">
      <c r="A9" s="89" t="str">
        <f>Frutos!A7</f>
        <v>Tomate</v>
      </c>
      <c r="B9" s="36">
        <f>Frutos!B7</f>
        <v>5</v>
      </c>
      <c r="C9" s="36">
        <f>Frutos!D7</f>
        <v>2</v>
      </c>
      <c r="D9" s="36">
        <f>Frutos!E7</f>
        <v>26</v>
      </c>
      <c r="E9" s="36">
        <f>Frutos!F7</f>
        <v>10</v>
      </c>
      <c r="F9" s="55">
        <f>Frutos!J7</f>
        <v>45</v>
      </c>
      <c r="G9" s="61">
        <f>Frutos!P7</f>
        <v>1.5</v>
      </c>
      <c r="H9" s="31">
        <f>Frutos!S7</f>
        <v>96</v>
      </c>
      <c r="I9" s="31">
        <f>Frutos!M7</f>
        <v>1430</v>
      </c>
      <c r="J9" s="202">
        <f>Frutos!R7</f>
        <v>953.33333333333326</v>
      </c>
      <c r="K9" s="157">
        <f>Frutos!U7</f>
        <v>64</v>
      </c>
      <c r="L9" s="166">
        <v>0.25</v>
      </c>
      <c r="M9" s="166">
        <v>0.20833333333333334</v>
      </c>
      <c r="N9" s="166">
        <v>0.20833333333333334</v>
      </c>
      <c r="O9" s="166">
        <v>0.20833333333333334</v>
      </c>
      <c r="P9" s="166">
        <v>0.20833333333333334</v>
      </c>
      <c r="Q9" s="176" t="str">
        <f t="shared" si="0"/>
        <v>OK</v>
      </c>
      <c r="R9" s="141">
        <v>3</v>
      </c>
      <c r="S9" s="142">
        <v>3</v>
      </c>
      <c r="T9" s="142">
        <v>3</v>
      </c>
      <c r="U9" s="142">
        <v>3</v>
      </c>
      <c r="V9" s="143">
        <v>3</v>
      </c>
      <c r="W9" s="162">
        <f ca="1">SUM(IF(OFFSET(Param!$C$4,R9,0)&gt;L9,0,L9-OFFSET(Param!$C$4,R9,0)),IF(OFFSET(Param!$C$4,S9,0)&gt;M9,0,M9-OFFSET(Param!$C$4,S9,0)),IF(OFFSET(Param!$C$4,T9,0)&gt;N9,0,N9-OFFSET(Param!$C$4,T9,0)),$C9*IF(OFFSET(Param!$C$4,U9,0)&gt;O9,0,O9-OFFSET(Param!$C$4,U9,0)),$C9*IF(OFFSET(Param!$C$4,V9,0)&gt;P9,0,P9-OFFSET(Param!$C$4,V9,0)))</f>
        <v>2.0833333333333343E-2</v>
      </c>
      <c r="X9" s="33">
        <f ca="1">I9-SUM(OFFSET(Param!$B$4,R9,0),OFFSET(Param!$B$4,S9,0),OFFSET(Param!$B$4,T9,0),$C9*OFFSET(Param!$B$4,U9,0),$C9*OFFSET(Param!$B$4,V9,0))</f>
        <v>-5570</v>
      </c>
      <c r="Y9" s="255">
        <f t="shared" ca="1" si="1"/>
        <v>-267359.99999999988</v>
      </c>
      <c r="Z9" s="255">
        <f t="shared" ca="1" si="2"/>
        <v>4607.9999999999982</v>
      </c>
      <c r="AA9" s="257">
        <f t="shared" ca="1" si="3"/>
        <v>17.235188509874327</v>
      </c>
      <c r="AB9" s="172">
        <f t="shared" ca="1" si="4"/>
        <v>359.06642728904848</v>
      </c>
      <c r="AC9" s="179">
        <f t="shared" ca="1" si="5"/>
        <v>34470.377019748652</v>
      </c>
      <c r="AD9" s="181">
        <f t="shared" ca="1" si="6"/>
        <v>0.37402752842609233</v>
      </c>
      <c r="AE9" s="164">
        <f t="shared" ca="1" si="7"/>
        <v>2000000</v>
      </c>
    </row>
    <row r="10" spans="1:31">
      <c r="A10" s="89" t="str">
        <f>Frutos!A8</f>
        <v>Pimenta</v>
      </c>
      <c r="B10" s="36">
        <f>Frutos!B8</f>
        <v>5</v>
      </c>
      <c r="C10" s="36">
        <f>Frutos!D8</f>
        <v>2</v>
      </c>
      <c r="D10" s="36">
        <f>Frutos!E8</f>
        <v>30</v>
      </c>
      <c r="E10" s="36">
        <f>Frutos!F8</f>
        <v>12</v>
      </c>
      <c r="F10" s="55">
        <f>Frutos!J8</f>
        <v>45</v>
      </c>
      <c r="G10" s="61">
        <f>Frutos!P8</f>
        <v>1.75</v>
      </c>
      <c r="H10" s="31">
        <f>Frutos!S8</f>
        <v>96</v>
      </c>
      <c r="I10" s="31">
        <f>Frutos!M8</f>
        <v>1630</v>
      </c>
      <c r="J10" s="202">
        <f>Frutos!R8</f>
        <v>931.42857142857144</v>
      </c>
      <c r="K10" s="157">
        <f>Frutos!U8</f>
        <v>54.857142857142854</v>
      </c>
      <c r="L10" s="166">
        <v>0.25</v>
      </c>
      <c r="M10" s="166">
        <v>0.25</v>
      </c>
      <c r="N10" s="166">
        <v>0.25</v>
      </c>
      <c r="O10" s="166">
        <v>0.25</v>
      </c>
      <c r="P10" s="166">
        <v>0.25</v>
      </c>
      <c r="Q10" s="176" t="str">
        <f t="shared" si="0"/>
        <v>OK</v>
      </c>
      <c r="R10" s="141">
        <v>3</v>
      </c>
      <c r="S10" s="142">
        <v>3</v>
      </c>
      <c r="T10" s="142">
        <v>3</v>
      </c>
      <c r="U10" s="142">
        <v>3</v>
      </c>
      <c r="V10" s="143">
        <v>3</v>
      </c>
      <c r="W10" s="162">
        <f ca="1">SUM(IF(OFFSET(Param!$C$4,R10,0)&gt;L10,0,L10-OFFSET(Param!$C$4,R10,0)),IF(OFFSET(Param!$C$4,S10,0)&gt;M10,0,M10-OFFSET(Param!$C$4,S10,0)),IF(OFFSET(Param!$C$4,T10,0)&gt;N10,0,N10-OFFSET(Param!$C$4,T10,0)),$C10*IF(OFFSET(Param!$C$4,U10,0)&gt;O10,0,O10-OFFSET(Param!$C$4,U10,0)),$C10*IF(OFFSET(Param!$C$4,V10,0)&gt;P10,0,P10-OFFSET(Param!$C$4,V10,0)))</f>
        <v>0.1458333333333334</v>
      </c>
      <c r="X10" s="33">
        <f ca="1">I10-SUM(OFFSET(Param!$B$4,R10,0),OFFSET(Param!$B$4,S10,0),OFFSET(Param!$B$4,T10,0),$C10*OFFSET(Param!$B$4,U10,0),$C10*OFFSET(Param!$B$4,V10,0))</f>
        <v>-5370</v>
      </c>
      <c r="Y10" s="255">
        <f t="shared" ca="1" si="1"/>
        <v>-36822.857142857123</v>
      </c>
      <c r="Z10" s="255">
        <f t="shared" ca="1" si="2"/>
        <v>658.28571428571399</v>
      </c>
      <c r="AA10" s="257">
        <f t="shared" ca="1" si="3"/>
        <v>17.877094972067038</v>
      </c>
      <c r="AB10" s="172">
        <f t="shared" ca="1" si="4"/>
        <v>372.43947858472995</v>
      </c>
      <c r="AC10" s="179">
        <f t="shared" ca="1" si="5"/>
        <v>35754.189944134079</v>
      </c>
      <c r="AD10" s="181">
        <f t="shared" ca="1" si="6"/>
        <v>2.7157045313469905</v>
      </c>
      <c r="AE10" s="164">
        <f t="shared" ca="1" si="7"/>
        <v>1999999.9999999998</v>
      </c>
    </row>
    <row r="11" spans="1:31">
      <c r="A11" s="89" t="str">
        <f>Frutos!A9</f>
        <v>Abóbora</v>
      </c>
      <c r="B11" s="36">
        <f>Frutos!B9</f>
        <v>5</v>
      </c>
      <c r="C11" s="36">
        <f>Frutos!D9</f>
        <v>2</v>
      </c>
      <c r="D11" s="36">
        <f>Frutos!E9</f>
        <v>34</v>
      </c>
      <c r="E11" s="36">
        <f>Frutos!F9</f>
        <v>12</v>
      </c>
      <c r="F11" s="55">
        <f>Frutos!J9</f>
        <v>45</v>
      </c>
      <c r="G11" s="61">
        <f>Frutos!P9</f>
        <v>1.9166666666666667</v>
      </c>
      <c r="H11" s="31">
        <f>Frutos!S9</f>
        <v>96</v>
      </c>
      <c r="I11" s="31">
        <f>Frutos!M9</f>
        <v>1846</v>
      </c>
      <c r="J11" s="202">
        <f>Frutos!R9</f>
        <v>963.13043478260875</v>
      </c>
      <c r="K11" s="157">
        <f>Frutos!U9</f>
        <v>50.086956521739125</v>
      </c>
      <c r="L11" s="166">
        <v>0.33333333333333331</v>
      </c>
      <c r="M11" s="166">
        <v>0.33333333333333331</v>
      </c>
      <c r="N11" s="166">
        <v>0.25</v>
      </c>
      <c r="O11" s="166">
        <v>0.25</v>
      </c>
      <c r="P11" s="166">
        <v>0.25</v>
      </c>
      <c r="Q11" s="176" t="str">
        <f t="shared" si="0"/>
        <v>OK</v>
      </c>
      <c r="R11" s="141">
        <v>3</v>
      </c>
      <c r="S11" s="142">
        <v>3</v>
      </c>
      <c r="T11" s="142">
        <v>3</v>
      </c>
      <c r="U11" s="142">
        <v>3</v>
      </c>
      <c r="V11" s="143">
        <v>3</v>
      </c>
      <c r="W11" s="162">
        <f ca="1">SUM(IF(OFFSET(Param!$C$4,R11,0)&gt;L11,0,L11-OFFSET(Param!$C$4,R11,0)),IF(OFFSET(Param!$C$4,S11,0)&gt;M11,0,M11-OFFSET(Param!$C$4,S11,0)),IF(OFFSET(Param!$C$4,T11,0)&gt;N11,0,N11-OFFSET(Param!$C$4,T11,0)),$C11*IF(OFFSET(Param!$C$4,U11,0)&gt;O11,0,O11-OFFSET(Param!$C$4,U11,0)),$C11*IF(OFFSET(Param!$C$4,V11,0)&gt;P11,0,P11-OFFSET(Param!$C$4,V11,0)))</f>
        <v>0.31250000000000006</v>
      </c>
      <c r="X11" s="33">
        <f ca="1">I11-SUM(OFFSET(Param!$B$4,R11,0),OFFSET(Param!$B$4,S11,0),OFFSET(Param!$B$4,T11,0),$C11*OFFSET(Param!$B$4,U11,0),$C11*OFFSET(Param!$B$4,V11,0))</f>
        <v>-5154</v>
      </c>
      <c r="Y11" s="255">
        <f t="shared" ca="1" si="1"/>
        <v>-16492.799999999996</v>
      </c>
      <c r="Z11" s="255">
        <f t="shared" ca="1" si="2"/>
        <v>307.19999999999993</v>
      </c>
      <c r="AA11" s="257">
        <f t="shared" ca="1" si="3"/>
        <v>18.626309662398139</v>
      </c>
      <c r="AB11" s="172">
        <f t="shared" ca="1" si="4"/>
        <v>388.04811796662784</v>
      </c>
      <c r="AC11" s="179">
        <f t="shared" ca="1" si="5"/>
        <v>37252.619324796273</v>
      </c>
      <c r="AD11" s="181">
        <f t="shared" ca="1" si="6"/>
        <v>6.0632518432285618</v>
      </c>
      <c r="AE11" s="164">
        <f t="shared" ca="1" si="7"/>
        <v>2000000</v>
      </c>
    </row>
    <row r="12" spans="1:31">
      <c r="A12" s="89" t="str">
        <f>Frutos!A10</f>
        <v>Ervilha</v>
      </c>
      <c r="B12" s="36">
        <f>Frutos!B10</f>
        <v>5</v>
      </c>
      <c r="C12" s="36">
        <f>Frutos!D10</f>
        <v>2</v>
      </c>
      <c r="D12" s="36">
        <f>Frutos!E10</f>
        <v>34</v>
      </c>
      <c r="E12" s="36">
        <f>Frutos!F10</f>
        <v>14</v>
      </c>
      <c r="F12" s="55">
        <f>Frutos!J10</f>
        <v>45</v>
      </c>
      <c r="G12" s="61">
        <f>Frutos!P10</f>
        <v>2</v>
      </c>
      <c r="H12" s="31">
        <f>Frutos!S10</f>
        <v>96</v>
      </c>
      <c r="I12" s="31">
        <f>Frutos!M10</f>
        <v>2040</v>
      </c>
      <c r="J12" s="202">
        <f>Frutos!R10</f>
        <v>1020</v>
      </c>
      <c r="K12" s="157">
        <f>Frutos!U10</f>
        <v>48</v>
      </c>
      <c r="L12" s="166">
        <v>0.29166666666666669</v>
      </c>
      <c r="M12" s="166">
        <v>0.29166666666666669</v>
      </c>
      <c r="N12" s="166">
        <v>0.25</v>
      </c>
      <c r="O12" s="166">
        <v>0.29166666666666669</v>
      </c>
      <c r="P12" s="166">
        <v>0.29166666666666669</v>
      </c>
      <c r="Q12" s="176" t="str">
        <f t="shared" si="0"/>
        <v>OK</v>
      </c>
      <c r="R12" s="141">
        <v>3</v>
      </c>
      <c r="S12" s="142">
        <v>3</v>
      </c>
      <c r="T12" s="142">
        <v>3</v>
      </c>
      <c r="U12" s="142">
        <v>3</v>
      </c>
      <c r="V12" s="143">
        <v>3</v>
      </c>
      <c r="W12" s="162">
        <f ca="1">SUM(IF(OFFSET(Param!$C$4,R12,0)&gt;L12,0,L12-OFFSET(Param!$C$4,R12,0)),IF(OFFSET(Param!$C$4,S12,0)&gt;M12,0,M12-OFFSET(Param!$C$4,S12,0)),IF(OFFSET(Param!$C$4,T12,0)&gt;N12,0,N12-OFFSET(Param!$C$4,T12,0)),$C12*IF(OFFSET(Param!$C$4,U12,0)&gt;O12,0,O12-OFFSET(Param!$C$4,U12,0)),$C12*IF(OFFSET(Param!$C$4,V12,0)&gt;P12,0,P12-OFFSET(Param!$C$4,V12,0)))</f>
        <v>0.39583333333333354</v>
      </c>
      <c r="X12" s="33">
        <f ca="1">I12-SUM(OFFSET(Param!$B$4,R12,0),OFFSET(Param!$B$4,S12,0),OFFSET(Param!$B$4,T12,0),$C12*OFFSET(Param!$B$4,U12,0),$C12*OFFSET(Param!$B$4,V12,0))</f>
        <v>-4960</v>
      </c>
      <c r="Y12" s="255">
        <f t="shared" ca="1" si="1"/>
        <v>-12530.526315789468</v>
      </c>
      <c r="Z12" s="255">
        <f t="shared" ca="1" si="2"/>
        <v>242.52631578947356</v>
      </c>
      <c r="AA12" s="257">
        <f t="shared" ca="1" si="3"/>
        <v>19.35483870967742</v>
      </c>
      <c r="AB12" s="172">
        <f t="shared" ca="1" si="4"/>
        <v>403.22580645161293</v>
      </c>
      <c r="AC12" s="179">
        <f t="shared" ca="1" si="5"/>
        <v>38709.677419354841</v>
      </c>
      <c r="AD12" s="181">
        <f t="shared" ca="1" si="6"/>
        <v>7.9805107526881773</v>
      </c>
      <c r="AE12" s="164">
        <f t="shared" ca="1" si="7"/>
        <v>2000000</v>
      </c>
    </row>
    <row r="13" spans="1:31">
      <c r="A13" s="89" t="str">
        <f>Frutos!A11</f>
        <v>Morango</v>
      </c>
      <c r="B13" s="36">
        <f>Frutos!B11</f>
        <v>10</v>
      </c>
      <c r="C13" s="36">
        <f>Frutos!D11</f>
        <v>3</v>
      </c>
      <c r="D13" s="36">
        <f>Frutos!E11</f>
        <v>31</v>
      </c>
      <c r="E13" s="36">
        <f>Frutos!F11</f>
        <v>12</v>
      </c>
      <c r="F13" s="55">
        <f>Frutos!J11</f>
        <v>50</v>
      </c>
      <c r="G13" s="61">
        <f>Frutos!P11</f>
        <v>2.2916666666666665</v>
      </c>
      <c r="H13" s="31">
        <f>Frutos!S11</f>
        <v>156</v>
      </c>
      <c r="I13" s="31">
        <f>Frutos!M11</f>
        <v>2356</v>
      </c>
      <c r="J13" s="202">
        <f>Frutos!R11</f>
        <v>1028.0727272727272</v>
      </c>
      <c r="K13" s="157">
        <f>Frutos!U11</f>
        <v>68.072727272727278</v>
      </c>
      <c r="L13" s="166">
        <v>0.29166666666666669</v>
      </c>
      <c r="M13" s="166">
        <v>0.25</v>
      </c>
      <c r="N13" s="166">
        <v>0.25</v>
      </c>
      <c r="O13" s="166">
        <v>0.25</v>
      </c>
      <c r="P13" s="166">
        <v>0.25</v>
      </c>
      <c r="Q13" s="176" t="str">
        <f t="shared" si="0"/>
        <v>OK</v>
      </c>
      <c r="R13" s="141">
        <v>3</v>
      </c>
      <c r="S13" s="142">
        <v>3</v>
      </c>
      <c r="T13" s="142">
        <v>3</v>
      </c>
      <c r="U13" s="142">
        <v>3</v>
      </c>
      <c r="V13" s="143">
        <v>3</v>
      </c>
      <c r="W13" s="162">
        <f ca="1">SUM(IF(OFFSET(Param!$C$4,R13,0)&gt;L13,0,L13-OFFSET(Param!$C$4,R13,0)),IF(OFFSET(Param!$C$4,S13,0)&gt;M13,0,M13-OFFSET(Param!$C$4,S13,0)),IF(OFFSET(Param!$C$4,T13,0)&gt;N13,0,N13-OFFSET(Param!$C$4,T13,0)),$C13*IF(OFFSET(Param!$C$4,U13,0)&gt;O13,0,O13-OFFSET(Param!$C$4,U13,0)),$C13*IF(OFFSET(Param!$C$4,V13,0)&gt;P13,0,P13-OFFSET(Param!$C$4,V13,0)))</f>
        <v>0.22916666666666677</v>
      </c>
      <c r="X13" s="33">
        <f ca="1">I13-SUM(OFFSET(Param!$B$4,R13,0),OFFSET(Param!$B$4,S13,0),OFFSET(Param!$B$4,T13,0),$C13*OFFSET(Param!$B$4,U13,0),$C13*OFFSET(Param!$B$4,V13,0))</f>
        <v>-6644</v>
      </c>
      <c r="Y13" s="255">
        <f t="shared" ca="1" si="1"/>
        <v>-28991.999999999985</v>
      </c>
      <c r="Z13" s="255">
        <f t="shared" ca="1" si="2"/>
        <v>680.72727272727241</v>
      </c>
      <c r="AA13" s="257">
        <f t="shared" ca="1" si="3"/>
        <v>23.479831426851295</v>
      </c>
      <c r="AB13" s="172">
        <f t="shared" ca="1" si="4"/>
        <v>301.02347983142687</v>
      </c>
      <c r="AC13" s="179">
        <f t="shared" ca="1" si="5"/>
        <v>46959.66285370259</v>
      </c>
      <c r="AD13" s="181">
        <f t="shared" ca="1" si="6"/>
        <v>3.4492273730684344</v>
      </c>
      <c r="AE13" s="164">
        <f t="shared" ca="1" si="7"/>
        <v>2000000</v>
      </c>
    </row>
    <row r="14" spans="1:31">
      <c r="A14" s="89" t="str">
        <f>Frutos!A12</f>
        <v>Maçã</v>
      </c>
      <c r="B14" s="36">
        <f>Frutos!B12</f>
        <v>10</v>
      </c>
      <c r="C14" s="36">
        <f>Frutos!D12</f>
        <v>3</v>
      </c>
      <c r="D14" s="36">
        <f>Frutos!E12</f>
        <v>35</v>
      </c>
      <c r="E14" s="36">
        <f>Frutos!F12</f>
        <v>14</v>
      </c>
      <c r="F14" s="55">
        <f>Frutos!J12</f>
        <v>50</v>
      </c>
      <c r="G14" s="61">
        <f>Frutos!P12</f>
        <v>2.625</v>
      </c>
      <c r="H14" s="31">
        <f>Frutos!S12</f>
        <v>156</v>
      </c>
      <c r="I14" s="31">
        <f>Frutos!M12</f>
        <v>2820</v>
      </c>
      <c r="J14" s="202">
        <f>Frutos!R12</f>
        <v>1074.2857142857142</v>
      </c>
      <c r="K14" s="157">
        <f>Frutos!U12</f>
        <v>59.428571428571431</v>
      </c>
      <c r="L14" s="166">
        <v>0.29166666666666669</v>
      </c>
      <c r="M14" s="166">
        <v>0.29166666666666669</v>
      </c>
      <c r="N14" s="166">
        <v>0.29166666666666669</v>
      </c>
      <c r="O14" s="166">
        <v>0.29166666666666669</v>
      </c>
      <c r="P14" s="166">
        <v>0.29166666666666669</v>
      </c>
      <c r="Q14" s="176" t="str">
        <f t="shared" si="0"/>
        <v>OK</v>
      </c>
      <c r="R14" s="141">
        <v>3</v>
      </c>
      <c r="S14" s="142">
        <v>3</v>
      </c>
      <c r="T14" s="142">
        <v>3</v>
      </c>
      <c r="U14" s="142">
        <v>3</v>
      </c>
      <c r="V14" s="143">
        <v>3</v>
      </c>
      <c r="W14" s="162">
        <f ca="1">SUM(IF(OFFSET(Param!$C$4,R14,0)&gt;L14,0,L14-OFFSET(Param!$C$4,R14,0)),IF(OFFSET(Param!$C$4,S14,0)&gt;M14,0,M14-OFFSET(Param!$C$4,S14,0)),IF(OFFSET(Param!$C$4,T14,0)&gt;N14,0,N14-OFFSET(Param!$C$4,T14,0)),$C14*IF(OFFSET(Param!$C$4,U14,0)&gt;O14,0,O14-OFFSET(Param!$C$4,U14,0)),$C14*IF(OFFSET(Param!$C$4,V14,0)&gt;P14,0,P14-OFFSET(Param!$C$4,V14,0)))</f>
        <v>0.56250000000000022</v>
      </c>
      <c r="X14" s="33">
        <f ca="1">I14-SUM(OFFSET(Param!$B$4,R14,0),OFFSET(Param!$B$4,S14,0),OFFSET(Param!$B$4,T14,0),$C14*OFFSET(Param!$B$4,U14,0),$C14*OFFSET(Param!$B$4,V14,0))</f>
        <v>-6180</v>
      </c>
      <c r="Y14" s="255">
        <f t="shared" ca="1" si="1"/>
        <v>-10986.666666666662</v>
      </c>
      <c r="Z14" s="255">
        <f t="shared" ca="1" si="2"/>
        <v>277.3333333333332</v>
      </c>
      <c r="AA14" s="257">
        <f t="shared" ca="1" si="3"/>
        <v>25.242718446601941</v>
      </c>
      <c r="AB14" s="172">
        <f t="shared" ca="1" si="4"/>
        <v>323.62459546925567</v>
      </c>
      <c r="AC14" s="179">
        <f t="shared" ca="1" si="5"/>
        <v>50485.436893203885</v>
      </c>
      <c r="AD14" s="181">
        <f t="shared" ca="1" si="6"/>
        <v>9.1019417475728197</v>
      </c>
      <c r="AE14" s="164">
        <f t="shared" ca="1" si="7"/>
        <v>2000000</v>
      </c>
    </row>
    <row r="15" spans="1:31">
      <c r="A15" s="89" t="str">
        <f>Frutos!A13</f>
        <v>Melancia</v>
      </c>
      <c r="B15" s="36">
        <f>Frutos!B13</f>
        <v>11</v>
      </c>
      <c r="C15" s="36">
        <f>Frutos!D13</f>
        <v>3</v>
      </c>
      <c r="D15" s="36">
        <f>Frutos!E13</f>
        <v>40</v>
      </c>
      <c r="E15" s="36">
        <f>Frutos!F13</f>
        <v>14</v>
      </c>
      <c r="F15" s="55">
        <f>Frutos!J13</f>
        <v>51</v>
      </c>
      <c r="G15" s="61">
        <f>Frutos!P13</f>
        <v>2.8333333333333335</v>
      </c>
      <c r="H15" s="31">
        <f>Frutos!S13</f>
        <v>159</v>
      </c>
      <c r="I15" s="31">
        <f>Frutos!M13</f>
        <v>2975</v>
      </c>
      <c r="J15" s="202">
        <f>Frutos!R13</f>
        <v>1050</v>
      </c>
      <c r="K15" s="157">
        <f>Frutos!U13</f>
        <v>56.117647058823536</v>
      </c>
      <c r="L15" s="166">
        <v>0.375</v>
      </c>
      <c r="M15" s="166">
        <v>0.375</v>
      </c>
      <c r="N15" s="166">
        <v>0.33333333333333331</v>
      </c>
      <c r="O15" s="166">
        <v>0.29166666666666669</v>
      </c>
      <c r="P15" s="166">
        <v>0.29166666666666669</v>
      </c>
      <c r="Q15" s="176" t="str">
        <f t="shared" si="0"/>
        <v>OK</v>
      </c>
      <c r="R15" s="141">
        <v>3</v>
      </c>
      <c r="S15" s="142">
        <v>3</v>
      </c>
      <c r="T15" s="142">
        <v>3</v>
      </c>
      <c r="U15" s="142">
        <v>3</v>
      </c>
      <c r="V15" s="143">
        <v>3</v>
      </c>
      <c r="W15" s="162">
        <f ca="1">SUM(IF(OFFSET(Param!$C$4,R15,0)&gt;L15,0,L15-OFFSET(Param!$C$4,R15,0)),IF(OFFSET(Param!$C$4,S15,0)&gt;M15,0,M15-OFFSET(Param!$C$4,S15,0)),IF(OFFSET(Param!$C$4,T15,0)&gt;N15,0,N15-OFFSET(Param!$C$4,T15,0)),$C15*IF(OFFSET(Param!$C$4,U15,0)&gt;O15,0,O15-OFFSET(Param!$C$4,U15,0)),$C15*IF(OFFSET(Param!$C$4,V15,0)&gt;P15,0,P15-OFFSET(Param!$C$4,V15,0)))</f>
        <v>0.77083333333333359</v>
      </c>
      <c r="X15" s="33">
        <f ca="1">I15-SUM(OFFSET(Param!$B$4,R15,0),OFFSET(Param!$B$4,S15,0),OFFSET(Param!$B$4,T15,0),$C15*OFFSET(Param!$B$4,U15,0),$C15*OFFSET(Param!$B$4,V15,0))</f>
        <v>-6025</v>
      </c>
      <c r="Y15" s="255">
        <f t="shared" ca="1" si="1"/>
        <v>-7816.216216216214</v>
      </c>
      <c r="Z15" s="255">
        <f t="shared" ca="1" si="2"/>
        <v>206.2702702702702</v>
      </c>
      <c r="AA15" s="257">
        <f t="shared" ca="1" si="3"/>
        <v>26.390041493775932</v>
      </c>
      <c r="AB15" s="172">
        <f t="shared" ca="1" si="4"/>
        <v>331.95020746887968</v>
      </c>
      <c r="AC15" s="179">
        <f t="shared" ca="1" si="5"/>
        <v>52780.082987551868</v>
      </c>
      <c r="AD15" s="181">
        <f t="shared" ca="1" si="6"/>
        <v>12.793914246196408</v>
      </c>
      <c r="AE15" s="164">
        <f t="shared" ca="1" si="7"/>
        <v>2000000</v>
      </c>
    </row>
    <row r="16" spans="1:31">
      <c r="A16" s="89" t="str">
        <f>Frutos!A14</f>
        <v>Banana</v>
      </c>
      <c r="B16" s="36">
        <f>Frutos!B14</f>
        <v>12</v>
      </c>
      <c r="C16" s="36">
        <f>Frutos!D14</f>
        <v>3</v>
      </c>
      <c r="D16" s="36">
        <f>Frutos!E14</f>
        <v>45</v>
      </c>
      <c r="E16" s="36">
        <f>Frutos!F14</f>
        <v>18</v>
      </c>
      <c r="F16" s="55">
        <f>Frutos!J14</f>
        <v>52</v>
      </c>
      <c r="G16" s="61">
        <f>Frutos!P14</f>
        <v>3.375</v>
      </c>
      <c r="H16" s="31">
        <f>Frutos!S14</f>
        <v>162</v>
      </c>
      <c r="I16" s="31">
        <f>Frutos!M14</f>
        <v>3394</v>
      </c>
      <c r="J16" s="202">
        <f>Frutos!R14</f>
        <v>1005.6296296296296</v>
      </c>
      <c r="K16" s="157">
        <f>Frutos!U14</f>
        <v>48</v>
      </c>
      <c r="L16" s="166">
        <v>0.375</v>
      </c>
      <c r="M16" s="166">
        <v>0.375</v>
      </c>
      <c r="N16" s="166">
        <v>0.375</v>
      </c>
      <c r="O16" s="166">
        <v>0.375</v>
      </c>
      <c r="P16" s="166">
        <v>0.375</v>
      </c>
      <c r="Q16" s="176" t="str">
        <f t="shared" si="0"/>
        <v>OK</v>
      </c>
      <c r="R16" s="141">
        <v>3</v>
      </c>
      <c r="S16" s="142">
        <v>3</v>
      </c>
      <c r="T16" s="142">
        <v>3</v>
      </c>
      <c r="U16" s="142">
        <v>3</v>
      </c>
      <c r="V16" s="143">
        <v>3</v>
      </c>
      <c r="W16" s="162">
        <f ca="1">SUM(IF(OFFSET(Param!$C$4,R16,0)&gt;L16,0,L16-OFFSET(Param!$C$4,R16,0)),IF(OFFSET(Param!$C$4,S16,0)&gt;M16,0,M16-OFFSET(Param!$C$4,S16,0)),IF(OFFSET(Param!$C$4,T16,0)&gt;N16,0,N16-OFFSET(Param!$C$4,T16,0)),$C16*IF(OFFSET(Param!$C$4,U16,0)&gt;O16,0,O16-OFFSET(Param!$C$4,U16,0)),$C16*IF(OFFSET(Param!$C$4,V16,0)&gt;P16,0,P16-OFFSET(Param!$C$4,V16,0)))</f>
        <v>1.3125</v>
      </c>
      <c r="X16" s="33">
        <f ca="1">I16-SUM(OFFSET(Param!$B$4,R16,0),OFFSET(Param!$B$4,S16,0),OFFSET(Param!$B$4,T16,0),$C16*OFFSET(Param!$B$4,U16,0),$C16*OFFSET(Param!$B$4,V16,0))</f>
        <v>-5606</v>
      </c>
      <c r="Y16" s="255">
        <f t="shared" ca="1" si="1"/>
        <v>-4271.2380952380954</v>
      </c>
      <c r="Z16" s="255">
        <f t="shared" ca="1" si="2"/>
        <v>123.42857142857143</v>
      </c>
      <c r="AA16" s="257">
        <f t="shared" ref="AA16:AA21" ca="1" si="8">-1000*H16/X16</f>
        <v>28.897609703888691</v>
      </c>
      <c r="AB16" s="172">
        <f t="shared" ca="1" si="4"/>
        <v>356.76061362825544</v>
      </c>
      <c r="AC16" s="179">
        <f t="shared" ca="1" si="5"/>
        <v>57795.219407777382</v>
      </c>
      <c r="AD16" s="181">
        <f t="shared" ca="1" si="6"/>
        <v>23.412415269354263</v>
      </c>
      <c r="AE16" s="164">
        <f t="shared" ca="1" si="7"/>
        <v>2000000</v>
      </c>
    </row>
    <row r="17" spans="1:31">
      <c r="A17" s="89" t="str">
        <f>Frutos!A15</f>
        <v>Pêssego</v>
      </c>
      <c r="B17" s="36">
        <f>Frutos!B15</f>
        <v>13</v>
      </c>
      <c r="C17" s="36">
        <f>Frutos!D15</f>
        <v>3</v>
      </c>
      <c r="D17" s="36">
        <f>Frutos!E15</f>
        <v>60</v>
      </c>
      <c r="E17" s="36">
        <f>Frutos!F15</f>
        <v>22</v>
      </c>
      <c r="F17" s="55">
        <f>Frutos!J15</f>
        <v>53</v>
      </c>
      <c r="G17" s="61">
        <f>Frutos!P15</f>
        <v>4.333333333333333</v>
      </c>
      <c r="H17" s="31">
        <f>Frutos!S15</f>
        <v>165</v>
      </c>
      <c r="I17" s="31">
        <f>Frutos!M15</f>
        <v>4509</v>
      </c>
      <c r="J17" s="202">
        <f>Frutos!R15</f>
        <v>1040.5384615384617</v>
      </c>
      <c r="K17" s="157">
        <f>Frutos!U15</f>
        <v>38.076923076923073</v>
      </c>
      <c r="L17" s="166">
        <v>0.54166666666666663</v>
      </c>
      <c r="M17" s="166">
        <v>0.54166666666666663</v>
      </c>
      <c r="N17" s="166">
        <v>0.5</v>
      </c>
      <c r="O17" s="166">
        <v>0.45833333333333331</v>
      </c>
      <c r="P17" s="166">
        <v>0.45833333333333331</v>
      </c>
      <c r="Q17" s="176" t="str">
        <f t="shared" si="0"/>
        <v>OK</v>
      </c>
      <c r="R17" s="141">
        <v>3</v>
      </c>
      <c r="S17" s="142">
        <v>3</v>
      </c>
      <c r="T17" s="142">
        <v>3</v>
      </c>
      <c r="U17" s="142">
        <v>3</v>
      </c>
      <c r="V17" s="143">
        <v>3</v>
      </c>
      <c r="W17" s="162">
        <f ca="1">SUM(IF(OFFSET(Param!$C$4,R17,0)&gt;L17,0,L17-OFFSET(Param!$C$4,R17,0)),IF(OFFSET(Param!$C$4,S17,0)&gt;M17,0,M17-OFFSET(Param!$C$4,S17,0)),IF(OFFSET(Param!$C$4,T17,0)&gt;N17,0,N17-OFFSET(Param!$C$4,T17,0)),$C17*IF(OFFSET(Param!$C$4,U17,0)&gt;O17,0,O17-OFFSET(Param!$C$4,U17,0)),$C17*IF(OFFSET(Param!$C$4,V17,0)&gt;P17,0,P17-OFFSET(Param!$C$4,V17,0)))</f>
        <v>2.2708333333333335</v>
      </c>
      <c r="X17" s="33">
        <f ca="1">I17-SUM(OFFSET(Param!$B$4,R17,0),OFFSET(Param!$B$4,S17,0),OFFSET(Param!$B$4,T17,0),$C17*OFFSET(Param!$B$4,U17,0),$C17*OFFSET(Param!$B$4,V17,0))</f>
        <v>-4491</v>
      </c>
      <c r="Y17" s="255">
        <f t="shared" ref="Y17:Y22" ca="1" si="9">IF(W17=0,IF(X17&lt;0,"-","")&amp;"inf",X17/W17)</f>
        <v>-1977.6880733944952</v>
      </c>
      <c r="Z17" s="255">
        <f t="shared" ref="Z17:Z22" ca="1" si="10">IF(W17=0,"inf",H17/W17)</f>
        <v>72.660550458715591</v>
      </c>
      <c r="AA17" s="257">
        <f t="shared" ca="1" si="8"/>
        <v>36.740146960587843</v>
      </c>
      <c r="AB17" s="172">
        <f t="shared" ca="1" si="4"/>
        <v>445.33511467379202</v>
      </c>
      <c r="AC17" s="179">
        <f t="shared" ca="1" si="5"/>
        <v>73480.293921175689</v>
      </c>
      <c r="AD17" s="181">
        <f t="shared" ca="1" si="6"/>
        <v>50.564091145253471</v>
      </c>
      <c r="AE17" s="164">
        <f t="shared" ca="1" si="7"/>
        <v>2000000</v>
      </c>
    </row>
    <row r="18" spans="1:31">
      <c r="A18" s="89" t="str">
        <f>Frutos!A16</f>
        <v>Laranja</v>
      </c>
      <c r="B18" s="36">
        <f>Frutos!B16</f>
        <v>14</v>
      </c>
      <c r="C18" s="36">
        <f>Frutos!D16</f>
        <v>3</v>
      </c>
      <c r="D18" s="36">
        <f>Frutos!E16</f>
        <v>66</v>
      </c>
      <c r="E18" s="36">
        <f>Frutos!F16</f>
        <v>24</v>
      </c>
      <c r="F18" s="55">
        <f>Frutos!J16</f>
        <v>54</v>
      </c>
      <c r="G18" s="61">
        <f>Frutos!P16</f>
        <v>4.75</v>
      </c>
      <c r="H18" s="31">
        <f>Frutos!S16</f>
        <v>168</v>
      </c>
      <c r="I18" s="31">
        <f>Frutos!M16</f>
        <v>4810</v>
      </c>
      <c r="J18" s="202">
        <f>Frutos!R16</f>
        <v>1012.6315789473683</v>
      </c>
      <c r="K18" s="157">
        <f>Frutos!U16</f>
        <v>35.368421052631575</v>
      </c>
      <c r="L18" s="166">
        <v>0.58333333333333337</v>
      </c>
      <c r="M18" s="166">
        <v>0.58333333333333337</v>
      </c>
      <c r="N18" s="166">
        <v>0.58333333333333337</v>
      </c>
      <c r="O18" s="166">
        <v>0.5</v>
      </c>
      <c r="P18" s="166">
        <v>0.5</v>
      </c>
      <c r="Q18" s="176" t="str">
        <f t="shared" si="0"/>
        <v>OK</v>
      </c>
      <c r="R18" s="141">
        <v>3</v>
      </c>
      <c r="S18" s="142">
        <v>3</v>
      </c>
      <c r="T18" s="142">
        <v>3</v>
      </c>
      <c r="U18" s="142">
        <v>3</v>
      </c>
      <c r="V18" s="143">
        <v>3</v>
      </c>
      <c r="W18" s="162">
        <f ca="1">SUM(IF(OFFSET(Param!$C$4,R18,0)&gt;L18,0,L18-OFFSET(Param!$C$4,R18,0)),IF(OFFSET(Param!$C$4,S18,0)&gt;M18,0,M18-OFFSET(Param!$C$4,S18,0)),IF(OFFSET(Param!$C$4,T18,0)&gt;N18,0,N18-OFFSET(Param!$C$4,T18,0)),$C18*IF(OFFSET(Param!$C$4,U18,0)&gt;O18,0,O18-OFFSET(Param!$C$4,U18,0)),$C18*IF(OFFSET(Param!$C$4,V18,0)&gt;P18,0,P18-OFFSET(Param!$C$4,V18,0)))</f>
        <v>2.6875000000000004</v>
      </c>
      <c r="X18" s="33">
        <f ca="1">I18-SUM(OFFSET(Param!$B$4,R18,0),OFFSET(Param!$B$4,S18,0),OFFSET(Param!$B$4,T18,0),$C18*OFFSET(Param!$B$4,U18,0),$C18*OFFSET(Param!$B$4,V18,0))</f>
        <v>-4190</v>
      </c>
      <c r="Y18" s="255">
        <f t="shared" ca="1" si="9"/>
        <v>-1559.0697674418602</v>
      </c>
      <c r="Z18" s="255">
        <f t="shared" ca="1" si="10"/>
        <v>62.511627906976734</v>
      </c>
      <c r="AA18" s="257">
        <f t="shared" ca="1" si="8"/>
        <v>40.095465393794747</v>
      </c>
      <c r="AB18" s="172">
        <f t="shared" ca="1" si="4"/>
        <v>477.326968973747</v>
      </c>
      <c r="AC18" s="179">
        <f t="shared" ca="1" si="5"/>
        <v>80190.930787589503</v>
      </c>
      <c r="AD18" s="181">
        <f t="shared" ca="1" si="6"/>
        <v>64.14081145584727</v>
      </c>
      <c r="AE18" s="164">
        <f t="shared" ca="1" si="7"/>
        <v>2000000</v>
      </c>
    </row>
    <row r="19" spans="1:31">
      <c r="A19" s="89" t="str">
        <f>Frutos!A17</f>
        <v>Uva</v>
      </c>
      <c r="B19" s="36">
        <f>Frutos!B17</f>
        <v>15</v>
      </c>
      <c r="C19" s="36">
        <f>Frutos!D17</f>
        <v>4</v>
      </c>
      <c r="D19" s="36">
        <f>Frutos!E17</f>
        <v>66</v>
      </c>
      <c r="E19" s="36">
        <f>Frutos!F17</f>
        <v>24</v>
      </c>
      <c r="F19" s="55">
        <f>Frutos!J17</f>
        <v>55</v>
      </c>
      <c r="G19" s="61">
        <f>Frutos!P17</f>
        <v>5.75</v>
      </c>
      <c r="H19" s="31">
        <f>Frutos!S17</f>
        <v>226</v>
      </c>
      <c r="I19" s="31">
        <f>Frutos!M17</f>
        <v>6195</v>
      </c>
      <c r="J19" s="202">
        <f>Frutos!R17</f>
        <v>1077.391304347826</v>
      </c>
      <c r="K19" s="157">
        <f>Frutos!U17</f>
        <v>39.304347826086953</v>
      </c>
      <c r="L19" s="166">
        <v>0.625</v>
      </c>
      <c r="M19" s="166">
        <v>0.625</v>
      </c>
      <c r="N19" s="166">
        <v>0.5</v>
      </c>
      <c r="O19" s="166">
        <v>0.5</v>
      </c>
      <c r="P19" s="166">
        <v>0.5</v>
      </c>
      <c r="Q19" s="176" t="str">
        <f t="shared" si="0"/>
        <v>OK</v>
      </c>
      <c r="R19" s="141">
        <v>3</v>
      </c>
      <c r="S19" s="142">
        <v>3</v>
      </c>
      <c r="T19" s="142">
        <v>3</v>
      </c>
      <c r="U19" s="142">
        <v>3</v>
      </c>
      <c r="V19" s="143">
        <v>3</v>
      </c>
      <c r="W19" s="162">
        <f ca="1">SUM(IF(OFFSET(Param!$C$4,R19,0)&gt;L19,0,L19-OFFSET(Param!$C$4,R19,0)),IF(OFFSET(Param!$C$4,S19,0)&gt;M19,0,M19-OFFSET(Param!$C$4,S19,0)),IF(OFFSET(Param!$C$4,T19,0)&gt;N19,0,N19-OFFSET(Param!$C$4,T19,0)),$C19*IF(OFFSET(Param!$C$4,U19,0)&gt;O19,0,O19-OFFSET(Param!$C$4,U19,0)),$C19*IF(OFFSET(Param!$C$4,V19,0)&gt;P19,0,P19-OFFSET(Param!$C$4,V19,0)))</f>
        <v>3.229166666666667</v>
      </c>
      <c r="X19" s="33">
        <f ca="1">I19-SUM(OFFSET(Param!$B$4,R19,0),OFFSET(Param!$B$4,S19,0),OFFSET(Param!$B$4,T19,0),$C19*OFFSET(Param!$B$4,U19,0),$C19*OFFSET(Param!$B$4,V19,0))</f>
        <v>-4805</v>
      </c>
      <c r="Y19" s="255">
        <f t="shared" ca="1" si="9"/>
        <v>-1487.9999999999998</v>
      </c>
      <c r="Z19" s="255">
        <f t="shared" ca="1" si="10"/>
        <v>69.987096774193546</v>
      </c>
      <c r="AA19" s="257">
        <f t="shared" ca="1" si="8"/>
        <v>47.034339229968779</v>
      </c>
      <c r="AB19" s="172">
        <f t="shared" ref="AB19:AB29" ca="1" si="11">IF($AE$2="",$AC$2/H19,ABS($AE$2/X19))</f>
        <v>416.23309053069721</v>
      </c>
      <c r="AC19" s="179">
        <f ca="1">AB19*H19</f>
        <v>94068.678459937568</v>
      </c>
      <c r="AD19" s="181">
        <f t="shared" ref="AD19:AD29" ca="1" si="12">AB19*W19/$AD$2</f>
        <v>67.20430107526883</v>
      </c>
      <c r="AE19" s="164">
        <f t="shared" ref="AE19:AE29" ca="1" si="13">IF(X19&gt;0,"lucro",-AB19*X19)</f>
        <v>2000000</v>
      </c>
    </row>
    <row r="20" spans="1:31">
      <c r="A20" s="89" t="str">
        <f>Frutos!A18</f>
        <v>Romã</v>
      </c>
      <c r="B20" s="36">
        <f>Frutos!B18</f>
        <v>16</v>
      </c>
      <c r="C20" s="36">
        <f>Frutos!D18</f>
        <v>4</v>
      </c>
      <c r="D20" s="36">
        <f>Frutos!E18</f>
        <v>55</v>
      </c>
      <c r="E20" s="36">
        <f>Frutos!F18</f>
        <v>22</v>
      </c>
      <c r="F20" s="55">
        <f>Frutos!J18</f>
        <v>56</v>
      </c>
      <c r="G20" s="61">
        <f>Frutos!P18</f>
        <v>5.041666666666667</v>
      </c>
      <c r="H20" s="31">
        <f>Frutos!S18</f>
        <v>230</v>
      </c>
      <c r="I20" s="31">
        <f>Frutos!M18</f>
        <v>5869</v>
      </c>
      <c r="J20" s="202">
        <f>Frutos!R18</f>
        <v>1164.0991735537191</v>
      </c>
      <c r="K20" s="157">
        <f>Frutos!U18</f>
        <v>45.619834710743802</v>
      </c>
      <c r="L20" s="166">
        <v>0.45833333333333331</v>
      </c>
      <c r="M20" s="166">
        <v>0.45833333333333331</v>
      </c>
      <c r="N20" s="166">
        <v>0.45833333333333331</v>
      </c>
      <c r="O20" s="166">
        <v>0.45833333333333331</v>
      </c>
      <c r="P20" s="166">
        <v>0.45833333333333331</v>
      </c>
      <c r="Q20" s="176" t="str">
        <f t="shared" ref="Q20:Q29" si="14">IF(AND(OR(C20=1,SUM(O20:P20)=E20/24),SUM(L20:P20)=D20/24),"OK")</f>
        <v>OK</v>
      </c>
      <c r="R20" s="141">
        <v>3</v>
      </c>
      <c r="S20" s="142">
        <v>3</v>
      </c>
      <c r="T20" s="142">
        <v>3</v>
      </c>
      <c r="U20" s="142">
        <v>3</v>
      </c>
      <c r="V20" s="143">
        <v>3</v>
      </c>
      <c r="W20" s="162">
        <f ca="1">SUM(IF(OFFSET(Param!$C$4,R20,0)&gt;L20,0,L20-OFFSET(Param!$C$4,R20,0)),IF(OFFSET(Param!$C$4,S20,0)&gt;M20,0,M20-OFFSET(Param!$C$4,S20,0)),IF(OFFSET(Param!$C$4,T20,0)&gt;N20,0,N20-OFFSET(Param!$C$4,T20,0)),$C20*IF(OFFSET(Param!$C$4,U20,0)&gt;O20,0,O20-OFFSET(Param!$C$4,U20,0)),$C20*IF(OFFSET(Param!$C$4,V20,0)&gt;P20,0,P20-OFFSET(Param!$C$4,V20,0)))</f>
        <v>2.520833333333333</v>
      </c>
      <c r="X20" s="33">
        <f ca="1">I20-SUM(OFFSET(Param!$B$4,R20,0),OFFSET(Param!$B$4,S20,0),OFFSET(Param!$B$4,T20,0),$C20*OFFSET(Param!$B$4,U20,0),$C20*OFFSET(Param!$B$4,V20,0))</f>
        <v>-5131</v>
      </c>
      <c r="Y20" s="255">
        <f t="shared" ca="1" si="9"/>
        <v>-2035.4380165289258</v>
      </c>
      <c r="Z20" s="255">
        <f t="shared" ca="1" si="10"/>
        <v>91.239669421487619</v>
      </c>
      <c r="AA20" s="257">
        <f t="shared" ca="1" si="8"/>
        <v>44.825570064314945</v>
      </c>
      <c r="AB20" s="172">
        <f t="shared" ca="1" si="11"/>
        <v>389.78756577665172</v>
      </c>
      <c r="AC20" s="179">
        <f ca="1">AB20*H20</f>
        <v>89651.140128629893</v>
      </c>
      <c r="AD20" s="181">
        <f t="shared" ca="1" si="12"/>
        <v>49.12947443643214</v>
      </c>
      <c r="AE20" s="164">
        <f t="shared" ca="1" si="13"/>
        <v>2000000</v>
      </c>
    </row>
    <row r="21" spans="1:31">
      <c r="A21" s="89" t="str">
        <f>Frutos!A19</f>
        <v>Melão</v>
      </c>
      <c r="B21" s="36">
        <f>Frutos!B19</f>
        <v>17</v>
      </c>
      <c r="C21" s="36">
        <f>Frutos!D19</f>
        <v>3</v>
      </c>
      <c r="D21" s="36">
        <f>Frutos!E19</f>
        <v>40</v>
      </c>
      <c r="E21" s="36">
        <f>Frutos!F19</f>
        <v>16</v>
      </c>
      <c r="F21" s="55">
        <f>Frutos!J19</f>
        <v>50</v>
      </c>
      <c r="G21" s="61">
        <f>Frutos!P19</f>
        <v>3</v>
      </c>
      <c r="H21" s="31">
        <f>Frutos!S19</f>
        <v>156</v>
      </c>
      <c r="I21" s="31">
        <f>Frutos!M19</f>
        <v>7040</v>
      </c>
      <c r="J21" s="202">
        <f>Frutos!R19</f>
        <v>2346.6666666666665</v>
      </c>
      <c r="K21" s="157">
        <f>Frutos!U19</f>
        <v>52</v>
      </c>
      <c r="L21" s="166">
        <v>0.375</v>
      </c>
      <c r="M21" s="166">
        <v>0.29166666666666669</v>
      </c>
      <c r="N21" s="166">
        <v>0.33333333333333331</v>
      </c>
      <c r="O21" s="166">
        <v>0.33333333333333331</v>
      </c>
      <c r="P21" s="166">
        <v>0.33333333333333331</v>
      </c>
      <c r="Q21" s="176" t="str">
        <f t="shared" si="14"/>
        <v>OK</v>
      </c>
      <c r="R21" s="141">
        <v>3</v>
      </c>
      <c r="S21" s="142">
        <v>3</v>
      </c>
      <c r="T21" s="142">
        <v>3</v>
      </c>
      <c r="U21" s="142">
        <v>3</v>
      </c>
      <c r="V21" s="143">
        <v>3</v>
      </c>
      <c r="W21" s="162">
        <f ca="1">SUM(IF(OFFSET(Param!$C$4,R21,0)&gt;L21,0,L21-OFFSET(Param!$C$4,R21,0)),IF(OFFSET(Param!$C$4,S21,0)&gt;M21,0,M21-OFFSET(Param!$C$4,S21,0)),IF(OFFSET(Param!$C$4,T21,0)&gt;N21,0,N21-OFFSET(Param!$C$4,T21,0)),$C21*IF(OFFSET(Param!$C$4,U21,0)&gt;O21,0,O21-OFFSET(Param!$C$4,U21,0)),$C21*IF(OFFSET(Param!$C$4,V21,0)&gt;P21,0,P21-OFFSET(Param!$C$4,V21,0)))</f>
        <v>0.9375</v>
      </c>
      <c r="X21" s="33">
        <f ca="1">I21-SUM(OFFSET(Param!$B$4,R21,0),OFFSET(Param!$B$4,S21,0),OFFSET(Param!$B$4,T21,0),$C21*OFFSET(Param!$B$4,U21,0),$C21*OFFSET(Param!$B$4,V21,0))</f>
        <v>-1960</v>
      </c>
      <c r="Y21" s="255">
        <f t="shared" ca="1" si="9"/>
        <v>-2090.6666666666665</v>
      </c>
      <c r="Z21" s="255">
        <f t="shared" ca="1" si="10"/>
        <v>166.4</v>
      </c>
      <c r="AA21" s="257">
        <f t="shared" ca="1" si="8"/>
        <v>79.591836734693871</v>
      </c>
      <c r="AB21" s="172">
        <f t="shared" ca="1" si="11"/>
        <v>1020.4081632653061</v>
      </c>
      <c r="AC21" s="179">
        <f t="shared" ca="1" si="5"/>
        <v>159183.67346938775</v>
      </c>
      <c r="AD21" s="181">
        <f t="shared" ca="1" si="12"/>
        <v>47.83163265306122</v>
      </c>
      <c r="AE21" s="164">
        <f t="shared" ca="1" si="13"/>
        <v>2000000</v>
      </c>
    </row>
    <row r="22" spans="1:31">
      <c r="A22" s="89" t="str">
        <f>Frutos!A20</f>
        <v>Cana</v>
      </c>
      <c r="B22" s="36">
        <f>Frutos!B20</f>
        <v>18</v>
      </c>
      <c r="C22" s="36">
        <f>Frutos!D20</f>
        <v>3</v>
      </c>
      <c r="D22" s="36">
        <f>Frutos!E20</f>
        <v>40</v>
      </c>
      <c r="E22" s="36">
        <f>Frutos!F20</f>
        <v>16</v>
      </c>
      <c r="F22" s="55">
        <f>Frutos!J20</f>
        <v>50</v>
      </c>
      <c r="G22" s="61">
        <f>Frutos!P20</f>
        <v>3</v>
      </c>
      <c r="H22" s="31">
        <f>Frutos!S20</f>
        <v>156</v>
      </c>
      <c r="I22" s="31">
        <f>Frutos!M20</f>
        <v>7040</v>
      </c>
      <c r="J22" s="202">
        <f>Frutos!R20</f>
        <v>2346.6666666666665</v>
      </c>
      <c r="K22" s="157">
        <f>Frutos!U20</f>
        <v>52</v>
      </c>
      <c r="L22" s="166">
        <v>0.375</v>
      </c>
      <c r="M22" s="166">
        <v>0.29166666666666669</v>
      </c>
      <c r="N22" s="166">
        <v>0.33333333333333331</v>
      </c>
      <c r="O22" s="166">
        <v>0.33333333333333331</v>
      </c>
      <c r="P22" s="166">
        <v>0.33333333333333331</v>
      </c>
      <c r="Q22" s="176" t="str">
        <f t="shared" si="14"/>
        <v>OK</v>
      </c>
      <c r="R22" s="141">
        <v>3</v>
      </c>
      <c r="S22" s="142">
        <v>3</v>
      </c>
      <c r="T22" s="142">
        <v>3</v>
      </c>
      <c r="U22" s="142">
        <v>3</v>
      </c>
      <c r="V22" s="143">
        <v>3</v>
      </c>
      <c r="W22" s="162">
        <f ca="1">SUM(IF(OFFSET(Param!$C$4,R22,0)&gt;L22,0,L22-OFFSET(Param!$C$4,R22,0)),IF(OFFSET(Param!$C$4,S22,0)&gt;M22,0,M22-OFFSET(Param!$C$4,S22,0)),IF(OFFSET(Param!$C$4,T22,0)&gt;N22,0,N22-OFFSET(Param!$C$4,T22,0)),$C22*IF(OFFSET(Param!$C$4,U22,0)&gt;O22,0,O22-OFFSET(Param!$C$4,U22,0)),$C22*IF(OFFSET(Param!$C$4,V22,0)&gt;P22,0,P22-OFFSET(Param!$C$4,V22,0)))</f>
        <v>0.9375</v>
      </c>
      <c r="X22" s="33">
        <f ca="1">I22-SUM(OFFSET(Param!$B$4,R22,0),OFFSET(Param!$B$4,S22,0),OFFSET(Param!$B$4,T22,0),$C22*OFFSET(Param!$B$4,U22,0),$C22*OFFSET(Param!$B$4,V22,0))</f>
        <v>-1960</v>
      </c>
      <c r="Y22" s="255">
        <f t="shared" ca="1" si="9"/>
        <v>-2090.6666666666665</v>
      </c>
      <c r="Z22" s="255">
        <f t="shared" ca="1" si="10"/>
        <v>166.4</v>
      </c>
      <c r="AA22" s="257">
        <f ca="1">-1000*H22/X22</f>
        <v>79.591836734693871</v>
      </c>
      <c r="AB22" s="172">
        <f t="shared" ca="1" si="11"/>
        <v>1020.4081632653061</v>
      </c>
      <c r="AC22" s="179">
        <f t="shared" ref="AC22:AC31" ca="1" si="15">AB22*H22</f>
        <v>159183.67346938775</v>
      </c>
      <c r="AD22" s="181">
        <f t="shared" ca="1" si="12"/>
        <v>47.83163265306122</v>
      </c>
      <c r="AE22" s="164">
        <f t="shared" ca="1" si="13"/>
        <v>2000000</v>
      </c>
    </row>
    <row r="23" spans="1:31">
      <c r="A23" s="91" t="str">
        <f>Frutos!A21</f>
        <v>NozR</v>
      </c>
      <c r="B23" s="44">
        <f>Frutos!B21</f>
        <v>19</v>
      </c>
      <c r="C23" s="44">
        <f>Frutos!D21</f>
        <v>3</v>
      </c>
      <c r="D23" s="44">
        <f>Frutos!E21</f>
        <v>61</v>
      </c>
      <c r="E23" s="44">
        <f>Frutos!F21</f>
        <v>27</v>
      </c>
      <c r="F23" s="55">
        <f>Frutos!J21</f>
        <v>55</v>
      </c>
      <c r="G23" s="61">
        <f>Frutos!P21</f>
        <v>4.791666666666667</v>
      </c>
      <c r="H23" s="31">
        <f>Frutos!S21</f>
        <v>171</v>
      </c>
      <c r="I23" s="31">
        <f>Frutos!M21</f>
        <v>-3152</v>
      </c>
      <c r="J23" s="202">
        <f>Frutos!R21</f>
        <v>-657.80869565217392</v>
      </c>
      <c r="K23" s="157">
        <f>Frutos!U21</f>
        <v>35.686956521739134</v>
      </c>
      <c r="L23" s="166"/>
      <c r="M23" s="166"/>
      <c r="N23" s="166"/>
      <c r="O23" s="166"/>
      <c r="P23" s="166"/>
      <c r="Q23" s="176" t="b">
        <f>IF(AND(OR(C23=1,SUM(N23:P23)=E23/24),SUM(L23:P23)=D23/24),"OK")</f>
        <v>0</v>
      </c>
      <c r="R23" s="141">
        <v>3</v>
      </c>
      <c r="S23" s="142">
        <v>3</v>
      </c>
      <c r="T23" s="142">
        <v>3</v>
      </c>
      <c r="U23" s="142">
        <v>3</v>
      </c>
      <c r="V23" s="143">
        <v>3</v>
      </c>
      <c r="W23" s="162">
        <f ca="1">SUM(IF(OFFSET(Param!$C$4,R23,0)&gt;L23,0,L23-OFFSET(Param!$C$4,R23,0)),IF(OFFSET(Param!$C$4,S23,0)&gt;M23,0,M23-OFFSET(Param!$C$4,S23,0)),$C23*(IF(OFFSET(Param!$C$4,T23,0)&gt;N23,0,N23-OFFSET(Param!$C$4,T23,0))+IF(OFFSET(Param!$C$4,U23,0)&gt;O23,0,O23-OFFSET(Param!$C$4,U23,0))+IF(OFFSET(Param!$C$4,V23,0)&gt;P23,0,P23-OFFSET(Param!$C$4,V23,0))))</f>
        <v>0</v>
      </c>
      <c r="X23" s="33">
        <f ca="1">I23-SUM(OFFSET(Param!$B$4,R23,0),OFFSET(Param!$B$4,S23,0),$C23*(OFFSET(Param!$B$4,T23,0)+OFFSET(Param!$B$4,U23,0)+OFFSET(Param!$B$4,V23,0)))</f>
        <v>-14152</v>
      </c>
      <c r="Y23" s="255" t="str">
        <f ca="1">IF(W23=0,IF(X23&lt;0,"-","")&amp;"inf",X23/W23)</f>
        <v>-inf</v>
      </c>
      <c r="Z23" s="255" t="str">
        <f ca="1">IF(W23=0,"inf",H23/W23)</f>
        <v>inf</v>
      </c>
      <c r="AA23" s="257">
        <f ca="1">-1000*H23/X23</f>
        <v>12.083097795364612</v>
      </c>
      <c r="AB23" s="172">
        <f ca="1">IF($AE$2="",$AC$2/H23,ABS($AE$2/X23))</f>
        <v>141.32278123233465</v>
      </c>
      <c r="AC23" s="179">
        <f ca="1">AB23*H23</f>
        <v>24166.195590729225</v>
      </c>
      <c r="AD23" s="181">
        <f ca="1">AB23*W23/$AD$2</f>
        <v>0</v>
      </c>
      <c r="AE23" s="164">
        <f ca="1">IF(X23&gt;0,"lucro",-AB23*X23)</f>
        <v>2000000</v>
      </c>
    </row>
    <row r="24" spans="1:31">
      <c r="A24" s="89" t="str">
        <f>Frutos!A22</f>
        <v>AmendoinR</v>
      </c>
      <c r="B24" s="36">
        <f>Frutos!B22</f>
        <v>19</v>
      </c>
      <c r="C24" s="36">
        <f>Frutos!D22</f>
        <v>3</v>
      </c>
      <c r="D24" s="36">
        <f>Frutos!E22</f>
        <v>61</v>
      </c>
      <c r="E24" s="36">
        <f>Frutos!F22</f>
        <v>27</v>
      </c>
      <c r="F24" s="55">
        <f>Frutos!J22</f>
        <v>55</v>
      </c>
      <c r="G24" s="61">
        <f>Frutos!P22</f>
        <v>4.791666666666667</v>
      </c>
      <c r="H24" s="31">
        <f>Frutos!S22</f>
        <v>171</v>
      </c>
      <c r="I24" s="31">
        <f>Frutos!M22</f>
        <v>10048</v>
      </c>
      <c r="J24" s="202">
        <f>Frutos!R22</f>
        <v>2096.9739130434782</v>
      </c>
      <c r="K24" s="157">
        <f>Frutos!U22</f>
        <v>35.686956521739134</v>
      </c>
      <c r="L24" s="166"/>
      <c r="M24" s="166"/>
      <c r="N24" s="166"/>
      <c r="O24" s="166"/>
      <c r="P24" s="166"/>
      <c r="Q24" s="176"/>
      <c r="R24" s="141"/>
      <c r="S24" s="142"/>
      <c r="T24" s="142"/>
      <c r="U24" s="142"/>
      <c r="V24" s="143"/>
      <c r="W24" s="162"/>
      <c r="X24" s="33"/>
      <c r="Y24" s="255"/>
      <c r="Z24" s="255"/>
      <c r="AA24" s="257"/>
      <c r="AB24" s="172"/>
      <c r="AC24" s="179"/>
      <c r="AD24" s="181"/>
      <c r="AE24" s="164"/>
    </row>
    <row r="25" spans="1:31">
      <c r="A25" s="89" t="str">
        <f>Frutos!A23</f>
        <v>Lichia</v>
      </c>
      <c r="B25" s="36">
        <f>Frutos!B23</f>
        <v>19</v>
      </c>
      <c r="C25" s="36">
        <f>Frutos!D23</f>
        <v>3</v>
      </c>
      <c r="D25" s="36">
        <f>Frutos!E23</f>
        <v>61</v>
      </c>
      <c r="E25" s="36">
        <f>Frutos!F23</f>
        <v>27</v>
      </c>
      <c r="F25" s="55">
        <f>Frutos!J23</f>
        <v>55</v>
      </c>
      <c r="G25" s="61">
        <f>Frutos!P23</f>
        <v>4.791666666666667</v>
      </c>
      <c r="H25" s="31">
        <f>Frutos!S23</f>
        <v>171</v>
      </c>
      <c r="I25" s="31">
        <f>Frutos!M23</f>
        <v>7598</v>
      </c>
      <c r="J25" s="202">
        <f>Frutos!R23</f>
        <v>1585.6695652173912</v>
      </c>
      <c r="K25" s="157">
        <f>Frutos!U23</f>
        <v>35.686956521739134</v>
      </c>
      <c r="L25" s="166">
        <v>0.45833333333333331</v>
      </c>
      <c r="M25" s="166">
        <v>0.45833333333333331</v>
      </c>
      <c r="N25" s="166">
        <v>0.5</v>
      </c>
      <c r="O25" s="166">
        <v>0.54166666666666663</v>
      </c>
      <c r="P25" s="166">
        <v>0.58333333333333337</v>
      </c>
      <c r="Q25" s="176" t="str">
        <f>IF(AND(OR(C25=1,SUM(O25:P25)=E25/24),SUM(L25:P25)=D25/24),"OK")</f>
        <v>OK</v>
      </c>
      <c r="R25" s="141">
        <v>3</v>
      </c>
      <c r="S25" s="142">
        <v>3</v>
      </c>
      <c r="T25" s="142">
        <v>3</v>
      </c>
      <c r="U25" s="142">
        <v>3</v>
      </c>
      <c r="V25" s="143">
        <v>3</v>
      </c>
      <c r="W25" s="162">
        <f ca="1">SUM(IF(OFFSET(Param!$C$4,R25,0)&gt;L25,0,L25-OFFSET(Param!$C$4,R25,0)),IF(OFFSET(Param!$C$4,S25,0)&gt;M25,0,M25-OFFSET(Param!$C$4,S25,0)),IF(OFFSET(Param!$C$4,T25,0)&gt;N25,0,N25-OFFSET(Param!$C$4,T25,0)),$C25*IF(OFFSET(Param!$C$4,U25,0)&gt;O25,0,O25-OFFSET(Param!$C$4,U25,0)),$C25*IF(OFFSET(Param!$C$4,V25,0)&gt;P25,0,P25-OFFSET(Param!$C$4,V25,0)))</f>
        <v>2.729166666666667</v>
      </c>
      <c r="X25" s="33">
        <f ca="1">I25-SUM(OFFSET(Param!$B$4,R25,0),OFFSET(Param!$B$4,S25,0),OFFSET(Param!$B$4,T25,0),$C25*OFFSET(Param!$B$4,U25,0),$C25*OFFSET(Param!$B$4,V25,0))</f>
        <v>-1402</v>
      </c>
      <c r="Y25" s="255">
        <f ca="1">IF(W25=0,IF(X25&lt;0,"-","")&amp;"inf",X25/W25)</f>
        <v>-513.70992366412213</v>
      </c>
      <c r="Z25" s="255">
        <f ca="1">IF(W25=0,"inf",H25/W25)</f>
        <v>62.656488549618317</v>
      </c>
      <c r="AA25" s="257">
        <f ca="1">-1000*H25/X25</f>
        <v>121.96861626248217</v>
      </c>
      <c r="AB25" s="172">
        <f ca="1">IF($AE$2="",$AC$2/H25,ABS($AE$2/X25))</f>
        <v>1426.5335235378031</v>
      </c>
      <c r="AC25" s="179">
        <f ca="1">AB25*H25</f>
        <v>243937.23252496435</v>
      </c>
      <c r="AD25" s="181">
        <f ca="1">AB25*W25/$AD$2</f>
        <v>194.66238706609607</v>
      </c>
      <c r="AE25" s="164">
        <f ca="1">IF(X25&gt;0,"lucro",-AB25*X25)</f>
        <v>2000000</v>
      </c>
    </row>
    <row r="26" spans="1:31">
      <c r="A26" s="89" t="str">
        <f>Frutos!A24</f>
        <v>LichiaR</v>
      </c>
      <c r="B26" s="36">
        <f>Frutos!B24</f>
        <v>19</v>
      </c>
      <c r="C26" s="36">
        <f>Frutos!D24</f>
        <v>3</v>
      </c>
      <c r="D26" s="36">
        <f>Frutos!E24</f>
        <v>40</v>
      </c>
      <c r="E26" s="36">
        <f>Frutos!F24</f>
        <v>16</v>
      </c>
      <c r="F26" s="55">
        <f>Frutos!J24</f>
        <v>55</v>
      </c>
      <c r="G26" s="61">
        <f>Frutos!P24</f>
        <v>3</v>
      </c>
      <c r="H26" s="31">
        <f>Frutos!S24</f>
        <v>171</v>
      </c>
      <c r="I26" s="31">
        <f>Frutos!M24</f>
        <v>7598</v>
      </c>
      <c r="J26" s="202">
        <f>Frutos!R24</f>
        <v>2532.6666666666665</v>
      </c>
      <c r="K26" s="157">
        <f>Frutos!U24</f>
        <v>57</v>
      </c>
      <c r="L26" s="166">
        <v>0.375</v>
      </c>
      <c r="M26" s="166">
        <v>0.29166666666666669</v>
      </c>
      <c r="N26" s="166">
        <v>0.33333333333333331</v>
      </c>
      <c r="O26" s="166">
        <v>0.33333333333333331</v>
      </c>
      <c r="P26" s="166">
        <v>0.33333333333333331</v>
      </c>
      <c r="Q26" s="176" t="str">
        <f>IF(AND(OR(C26=1,SUM(O26:P26)=E26/24),SUM(L26:P26)=D26/24),"OK")</f>
        <v>OK</v>
      </c>
      <c r="R26" s="141">
        <v>3</v>
      </c>
      <c r="S26" s="142">
        <v>3</v>
      </c>
      <c r="T26" s="142">
        <v>3</v>
      </c>
      <c r="U26" s="142">
        <v>3</v>
      </c>
      <c r="V26" s="143">
        <v>3</v>
      </c>
      <c r="W26" s="162">
        <f ca="1">SUM(IF(OFFSET(Param!$C$4,R26,0)&gt;L26,0,L26-OFFSET(Param!$C$4,R26,0)),IF(OFFSET(Param!$C$4,S26,0)&gt;M26,0,M26-OFFSET(Param!$C$4,S26,0)),IF(OFFSET(Param!$C$4,T26,0)&gt;N26,0,N26-OFFSET(Param!$C$4,T26,0)),$C26*IF(OFFSET(Param!$C$4,U26,0)&gt;O26,0,O26-OFFSET(Param!$C$4,U26,0)),$C26*IF(OFFSET(Param!$C$4,V26,0)&gt;P26,0,P26-OFFSET(Param!$C$4,V26,0)))</f>
        <v>0.9375</v>
      </c>
      <c r="X26" s="33">
        <f ca="1">I26-SUM(OFFSET(Param!$B$4,R26,0),OFFSET(Param!$B$4,S26,0),OFFSET(Param!$B$4,T26,0),$C26*OFFSET(Param!$B$4,U26,0),$C26*OFFSET(Param!$B$4,V26,0))</f>
        <v>-1402</v>
      </c>
      <c r="Y26" s="255">
        <f ca="1">IF(W26=0,IF(X26&lt;0,"-","")&amp;"inf",X26/W26)</f>
        <v>-1495.4666666666667</v>
      </c>
      <c r="Z26" s="255">
        <f ca="1">IF(W26=0,"inf",H26/W26)</f>
        <v>182.4</v>
      </c>
      <c r="AA26" s="257">
        <f ca="1">-1000*H26/X26</f>
        <v>121.96861626248217</v>
      </c>
      <c r="AB26" s="172">
        <f t="shared" ref="AB26" ca="1" si="16">IF($AE$2="",$AC$2/H26,ABS($AE$2/X26))</f>
        <v>1426.5335235378031</v>
      </c>
      <c r="AC26" s="179">
        <f ca="1">AB26*H26</f>
        <v>243937.23252496435</v>
      </c>
      <c r="AD26" s="181">
        <f t="shared" ref="AD26" ca="1" si="17">AB26*W26/$AD$2</f>
        <v>66.868758915834519</v>
      </c>
      <c r="AE26" s="164">
        <f t="shared" ref="AE26" ca="1" si="18">IF(X26&gt;0,"lucro",-AB26*X26)</f>
        <v>2000000</v>
      </c>
    </row>
    <row r="27" spans="1:31">
      <c r="A27" s="89" t="str">
        <f>Frutos!A25</f>
        <v>MangaR</v>
      </c>
      <c r="B27" s="36">
        <f>Frutos!B25</f>
        <v>21</v>
      </c>
      <c r="C27" s="36">
        <f>Frutos!D25</f>
        <v>3</v>
      </c>
      <c r="D27" s="36">
        <f>Frutos!E25</f>
        <v>40</v>
      </c>
      <c r="E27" s="36">
        <f>Frutos!F25</f>
        <v>16</v>
      </c>
      <c r="F27" s="55">
        <f>Frutos!J25</f>
        <v>60</v>
      </c>
      <c r="G27" s="61">
        <f>Frutos!P25</f>
        <v>3</v>
      </c>
      <c r="H27" s="31">
        <f>Frutos!S25</f>
        <v>186</v>
      </c>
      <c r="I27" s="31">
        <f>Frutos!M25</f>
        <v>6218</v>
      </c>
      <c r="J27" s="202">
        <f>Frutos!R25</f>
        <v>2072.666666666667</v>
      </c>
      <c r="K27" s="157">
        <f>Frutos!U25</f>
        <v>62</v>
      </c>
      <c r="L27" s="166">
        <v>0.375</v>
      </c>
      <c r="M27" s="166">
        <v>0.29166666666666669</v>
      </c>
      <c r="N27" s="166">
        <v>0.33333333333333331</v>
      </c>
      <c r="O27" s="166">
        <v>0.33333333333333331</v>
      </c>
      <c r="P27" s="166">
        <v>0.33333333333333331</v>
      </c>
      <c r="Q27" s="176" t="str">
        <f t="shared" ref="Q27" si="19">IF(AND(OR(C27=1,SUM(O27:P27)=E27/24),SUM(L27:P27)=D27/24),"OK")</f>
        <v>OK</v>
      </c>
      <c r="R27" s="141">
        <v>3</v>
      </c>
      <c r="S27" s="142">
        <v>3</v>
      </c>
      <c r="T27" s="142">
        <v>3</v>
      </c>
      <c r="U27" s="142">
        <v>3</v>
      </c>
      <c r="V27" s="143">
        <v>3</v>
      </c>
      <c r="W27" s="162">
        <f ca="1">SUM(IF(OFFSET(Param!$C$4,R27,0)&gt;L27,0,L27-OFFSET(Param!$C$4,R27,0)),IF(OFFSET(Param!$C$4,S27,0)&gt;M27,0,M27-OFFSET(Param!$C$4,S27,0)),IF(OFFSET(Param!$C$4,T27,0)&gt;N27,0,N27-OFFSET(Param!$C$4,T27,0)),$C27*IF(OFFSET(Param!$C$4,U27,0)&gt;O27,0,O27-OFFSET(Param!$C$4,U27,0)),$C27*IF(OFFSET(Param!$C$4,V27,0)&gt;P27,0,P27-OFFSET(Param!$C$4,V27,0)))</f>
        <v>0.9375</v>
      </c>
      <c r="X27" s="33">
        <f ca="1">I27-SUM(OFFSET(Param!$B$4,R27,0),OFFSET(Param!$B$4,S27,0),OFFSET(Param!$B$4,T27,0),$C27*OFFSET(Param!$B$4,U27,0),$C27*OFFSET(Param!$B$4,V27,0))</f>
        <v>-2782</v>
      </c>
      <c r="Y27" s="255">
        <f t="shared" ref="Y27" ca="1" si="20">IF(W27=0,IF(X27&lt;0,"-","")&amp;"inf",X27/W27)</f>
        <v>-2967.4666666666667</v>
      </c>
      <c r="Z27" s="255">
        <f t="shared" ref="Z27" ca="1" si="21">IF(W27=0,"inf",H27/W27)</f>
        <v>198.4</v>
      </c>
      <c r="AA27" s="257">
        <f t="shared" ref="AA27" ca="1" si="22">-1000*H27/X27</f>
        <v>66.858375269590226</v>
      </c>
      <c r="AB27" s="172">
        <f t="shared" ref="AB27" ca="1" si="23">IF($AE$2="",$AC$2/H27,ABS($AE$2/X27))</f>
        <v>718.90726096333572</v>
      </c>
      <c r="AC27" s="179">
        <f t="shared" ref="AC27" ca="1" si="24">AB27*H27</f>
        <v>133716.75053918044</v>
      </c>
      <c r="AD27" s="181">
        <f t="shared" ref="AD27" ca="1" si="25">AB27*W27/$AD$2</f>
        <v>33.698777857656367</v>
      </c>
      <c r="AE27" s="164">
        <f t="shared" ref="AE27" ca="1" si="26">IF(X27&gt;0,"lucro",-AB27*X27)</f>
        <v>2000000</v>
      </c>
    </row>
    <row r="28" spans="1:31">
      <c r="A28" s="89" t="str">
        <f>Frutos!A26</f>
        <v>CanaR</v>
      </c>
      <c r="B28" s="36">
        <f>Frutos!B26</f>
        <v>22</v>
      </c>
      <c r="C28" s="36">
        <f>Frutos!D26</f>
        <v>3</v>
      </c>
      <c r="D28" s="36">
        <f>Frutos!E26</f>
        <v>44</v>
      </c>
      <c r="E28" s="36">
        <f>Frutos!F26</f>
        <v>16</v>
      </c>
      <c r="F28" s="55">
        <f>Frutos!J26</f>
        <v>65</v>
      </c>
      <c r="G28" s="61">
        <f>Frutos!P26</f>
        <v>3.1666666666666665</v>
      </c>
      <c r="H28" s="31">
        <f>Frutos!S26</f>
        <v>201</v>
      </c>
      <c r="I28" s="31">
        <f>Frutos!M26</f>
        <v>9050</v>
      </c>
      <c r="J28" s="202">
        <f>Frutos!R26</f>
        <v>2857.8947368421054</v>
      </c>
      <c r="K28" s="157">
        <f>Frutos!U26</f>
        <v>63.473684210526315</v>
      </c>
      <c r="L28" s="166">
        <v>0.41666666666666669</v>
      </c>
      <c r="M28" s="166">
        <v>0.41666666666666669</v>
      </c>
      <c r="N28" s="166">
        <v>0.33333333333333331</v>
      </c>
      <c r="O28" s="166">
        <v>0.33333333333333331</v>
      </c>
      <c r="P28" s="166">
        <v>0.33333333333333331</v>
      </c>
      <c r="Q28" s="176" t="str">
        <f t="shared" si="14"/>
        <v>OK</v>
      </c>
      <c r="R28" s="141">
        <v>3</v>
      </c>
      <c r="S28" s="142">
        <v>3</v>
      </c>
      <c r="T28" s="142">
        <v>3</v>
      </c>
      <c r="U28" s="142">
        <v>3</v>
      </c>
      <c r="V28" s="143">
        <v>3</v>
      </c>
      <c r="W28" s="162">
        <f ca="1">SUM(IF(OFFSET(Param!$C$4,R28,0)&gt;L28,0,L28-OFFSET(Param!$C$4,R28,0)),IF(OFFSET(Param!$C$4,S28,0)&gt;M28,0,M28-OFFSET(Param!$C$4,S28,0)),IF(OFFSET(Param!$C$4,T28,0)&gt;N28,0,N28-OFFSET(Param!$C$4,T28,0)),$C28*IF(OFFSET(Param!$C$4,U28,0)&gt;O28,0,O28-OFFSET(Param!$C$4,U28,0)),$C28*IF(OFFSET(Param!$C$4,V28,0)&gt;P28,0,P28-OFFSET(Param!$C$4,V28,0)))</f>
        <v>1.1041666666666667</v>
      </c>
      <c r="X28" s="33">
        <f ca="1">I28-SUM(OFFSET(Param!$B$4,R28,0),OFFSET(Param!$B$4,S28,0),OFFSET(Param!$B$4,T28,0),$C28*OFFSET(Param!$B$4,U28,0),$C28*OFFSET(Param!$B$4,V28,0))</f>
        <v>50</v>
      </c>
      <c r="Y28" s="255">
        <f t="shared" ref="Y28" ca="1" si="27">IF(W28=0,IF(X28&lt;0,"-","")&amp;"inf",X28/W28)</f>
        <v>45.283018867924525</v>
      </c>
      <c r="Z28" s="255">
        <f t="shared" ref="Z28" ca="1" si="28">IF(W28=0,"inf",H28/W28)</f>
        <v>182.03773584905659</v>
      </c>
      <c r="AA28" s="257">
        <f ca="1">-1000*H28/X28</f>
        <v>-4020</v>
      </c>
      <c r="AB28" s="172">
        <f t="shared" ref="AB28" ca="1" si="29">IF($AE$2="",$AC$2/H28,ABS($AE$2/X28))</f>
        <v>40000</v>
      </c>
      <c r="AC28" s="179">
        <f t="shared" ref="AC28" ca="1" si="30">AB28*H28</f>
        <v>8040000</v>
      </c>
      <c r="AD28" s="181">
        <f t="shared" ref="AD28" ca="1" si="31">AB28*W28/$AD$2</f>
        <v>2208.3333333333335</v>
      </c>
      <c r="AE28" s="164" t="str">
        <f t="shared" ref="AE28" ca="1" si="32">IF(X28&gt;0,"lucro",-AB28*X28)</f>
        <v>lucro</v>
      </c>
    </row>
    <row r="29" spans="1:31">
      <c r="A29" s="89" t="str">
        <f>Frutos!A27</f>
        <v>Kiwi</v>
      </c>
      <c r="B29" s="36">
        <f>Frutos!B27</f>
        <v>23</v>
      </c>
      <c r="C29" s="36">
        <f>Frutos!D27</f>
        <v>3</v>
      </c>
      <c r="D29" s="36">
        <f>Frutos!E27</f>
        <v>40</v>
      </c>
      <c r="E29" s="36">
        <f>Frutos!F27</f>
        <v>16</v>
      </c>
      <c r="F29" s="55">
        <f>Frutos!J27</f>
        <v>65</v>
      </c>
      <c r="G29" s="61">
        <f>Frutos!P27</f>
        <v>3</v>
      </c>
      <c r="H29" s="31">
        <f>Frutos!S27</f>
        <v>201</v>
      </c>
      <c r="I29" s="31">
        <f>Frutos!M27</f>
        <v>8750</v>
      </c>
      <c r="J29" s="202">
        <f>Frutos!R27</f>
        <v>2916.6666666666665</v>
      </c>
      <c r="K29" s="157">
        <f>Frutos!U27</f>
        <v>67</v>
      </c>
      <c r="L29" s="166">
        <v>0.375</v>
      </c>
      <c r="M29" s="166">
        <v>0.29166666666666669</v>
      </c>
      <c r="N29" s="166">
        <v>0.33333333333333331</v>
      </c>
      <c r="O29" s="166">
        <v>0.33333333333333331</v>
      </c>
      <c r="P29" s="166">
        <v>0.33333333333333331</v>
      </c>
      <c r="Q29" s="176" t="str">
        <f t="shared" si="14"/>
        <v>OK</v>
      </c>
      <c r="R29" s="141">
        <v>3</v>
      </c>
      <c r="S29" s="142">
        <v>3</v>
      </c>
      <c r="T29" s="142">
        <v>3</v>
      </c>
      <c r="U29" s="142">
        <v>3</v>
      </c>
      <c r="V29" s="143">
        <v>3</v>
      </c>
      <c r="W29" s="162">
        <f ca="1">SUM(IF(OFFSET(Param!$C$4,R29,0)&gt;L29,0,L29-OFFSET(Param!$C$4,R29,0)),IF(OFFSET(Param!$C$4,S29,0)&gt;M29,0,M29-OFFSET(Param!$C$4,S29,0)),IF(OFFSET(Param!$C$4,T29,0)&gt;N29,0,N29-OFFSET(Param!$C$4,T29,0)),$C29*IF(OFFSET(Param!$C$4,U29,0)&gt;O29,0,O29-OFFSET(Param!$C$4,U29,0)),$C29*IF(OFFSET(Param!$C$4,V29,0)&gt;P29,0,P29-OFFSET(Param!$C$4,V29,0)))</f>
        <v>0.9375</v>
      </c>
      <c r="X29" s="33">
        <f ca="1">I29-SUM(OFFSET(Param!$B$4,R29,0),OFFSET(Param!$B$4,S29,0),OFFSET(Param!$B$4,T29,0),$C29*OFFSET(Param!$B$4,U29,0),$C29*OFFSET(Param!$B$4,V29,0))</f>
        <v>-250</v>
      </c>
      <c r="Y29" s="255">
        <f ca="1">IF(W29=0,IF(X29&lt;0,"-","")&amp;"inf",X29/W29)</f>
        <v>-266.66666666666669</v>
      </c>
      <c r="Z29" s="255">
        <f ca="1">IF(W29=0,"inf",H29/W29)</f>
        <v>214.4</v>
      </c>
      <c r="AA29" s="257">
        <f ca="1">-1000*H29/X29</f>
        <v>804</v>
      </c>
      <c r="AB29" s="172">
        <f t="shared" ca="1" si="11"/>
        <v>8000</v>
      </c>
      <c r="AC29" s="179">
        <f t="shared" ca="1" si="15"/>
        <v>1608000</v>
      </c>
      <c r="AD29" s="181">
        <f t="shared" ca="1" si="12"/>
        <v>375</v>
      </c>
      <c r="AE29" s="164">
        <f t="shared" ca="1" si="13"/>
        <v>2000000</v>
      </c>
    </row>
    <row r="30" spans="1:31">
      <c r="A30" s="89" t="str">
        <f>Frutos!A28</f>
        <v>Abacaxi</v>
      </c>
      <c r="B30" s="36">
        <f>Frutos!B28</f>
        <v>26</v>
      </c>
      <c r="C30" s="36">
        <f>Frutos!D28</f>
        <v>3</v>
      </c>
      <c r="D30" s="36">
        <f>Frutos!E28</f>
        <v>56</v>
      </c>
      <c r="E30" s="36">
        <f>Frutos!F28</f>
        <v>22</v>
      </c>
      <c r="F30" s="55">
        <f>Frutos!J28</f>
        <v>70</v>
      </c>
      <c r="G30" s="61">
        <f>Frutos!P28</f>
        <v>4.166666666666667</v>
      </c>
      <c r="H30" s="31">
        <f>Frutos!S28</f>
        <v>216</v>
      </c>
      <c r="I30" s="31">
        <f>Frutos!M28</f>
        <v>9344</v>
      </c>
      <c r="J30" s="202">
        <f>Frutos!R28</f>
        <v>2242.56</v>
      </c>
      <c r="K30" s="157">
        <f>Frutos!U28</f>
        <v>51.84</v>
      </c>
      <c r="L30" s="166">
        <v>0.45833333333333331</v>
      </c>
      <c r="M30" s="166">
        <v>0.5</v>
      </c>
      <c r="N30" s="166">
        <v>0.45833333333333331</v>
      </c>
      <c r="O30" s="166">
        <v>0.45833333333333331</v>
      </c>
      <c r="P30" s="166">
        <v>0.45833333333333331</v>
      </c>
      <c r="Q30" s="176" t="str">
        <f t="shared" ref="Q30:Q37" si="33">IF(AND(OR(C30=1,SUM(O30:P30)=E30/24),SUM(L30:P30)=D30/24),"OK")</f>
        <v>OK</v>
      </c>
      <c r="R30" s="141">
        <v>3</v>
      </c>
      <c r="S30" s="142">
        <v>3</v>
      </c>
      <c r="T30" s="142">
        <v>3</v>
      </c>
      <c r="U30" s="142">
        <v>3</v>
      </c>
      <c r="V30" s="143">
        <v>3</v>
      </c>
      <c r="W30" s="162">
        <f ca="1">SUM(IF(OFFSET(Param!$C$4,R30,0)&gt;L30,0,L30-OFFSET(Param!$C$4,R30,0)),IF(OFFSET(Param!$C$4,S30,0)&gt;M30,0,M30-OFFSET(Param!$C$4,S30,0)),IF(OFFSET(Param!$C$4,T30,0)&gt;N30,0,N30-OFFSET(Param!$C$4,T30,0)),$C30*IF(OFFSET(Param!$C$4,U30,0)&gt;O30,0,O30-OFFSET(Param!$C$4,U30,0)),$C30*IF(OFFSET(Param!$C$4,V30,0)&gt;P30,0,P30-OFFSET(Param!$C$4,V30,0)))</f>
        <v>2.1041666666666665</v>
      </c>
      <c r="X30" s="33">
        <f ca="1">I30-SUM(OFFSET(Param!$B$4,R30,0),OFFSET(Param!$B$4,S30,0),OFFSET(Param!$B$4,T30,0),$C30*OFFSET(Param!$B$4,U30,0),$C30*OFFSET(Param!$B$4,V30,0))</f>
        <v>344</v>
      </c>
      <c r="Y30" s="255">
        <f t="shared" ref="Y30:Y35" ca="1" si="34">IF(W30=0,IF(X30&lt;0,"-","")&amp;"inf",X30/W30)</f>
        <v>163.48514851485149</v>
      </c>
      <c r="Z30" s="255">
        <f t="shared" ref="Z30:Z35" ca="1" si="35">IF(W30=0,"inf",H30/W30)</f>
        <v>102.65346534653466</v>
      </c>
      <c r="AA30" s="257">
        <f t="shared" ref="AA30:AA35" ca="1" si="36">-1000*H30/X30</f>
        <v>-627.90697674418607</v>
      </c>
      <c r="AB30" s="172">
        <f t="shared" ref="AB30:AB35" ca="1" si="37">IF($AE$2="",$AC$2/H30,ABS($AE$2/X30))</f>
        <v>5813.9534883720926</v>
      </c>
      <c r="AC30" s="179">
        <f t="shared" ca="1" si="15"/>
        <v>1255813.953488372</v>
      </c>
      <c r="AD30" s="181">
        <f t="shared" ref="AD30:AD35" ca="1" si="38">AB30*W30/$AD$2</f>
        <v>611.67635658914719</v>
      </c>
      <c r="AE30" s="164" t="str">
        <f t="shared" ref="AE30:AE35" ca="1" si="39">IF(X30&gt;0,"lucro",-AB30*X30)</f>
        <v>lucro</v>
      </c>
    </row>
    <row r="31" spans="1:31">
      <c r="A31" s="89" t="str">
        <f>Frutos!A29</f>
        <v>Cereja</v>
      </c>
      <c r="B31" s="36">
        <f>Frutos!B29</f>
        <v>28</v>
      </c>
      <c r="C31" s="36">
        <f>Frutos!D29</f>
        <v>3</v>
      </c>
      <c r="D31" s="36">
        <f>Frutos!E29</f>
        <v>40</v>
      </c>
      <c r="E31" s="36">
        <f>Frutos!F29</f>
        <v>16</v>
      </c>
      <c r="F31" s="55">
        <f>Frutos!J29</f>
        <v>80</v>
      </c>
      <c r="G31" s="61">
        <f>Frutos!P29</f>
        <v>3</v>
      </c>
      <c r="H31" s="31">
        <f>Frutos!S29</f>
        <v>246</v>
      </c>
      <c r="I31" s="31">
        <f>Frutos!M29</f>
        <v>10568</v>
      </c>
      <c r="J31" s="202">
        <f>Frutos!R29</f>
        <v>3522.6666666666665</v>
      </c>
      <c r="K31" s="157">
        <f>Frutos!U29</f>
        <v>82</v>
      </c>
      <c r="L31" s="166">
        <v>0.375</v>
      </c>
      <c r="M31" s="166">
        <v>0.29166666666666669</v>
      </c>
      <c r="N31" s="166">
        <v>0.33333333333333331</v>
      </c>
      <c r="O31" s="166">
        <v>0.33333333333333331</v>
      </c>
      <c r="P31" s="166">
        <v>0.33333333333333331</v>
      </c>
      <c r="Q31" s="176" t="str">
        <f t="shared" si="33"/>
        <v>OK</v>
      </c>
      <c r="R31" s="141">
        <v>3</v>
      </c>
      <c r="S31" s="142">
        <v>3</v>
      </c>
      <c r="T31" s="142">
        <v>3</v>
      </c>
      <c r="U31" s="142">
        <v>3</v>
      </c>
      <c r="V31" s="143">
        <v>3</v>
      </c>
      <c r="W31" s="162">
        <f ca="1">SUM(IF(OFFSET(Param!$C$4,R31,0)&gt;L31,0,L31-OFFSET(Param!$C$4,R31,0)),IF(OFFSET(Param!$C$4,S31,0)&gt;M31,0,M31-OFFSET(Param!$C$4,S31,0)),IF(OFFSET(Param!$C$4,T31,0)&gt;N31,0,N31-OFFSET(Param!$C$4,T31,0)),$C31*IF(OFFSET(Param!$C$4,U31,0)&gt;O31,0,O31-OFFSET(Param!$C$4,U31,0)),$C31*IF(OFFSET(Param!$C$4,V31,0)&gt;P31,0,P31-OFFSET(Param!$C$4,V31,0)))</f>
        <v>0.9375</v>
      </c>
      <c r="X31" s="33">
        <f ca="1">I31-SUM(OFFSET(Param!$B$4,R31,0),OFFSET(Param!$B$4,S31,0),OFFSET(Param!$B$4,T31,0),$C31*OFFSET(Param!$B$4,U31,0),$C31*OFFSET(Param!$B$4,V31,0))</f>
        <v>1568</v>
      </c>
      <c r="Y31" s="255">
        <f t="shared" ca="1" si="34"/>
        <v>1672.5333333333333</v>
      </c>
      <c r="Z31" s="255">
        <f t="shared" ca="1" si="35"/>
        <v>262.39999999999998</v>
      </c>
      <c r="AA31" s="257">
        <f t="shared" ca="1" si="36"/>
        <v>-156.88775510204081</v>
      </c>
      <c r="AB31" s="172">
        <f t="shared" ca="1" si="37"/>
        <v>1275.5102040816328</v>
      </c>
      <c r="AC31" s="179">
        <f t="shared" ca="1" si="15"/>
        <v>313775.51020408166</v>
      </c>
      <c r="AD31" s="181">
        <f t="shared" ca="1" si="38"/>
        <v>59.789540816326529</v>
      </c>
      <c r="AE31" s="164" t="str">
        <f t="shared" ca="1" si="39"/>
        <v>lucro</v>
      </c>
    </row>
    <row r="32" spans="1:31">
      <c r="A32" s="89" t="str">
        <f>Frutos!A30</f>
        <v>Pitaya</v>
      </c>
      <c r="B32" s="36">
        <f>Frutos!B30</f>
        <v>31</v>
      </c>
      <c r="C32" s="36">
        <f>Frutos!D30</f>
        <v>4</v>
      </c>
      <c r="D32" s="36">
        <f>Frutos!E30</f>
        <v>50</v>
      </c>
      <c r="E32" s="36">
        <f>Frutos!F30</f>
        <v>18</v>
      </c>
      <c r="F32" s="55">
        <f>Frutos!J30</f>
        <v>60</v>
      </c>
      <c r="G32" s="61">
        <f>Frutos!P30</f>
        <v>4.333333333333333</v>
      </c>
      <c r="H32" s="31">
        <f>Frutos!S30</f>
        <v>246</v>
      </c>
      <c r="I32" s="31">
        <f>Frutos!M30</f>
        <v>19212</v>
      </c>
      <c r="J32" s="202">
        <f>Frutos!R30</f>
        <v>4433.538461538461</v>
      </c>
      <c r="K32" s="157">
        <f>Frutos!U30</f>
        <v>56.769230769230774</v>
      </c>
      <c r="L32" s="166">
        <v>0.5</v>
      </c>
      <c r="M32" s="166">
        <v>0.45833333333333331</v>
      </c>
      <c r="N32" s="166">
        <v>0.375</v>
      </c>
      <c r="O32" s="166">
        <v>0.375</v>
      </c>
      <c r="P32" s="166">
        <v>0.375</v>
      </c>
      <c r="Q32" s="176" t="str">
        <f t="shared" si="33"/>
        <v>OK</v>
      </c>
      <c r="R32" s="141">
        <v>3</v>
      </c>
      <c r="S32" s="142">
        <v>3</v>
      </c>
      <c r="T32" s="142">
        <v>3</v>
      </c>
      <c r="U32" s="142">
        <v>3</v>
      </c>
      <c r="V32" s="143">
        <v>3</v>
      </c>
      <c r="W32" s="162">
        <f ca="1">SUM(IF(OFFSET(Param!$C$4,R32,0)&gt;L32,0,L32-OFFSET(Param!$C$4,R32,0)),IF(OFFSET(Param!$C$4,S32,0)&gt;M32,0,M32-OFFSET(Param!$C$4,S32,0)),IF(OFFSET(Param!$C$4,T32,0)&gt;N32,0,N32-OFFSET(Param!$C$4,T32,0)),$C32*IF(OFFSET(Param!$C$4,U32,0)&gt;O32,0,O32-OFFSET(Param!$C$4,U32,0)),$C32*IF(OFFSET(Param!$C$4,V32,0)&gt;P32,0,P32-OFFSET(Param!$C$4,V32,0)))</f>
        <v>1.8125</v>
      </c>
      <c r="X32" s="33">
        <f ca="1">I32-SUM(OFFSET(Param!$B$4,R32,0),OFFSET(Param!$B$4,S32,0),OFFSET(Param!$B$4,T32,0),$C32*OFFSET(Param!$B$4,U32,0),$C32*OFFSET(Param!$B$4,V32,0))</f>
        <v>8212</v>
      </c>
      <c r="Y32" s="255">
        <f t="shared" ca="1" si="34"/>
        <v>4530.7586206896549</v>
      </c>
      <c r="Z32" s="255">
        <f t="shared" ca="1" si="35"/>
        <v>135.72413793103448</v>
      </c>
      <c r="AA32" s="257">
        <f t="shared" ca="1" si="36"/>
        <v>-29.956161714564054</v>
      </c>
      <c r="AB32" s="172">
        <f t="shared" ca="1" si="37"/>
        <v>243.54603019970776</v>
      </c>
      <c r="AC32" s="179">
        <f t="shared" ca="1" si="5"/>
        <v>59912.323429128111</v>
      </c>
      <c r="AD32" s="181">
        <f t="shared" ca="1" si="38"/>
        <v>22.071358986848516</v>
      </c>
      <c r="AE32" s="164" t="str">
        <f t="shared" ca="1" si="39"/>
        <v>lucro</v>
      </c>
    </row>
    <row r="33" spans="1:31">
      <c r="A33" s="89" t="str">
        <f>Frutos!A31</f>
        <v>Manga</v>
      </c>
      <c r="B33" s="36">
        <f>Frutos!B31</f>
        <v>36</v>
      </c>
      <c r="C33" s="36">
        <f>Frutos!D31</f>
        <v>4</v>
      </c>
      <c r="D33" s="36">
        <f>Frutos!E31</f>
        <v>45</v>
      </c>
      <c r="E33" s="36">
        <f>Frutos!F31</f>
        <v>18</v>
      </c>
      <c r="F33" s="55">
        <f>Frutos!J31</f>
        <v>60</v>
      </c>
      <c r="G33" s="61">
        <f>Frutos!P31</f>
        <v>4.125</v>
      </c>
      <c r="H33" s="31">
        <f>Frutos!S31</f>
        <v>246</v>
      </c>
      <c r="I33" s="31">
        <f>Frutos!M31</f>
        <v>24246</v>
      </c>
      <c r="J33" s="202">
        <f>Frutos!R31</f>
        <v>5877.818181818182</v>
      </c>
      <c r="K33" s="157">
        <f>Frutos!U31</f>
        <v>59.63636363636364</v>
      </c>
      <c r="L33" s="166">
        <v>0.41666666666666669</v>
      </c>
      <c r="M33" s="166">
        <v>0.33333333333333331</v>
      </c>
      <c r="N33" s="166">
        <v>0.375</v>
      </c>
      <c r="O33" s="166">
        <v>0.375</v>
      </c>
      <c r="P33" s="166">
        <v>0.375</v>
      </c>
      <c r="Q33" s="176" t="str">
        <f t="shared" si="33"/>
        <v>OK</v>
      </c>
      <c r="R33" s="141">
        <v>3</v>
      </c>
      <c r="S33" s="142">
        <v>3</v>
      </c>
      <c r="T33" s="142">
        <v>3</v>
      </c>
      <c r="U33" s="142">
        <v>3</v>
      </c>
      <c r="V33" s="143">
        <v>3</v>
      </c>
      <c r="W33" s="162">
        <f ca="1">SUM(IF(OFFSET(Param!$C$4,R33,0)&gt;L33,0,L33-OFFSET(Param!$C$4,R33,0)),IF(OFFSET(Param!$C$4,S33,0)&gt;M33,0,M33-OFFSET(Param!$C$4,S33,0)),IF(OFFSET(Param!$C$4,T33,0)&gt;N33,0,N33-OFFSET(Param!$C$4,T33,0)),$C33*IF(OFFSET(Param!$C$4,U33,0)&gt;O33,0,O33-OFFSET(Param!$C$4,U33,0)),$C33*IF(OFFSET(Param!$C$4,V33,0)&gt;P33,0,P33-OFFSET(Param!$C$4,V33,0)))</f>
        <v>1.604166666666667</v>
      </c>
      <c r="X33" s="33">
        <f ca="1">I33-SUM(OFFSET(Param!$B$4,R33,0),OFFSET(Param!$B$4,S33,0),OFFSET(Param!$B$4,T33,0),$C33*OFFSET(Param!$B$4,U33,0),$C33*OFFSET(Param!$B$4,V33,0))</f>
        <v>13246</v>
      </c>
      <c r="Y33" s="255">
        <f t="shared" ca="1" si="34"/>
        <v>8257.2467532467526</v>
      </c>
      <c r="Z33" s="255">
        <f t="shared" ca="1" si="35"/>
        <v>153.35064935064932</v>
      </c>
      <c r="AA33" s="257">
        <f t="shared" ca="1" si="36"/>
        <v>-18.571644269968292</v>
      </c>
      <c r="AB33" s="172">
        <f t="shared" ca="1" si="37"/>
        <v>150.98897780462028</v>
      </c>
      <c r="AC33" s="179">
        <f t="shared" ref="AC33:AC39" ca="1" si="40">AB33*H33</f>
        <v>37143.288539936591</v>
      </c>
      <c r="AD33" s="181">
        <f t="shared" ca="1" si="38"/>
        <v>12.110574261412253</v>
      </c>
      <c r="AE33" s="164" t="str">
        <f t="shared" ca="1" si="39"/>
        <v>lucro</v>
      </c>
    </row>
    <row r="34" spans="1:31">
      <c r="A34" s="89" t="str">
        <f>Frutos!A32</f>
        <v>Cacau</v>
      </c>
      <c r="B34" s="36">
        <f>Frutos!B32</f>
        <v>40</v>
      </c>
      <c r="C34" s="36">
        <f>Frutos!D32</f>
        <v>4</v>
      </c>
      <c r="D34" s="36">
        <f>Frutos!E32</f>
        <v>86</v>
      </c>
      <c r="E34" s="36">
        <f>Frutos!F32</f>
        <v>51</v>
      </c>
      <c r="F34" s="55">
        <f>Frutos!J32</f>
        <v>56</v>
      </c>
      <c r="G34" s="61">
        <f>Frutos!P32</f>
        <v>9.9583333333333339</v>
      </c>
      <c r="H34" s="31">
        <f>Frutos!S32</f>
        <v>230</v>
      </c>
      <c r="I34" s="31">
        <f>Frutos!M32</f>
        <v>71060</v>
      </c>
      <c r="J34" s="202">
        <f>Frutos!R32</f>
        <v>7135.7322175732206</v>
      </c>
      <c r="K34" s="157">
        <f>Frutos!U32</f>
        <v>23.09623430962343</v>
      </c>
      <c r="L34" s="166">
        <v>0.75</v>
      </c>
      <c r="M34" s="166">
        <v>0.70833333333333337</v>
      </c>
      <c r="N34" s="166">
        <v>0.70833333333333337</v>
      </c>
      <c r="O34" s="166">
        <v>0.70833333333333337</v>
      </c>
      <c r="P34" s="166">
        <v>0.70833333333333337</v>
      </c>
      <c r="Q34" s="176" t="str">
        <f>IF(AND(OR(C34=1,SUM(N34:P34)=E34/24),SUM(L34:P34)=D34/24),"OK")</f>
        <v>OK</v>
      </c>
      <c r="R34" s="141">
        <v>3</v>
      </c>
      <c r="S34" s="142">
        <v>3</v>
      </c>
      <c r="T34" s="142">
        <v>3</v>
      </c>
      <c r="U34" s="142">
        <v>3</v>
      </c>
      <c r="V34" s="143">
        <v>3</v>
      </c>
      <c r="W34" s="162">
        <f ca="1">SUM(IF(OFFSET(Param!$C$4,R34,0)&gt;L34,0,L34-OFFSET(Param!$C$4,R34,0)),IF(OFFSET(Param!$C$4,S34,0)&gt;M34,0,M34-OFFSET(Param!$C$4,S34,0)),$C34*(IF(OFFSET(Param!$C$4,T34,0)&gt;N34,0,N34-OFFSET(Param!$C$4,T34,0))+IF(OFFSET(Param!$C$4,U34,0)&gt;O34,0,O34-OFFSET(Param!$C$4,U34,0))+IF(OFFSET(Param!$C$4,V34,0)&gt;P34,0,P34-OFFSET(Param!$C$4,V34,0))))</f>
        <v>6.7500000000000009</v>
      </c>
      <c r="X34" s="33">
        <f ca="1">I34-SUM(OFFSET(Param!$B$4,R34,0),OFFSET(Param!$B$4,S34,0),$C34*(OFFSET(Param!$B$4,T34,0)+OFFSET(Param!$B$4,U34,0)+OFFSET(Param!$B$4,V34,0)))</f>
        <v>57060</v>
      </c>
      <c r="Y34" s="255">
        <f t="shared" ca="1" si="34"/>
        <v>8453.3333333333321</v>
      </c>
      <c r="Z34" s="255">
        <f t="shared" ca="1" si="35"/>
        <v>34.074074074074069</v>
      </c>
      <c r="AA34" s="257">
        <f t="shared" ca="1" si="36"/>
        <v>-4.0308447248510344</v>
      </c>
      <c r="AB34" s="172">
        <f t="shared" ca="1" si="37"/>
        <v>35.050823694356815</v>
      </c>
      <c r="AC34" s="179">
        <f t="shared" ca="1" si="40"/>
        <v>8061.6894497020676</v>
      </c>
      <c r="AD34" s="181">
        <f t="shared" ca="1" si="38"/>
        <v>11.829652996845427</v>
      </c>
      <c r="AE34" s="164" t="str">
        <f t="shared" ca="1" si="39"/>
        <v>lucro</v>
      </c>
    </row>
    <row r="35" spans="1:31">
      <c r="A35" s="89" t="str">
        <f>Frutos!A33</f>
        <v>Caviar</v>
      </c>
      <c r="B35" s="36">
        <f>Frutos!B33</f>
        <v>50</v>
      </c>
      <c r="C35" s="36">
        <f>Frutos!D33</f>
        <v>1</v>
      </c>
      <c r="D35" s="36">
        <f>Frutos!E33</f>
        <v>70</v>
      </c>
      <c r="E35" s="36">
        <f>Frutos!F33</f>
        <v>0</v>
      </c>
      <c r="F35" s="55">
        <f>Frutos!J33</f>
        <v>120</v>
      </c>
      <c r="G35" s="61">
        <f>Frutos!P33</f>
        <v>2.9166666666666665</v>
      </c>
      <c r="H35" s="31">
        <f>Frutos!S33</f>
        <v>126</v>
      </c>
      <c r="I35" s="31">
        <f>Frutos!M33</f>
        <v>19000</v>
      </c>
      <c r="J35" s="202">
        <f>Frutos!R33</f>
        <v>6514.2857142857147</v>
      </c>
      <c r="K35" s="157">
        <f>Frutos!U33</f>
        <v>43.2</v>
      </c>
      <c r="L35" s="166">
        <v>0.66666666666666663</v>
      </c>
      <c r="M35" s="166">
        <v>0.58333333333333337</v>
      </c>
      <c r="N35" s="166">
        <v>0.54166666666666663</v>
      </c>
      <c r="O35" s="166">
        <v>0.58333333333333337</v>
      </c>
      <c r="P35" s="166">
        <v>0.54166666666666663</v>
      </c>
      <c r="Q35" s="176" t="str">
        <f t="shared" si="33"/>
        <v>OK</v>
      </c>
      <c r="R35" s="141">
        <v>3</v>
      </c>
      <c r="S35" s="142">
        <v>3</v>
      </c>
      <c r="T35" s="142">
        <v>3</v>
      </c>
      <c r="U35" s="142">
        <v>3</v>
      </c>
      <c r="V35" s="143">
        <v>3</v>
      </c>
      <c r="W35" s="162">
        <f ca="1">SUM(IF(OFFSET(Param!$C$4,R35,0)&gt;L35,0,L35-OFFSET(Param!$C$4,R35,0)),IF(OFFSET(Param!$C$4,S35,0)&gt;M35,0,M35-OFFSET(Param!$C$4,S35,0)),IF(OFFSET(Param!$C$4,T35,0)&gt;N35,0,N35-OFFSET(Param!$C$4,T35,0)),$C35*IF(OFFSET(Param!$C$4,U35,0)&gt;O35,0,O35-OFFSET(Param!$C$4,U35,0)),$C35*IF(OFFSET(Param!$C$4,V35,0)&gt;P35,0,P35-OFFSET(Param!$C$4,V35,0)))</f>
        <v>1.7708333333333335</v>
      </c>
      <c r="X35" s="33">
        <f ca="1">I35-SUM(OFFSET(Param!$B$4,R35,0),OFFSET(Param!$B$4,S35,0),OFFSET(Param!$B$4,T35,0),$C35*OFFSET(Param!$B$4,U35,0),$C35*OFFSET(Param!$B$4,V35,0))</f>
        <v>14000</v>
      </c>
      <c r="Y35" s="255">
        <f t="shared" ca="1" si="34"/>
        <v>7905.8823529411757</v>
      </c>
      <c r="Z35" s="255">
        <f t="shared" ca="1" si="35"/>
        <v>71.152941176470577</v>
      </c>
      <c r="AA35" s="257">
        <f t="shared" ca="1" si="36"/>
        <v>-9</v>
      </c>
      <c r="AB35" s="172">
        <f t="shared" ca="1" si="37"/>
        <v>142.85714285714286</v>
      </c>
      <c r="AC35" s="179">
        <f t="shared" ca="1" si="40"/>
        <v>18000</v>
      </c>
      <c r="AD35" s="181">
        <f t="shared" ca="1" si="38"/>
        <v>12.648809523809526</v>
      </c>
      <c r="AE35" s="164" t="str">
        <f t="shared" ca="1" si="39"/>
        <v>lucro</v>
      </c>
    </row>
    <row r="36" spans="1:31">
      <c r="A36" s="89" t="str">
        <f>Frutos!A34</f>
        <v>Goiaba</v>
      </c>
      <c r="B36" s="36">
        <v>50</v>
      </c>
      <c r="C36" s="36">
        <f>Frutos!D34</f>
        <v>4</v>
      </c>
      <c r="D36" s="36">
        <f>Frutos!E34</f>
        <v>40</v>
      </c>
      <c r="E36" s="36">
        <f>Frutos!F34</f>
        <v>16</v>
      </c>
      <c r="F36" s="55">
        <f>Frutos!J34</f>
        <v>80</v>
      </c>
      <c r="G36" s="61">
        <f>Frutos!P34</f>
        <v>3.6666666666666665</v>
      </c>
      <c r="H36" s="31">
        <f>Frutos!S34</f>
        <v>326</v>
      </c>
      <c r="I36" s="31">
        <f>Frutos!M34</f>
        <v>29800</v>
      </c>
      <c r="J36" s="202">
        <f>Frutos!R34</f>
        <v>8127.272727272727</v>
      </c>
      <c r="K36" s="157">
        <f>Frutos!U34</f>
        <v>88.909090909090907</v>
      </c>
      <c r="L36" s="166">
        <v>0.33333333333333331</v>
      </c>
      <c r="M36" s="166">
        <v>0.33333333333333331</v>
      </c>
      <c r="N36" s="166">
        <v>0.33333333333333331</v>
      </c>
      <c r="O36" s="166">
        <v>0.33333333333333331</v>
      </c>
      <c r="P36" s="166">
        <v>0.33333333333333331</v>
      </c>
      <c r="Q36" s="176" t="str">
        <f t="shared" ref="Q36" si="41">IF(AND(OR(C36=1,SUM(O36:P36)=E36/24),SUM(L36:P36)=D36/24),"OK")</f>
        <v>OK</v>
      </c>
      <c r="R36" s="141">
        <v>3</v>
      </c>
      <c r="S36" s="142">
        <v>3</v>
      </c>
      <c r="T36" s="142">
        <v>3</v>
      </c>
      <c r="U36" s="142">
        <v>3</v>
      </c>
      <c r="V36" s="143">
        <v>3</v>
      </c>
      <c r="W36" s="162">
        <f ca="1">SUM(IF(OFFSET(Param!$C$4,R36,0)&gt;L36,0,L36-OFFSET(Param!$C$4,R36,0)),IF(OFFSET(Param!$C$4,S36,0)&gt;M36,0,M36-OFFSET(Param!$C$4,S36,0)),IF(OFFSET(Param!$C$4,T36,0)&gt;N36,0,N36-OFFSET(Param!$C$4,T36,0)),$C36*IF(OFFSET(Param!$C$4,U36,0)&gt;O36,0,O36-OFFSET(Param!$C$4,U36,0)),$C36*IF(OFFSET(Param!$C$4,V36,0)&gt;P36,0,P36-OFFSET(Param!$C$4,V36,0)))</f>
        <v>1.1458333333333333</v>
      </c>
      <c r="X36" s="33">
        <f ca="1">I36-SUM(OFFSET(Param!$B$4,R36,0),OFFSET(Param!$B$4,S36,0),OFFSET(Param!$B$4,T36,0),$C36*OFFSET(Param!$B$4,U36,0),$C36*OFFSET(Param!$B$4,V36,0))</f>
        <v>18800</v>
      </c>
      <c r="Y36" s="255">
        <f t="shared" ref="Y36" ca="1" si="42">IF(W36=0,IF(X36&lt;0,"-","")&amp;"inf",X36/W36)</f>
        <v>16407.272727272728</v>
      </c>
      <c r="Z36" s="255">
        <f t="shared" ref="Z36" ca="1" si="43">IF(W36=0,"inf",H36/W36)</f>
        <v>284.5090909090909</v>
      </c>
      <c r="AA36" s="257">
        <f t="shared" ref="AA36" ca="1" si="44">-1000*H36/X36</f>
        <v>-17.340425531914892</v>
      </c>
      <c r="AB36" s="172">
        <f t="shared" ref="AB36" ca="1" si="45">IF($AE$2="",$AC$2/H36,ABS($AE$2/X36))</f>
        <v>106.38297872340425</v>
      </c>
      <c r="AC36" s="179">
        <f t="shared" ref="AC36" ca="1" si="46">AB36*H36</f>
        <v>34680.851063829788</v>
      </c>
      <c r="AD36" s="181">
        <f t="shared" ref="AD36" ca="1" si="47">AB36*W36/$AD$2</f>
        <v>6.0948581560283674</v>
      </c>
      <c r="AE36" s="164" t="str">
        <f t="shared" ref="AE36" ca="1" si="48">IF(X36&gt;0,"lucro",-AB36*X36)</f>
        <v>lucro</v>
      </c>
    </row>
    <row r="37" spans="1:31">
      <c r="A37" s="89" t="str">
        <f>Frutos!A35</f>
        <v>Árvore Natal</v>
      </c>
      <c r="B37" s="36">
        <f>Frutos!B35</f>
        <v>0</v>
      </c>
      <c r="C37" s="36">
        <f>Frutos!D35</f>
        <v>1</v>
      </c>
      <c r="D37" s="36">
        <f>Frutos!E35</f>
        <v>72</v>
      </c>
      <c r="E37" s="36">
        <f>Frutos!F35</f>
        <v>0</v>
      </c>
      <c r="F37" s="55">
        <f>Frutos!J35</f>
        <v>50</v>
      </c>
      <c r="G37" s="61">
        <f>Frutos!P35</f>
        <v>3</v>
      </c>
      <c r="H37" s="31">
        <f>Frutos!S35</f>
        <v>56</v>
      </c>
      <c r="I37" s="31">
        <f>Frutos!M35</f>
        <v>6000</v>
      </c>
      <c r="J37" s="202">
        <f>Frutos!R35</f>
        <v>2000</v>
      </c>
      <c r="K37" s="157">
        <f>Frutos!U35</f>
        <v>18.666666666666668</v>
      </c>
      <c r="L37" s="166">
        <v>0.5</v>
      </c>
      <c r="M37" s="166">
        <v>0.54166666666666663</v>
      </c>
      <c r="N37" s="166">
        <v>0.54166666666666663</v>
      </c>
      <c r="O37" s="166">
        <v>0.25</v>
      </c>
      <c r="P37" s="166">
        <v>0.45833333333333331</v>
      </c>
      <c r="Q37" s="176" t="b">
        <f t="shared" si="33"/>
        <v>0</v>
      </c>
      <c r="R37" s="141">
        <v>3</v>
      </c>
      <c r="S37" s="142">
        <v>3</v>
      </c>
      <c r="T37" s="142">
        <v>3</v>
      </c>
      <c r="U37" s="142">
        <v>3</v>
      </c>
      <c r="V37" s="143">
        <v>3</v>
      </c>
      <c r="W37" s="162">
        <f ca="1">SUM(IF(OFFSET(Param!$C$4,R37,0)&gt;L37,0,L37-OFFSET(Param!$C$4,R37,0)),IF(OFFSET(Param!$C$4,S37,0)&gt;M37,0,M37-OFFSET(Param!$C$4,S37,0)),IF(OFFSET(Param!$C$4,T37,0)&gt;N37,0,N37-OFFSET(Param!$C$4,T37,0)),$C37*IF(OFFSET(Param!$C$4,U37,0)&gt;O37,0,O37-OFFSET(Param!$C$4,U37,0)),$C37*IF(OFFSET(Param!$C$4,V37,0)&gt;P37,0,P37-OFFSET(Param!$C$4,V37,0)))</f>
        <v>1.1458333333333335</v>
      </c>
      <c r="X37" s="33">
        <f ca="1">I37-SUM(OFFSET(Param!$B$4,R37,0),OFFSET(Param!$B$4,S37,0),OFFSET(Param!$B$4,T37,0),$C37*OFFSET(Param!$B$4,U37,0),$C37*OFFSET(Param!$B$4,V37,0))</f>
        <v>1000</v>
      </c>
      <c r="Y37" s="255">
        <f ca="1">IF(W37=0,IF(X37&lt;0,"-","")&amp;"inf",X37/W37)</f>
        <v>872.72727272727263</v>
      </c>
      <c r="Z37" s="255">
        <f ca="1">IF(W37=0,"inf",H37/W37)</f>
        <v>48.872727272727268</v>
      </c>
      <c r="AA37" s="257">
        <f ca="1">-1000*H37/X37</f>
        <v>-56</v>
      </c>
      <c r="AB37" s="172">
        <f ca="1">IF($AE$2="",$AC$2/H37,ABS($AE$2/X37))</f>
        <v>2000</v>
      </c>
      <c r="AC37" s="179">
        <f t="shared" ca="1" si="40"/>
        <v>112000</v>
      </c>
      <c r="AD37" s="181">
        <f ca="1">AB37*W37/$AD$2</f>
        <v>114.58333333333334</v>
      </c>
      <c r="AE37" s="164" t="str">
        <f ca="1">IF(X37&gt;0,"lucro",-AB37*X37)</f>
        <v>lucro</v>
      </c>
    </row>
    <row r="38" spans="1:31">
      <c r="A38" s="89" t="str">
        <f>Frutos!A36</f>
        <v>Batata Doce</v>
      </c>
      <c r="B38" s="36">
        <f>Frutos!B36</f>
        <v>5</v>
      </c>
      <c r="C38" s="36">
        <f>Frutos!D36</f>
        <v>1</v>
      </c>
      <c r="D38" s="36">
        <f>Frutos!E36</f>
        <v>18</v>
      </c>
      <c r="E38" s="36">
        <f>Frutos!F36</f>
        <v>0</v>
      </c>
      <c r="F38" s="55">
        <f>Frutos!J36</f>
        <v>75</v>
      </c>
      <c r="G38" s="61">
        <f>Frutos!P36</f>
        <v>0.75</v>
      </c>
      <c r="H38" s="31">
        <f>Frutos!S36</f>
        <v>81</v>
      </c>
      <c r="I38" s="31">
        <f>Frutos!M36</f>
        <v>1815</v>
      </c>
      <c r="J38" s="202">
        <f>Frutos!R36</f>
        <v>2420</v>
      </c>
      <c r="K38" s="157">
        <f>Frutos!U36</f>
        <v>108</v>
      </c>
      <c r="L38" s="166">
        <v>0.20833333333333334</v>
      </c>
      <c r="M38" s="166">
        <v>0.16666666666666666</v>
      </c>
      <c r="N38" s="166">
        <v>0.125</v>
      </c>
      <c r="O38" s="166">
        <v>0.125</v>
      </c>
      <c r="P38" s="166">
        <v>0.125</v>
      </c>
      <c r="Q38" s="176" t="str">
        <f>IF(AND(OR(C38=1,SUM(O38:P38)=E38/24),SUM(L38:P38)=D38/24),"OK")</f>
        <v>OK</v>
      </c>
      <c r="R38" s="141">
        <v>3</v>
      </c>
      <c r="S38" s="142">
        <v>3</v>
      </c>
      <c r="T38" s="142">
        <v>3</v>
      </c>
      <c r="U38" s="142">
        <v>3</v>
      </c>
      <c r="V38" s="143">
        <v>3</v>
      </c>
      <c r="W38" s="162">
        <f ca="1">SUM(IF(OFFSET(Param!$C$4,R38,0)&gt;L38,0,L38-OFFSET(Param!$C$4,R38,0)),IF(OFFSET(Param!$C$4,S38,0)&gt;M38,0,M38-OFFSET(Param!$C$4,S38,0)),IF(OFFSET(Param!$C$4,T38,0)&gt;N38,0,N38-OFFSET(Param!$C$4,T38,0)),$C38*IF(OFFSET(Param!$C$4,U38,0)&gt;O38,0,O38-OFFSET(Param!$C$4,U38,0)),$C38*IF(OFFSET(Param!$C$4,V38,0)&gt;P38,0,P38-OFFSET(Param!$C$4,V38,0)))</f>
        <v>0</v>
      </c>
      <c r="X38" s="33">
        <f ca="1">I38-SUM(OFFSET(Param!$B$4,R38,0),OFFSET(Param!$B$4,S38,0),OFFSET(Param!$B$4,T38,0),$C38*OFFSET(Param!$B$4,U38,0),$C38*OFFSET(Param!$B$4,V38,0))</f>
        <v>-3185</v>
      </c>
      <c r="Y38" s="255" t="str">
        <f ca="1">IF(W38=0,IF(X38&lt;0,"-","")&amp;"inf",X38/W38)</f>
        <v>-inf</v>
      </c>
      <c r="Z38" s="255" t="str">
        <f ca="1">IF(W38=0,"inf",H38/W38)</f>
        <v>inf</v>
      </c>
      <c r="AA38" s="257">
        <f ca="1">-1000*H38/X38</f>
        <v>25.431711145996861</v>
      </c>
      <c r="AB38" s="172">
        <f ca="1">IF($AE$2="",$AC$2/H38,ABS($AE$2/X38))</f>
        <v>627.94348508634221</v>
      </c>
      <c r="AC38" s="179">
        <f t="shared" ca="1" si="40"/>
        <v>50863.422291993716</v>
      </c>
      <c r="AD38" s="181">
        <f ca="1">AB38*W38/$AD$2</f>
        <v>0</v>
      </c>
      <c r="AE38" s="164">
        <f ca="1">IF(X38&gt;0,"lucro",-AB38*X38)</f>
        <v>2000000</v>
      </c>
    </row>
    <row r="39" spans="1:31">
      <c r="A39" s="89" t="str">
        <f>Frutos!A37</f>
        <v>Limão</v>
      </c>
      <c r="B39" s="36">
        <f>Frutos!B37</f>
        <v>15</v>
      </c>
      <c r="C39" s="36">
        <f>Frutos!D37</f>
        <v>3</v>
      </c>
      <c r="D39" s="36">
        <f>Frutos!E37</f>
        <v>40</v>
      </c>
      <c r="E39" s="36">
        <f>Frutos!F37</f>
        <v>16</v>
      </c>
      <c r="F39" s="55">
        <f>Frutos!J37</f>
        <v>75</v>
      </c>
      <c r="G39" s="61">
        <f>Frutos!P37</f>
        <v>3</v>
      </c>
      <c r="H39" s="31">
        <f>Frutos!S37</f>
        <v>231</v>
      </c>
      <c r="I39" s="31">
        <f>Frutos!M37</f>
        <v>9950</v>
      </c>
      <c r="J39" s="202">
        <f>Frutos!R37</f>
        <v>3316.666666666667</v>
      </c>
      <c r="K39" s="157">
        <f>Frutos!U37</f>
        <v>77</v>
      </c>
      <c r="L39" s="166">
        <v>0.375</v>
      </c>
      <c r="M39" s="166">
        <v>0.29166666666666669</v>
      </c>
      <c r="N39" s="166">
        <v>0.33333333333333331</v>
      </c>
      <c r="O39" s="166">
        <v>0.33333333333333331</v>
      </c>
      <c r="P39" s="166">
        <v>0.33333333333333331</v>
      </c>
      <c r="Q39" s="176" t="str">
        <f>IF(AND(OR(C39=1,SUM(O39:P39)=E39/24),SUM(L39:P39)=D39/24),"OK")</f>
        <v>OK</v>
      </c>
      <c r="R39" s="141">
        <v>3</v>
      </c>
      <c r="S39" s="142">
        <v>3</v>
      </c>
      <c r="T39" s="142">
        <v>3</v>
      </c>
      <c r="U39" s="142">
        <v>3</v>
      </c>
      <c r="V39" s="143">
        <v>3</v>
      </c>
      <c r="W39" s="162">
        <f ca="1">SUM(IF(OFFSET(Param!$C$4,R39,0)&gt;L39,0,L39-OFFSET(Param!$C$4,R39,0)),IF(OFFSET(Param!$C$4,S39,0)&gt;M39,0,M39-OFFSET(Param!$C$4,S39,0)),IF(OFFSET(Param!$C$4,T39,0)&gt;N39,0,N39-OFFSET(Param!$C$4,T39,0)),$C39*IF(OFFSET(Param!$C$4,U39,0)&gt;O39,0,O39-OFFSET(Param!$C$4,U39,0)),$C39*IF(OFFSET(Param!$C$4,V39,0)&gt;P39,0,P39-OFFSET(Param!$C$4,V39,0)))</f>
        <v>0.9375</v>
      </c>
      <c r="X39" s="33">
        <f ca="1">I39-SUM(OFFSET(Param!$B$4,R39,0),OFFSET(Param!$B$4,S39,0),OFFSET(Param!$B$4,T39,0),$C39*OFFSET(Param!$B$4,U39,0),$C39*OFFSET(Param!$B$4,V39,0))</f>
        <v>950</v>
      </c>
      <c r="Y39" s="255">
        <f ca="1">IF(W39=0,IF(X39&lt;0,"-","")&amp;"inf",X39/W39)</f>
        <v>1013.3333333333334</v>
      </c>
      <c r="Z39" s="255">
        <f ca="1">IF(W39=0,"inf",H39/W39)</f>
        <v>246.4</v>
      </c>
      <c r="AA39" s="257">
        <f ca="1">-1000*H39/X39</f>
        <v>-243.15789473684211</v>
      </c>
      <c r="AB39" s="172">
        <f ca="1">IF($AE$2="",$AC$2/H39,ABS($AE$2/X39))</f>
        <v>2105.2631578947367</v>
      </c>
      <c r="AC39" s="179">
        <f t="shared" ca="1" si="40"/>
        <v>486315.78947368416</v>
      </c>
      <c r="AD39" s="181">
        <f ca="1">AB39*W39/$AD$2</f>
        <v>98.68421052631578</v>
      </c>
      <c r="AE39" s="164" t="str">
        <f ca="1">IF(X39&gt;0,"lucro",-AB39*X39)</f>
        <v>lucro</v>
      </c>
    </row>
    <row r="40" spans="1:31">
      <c r="A40" s="89" t="str">
        <f>Frutos!A38</f>
        <v>Amendoin</v>
      </c>
      <c r="B40" s="36">
        <f>Frutos!B38</f>
        <v>26</v>
      </c>
      <c r="C40" s="36">
        <f>Frutos!D38</f>
        <v>1</v>
      </c>
      <c r="D40" s="36">
        <f>Frutos!E38</f>
        <v>25</v>
      </c>
      <c r="E40" s="36">
        <f>Frutos!F38</f>
        <v>0</v>
      </c>
      <c r="F40" s="55">
        <f>Frutos!J38</f>
        <v>80</v>
      </c>
      <c r="G40" s="61">
        <f>Frutos!P38</f>
        <v>1.0416666666666667</v>
      </c>
      <c r="H40" s="31">
        <f>Frutos!S38</f>
        <v>86</v>
      </c>
      <c r="I40" s="31">
        <f>Frutos!M38</f>
        <v>4825</v>
      </c>
      <c r="J40" s="202">
        <f>Frutos!R38</f>
        <v>4632</v>
      </c>
      <c r="K40" s="157">
        <f>Frutos!U38</f>
        <v>82.56</v>
      </c>
      <c r="L40" s="166">
        <v>0.29166666666666669</v>
      </c>
      <c r="M40" s="166">
        <v>0.25</v>
      </c>
      <c r="N40" s="166">
        <v>0.16666666666666666</v>
      </c>
      <c r="O40" s="166">
        <v>0.16666666666666666</v>
      </c>
      <c r="P40" s="166">
        <v>0.16666666666666666</v>
      </c>
      <c r="Q40" s="176" t="str">
        <f>IF(AND(OR(C40=1,SUM(O40:P40)=E40/24),SUM(L40:P40)=D40/24),"OK")</f>
        <v>OK</v>
      </c>
      <c r="R40" s="141">
        <v>3</v>
      </c>
      <c r="S40" s="142">
        <v>3</v>
      </c>
      <c r="T40" s="142">
        <v>3</v>
      </c>
      <c r="U40" s="142">
        <v>3</v>
      </c>
      <c r="V40" s="143">
        <v>3</v>
      </c>
      <c r="W40" s="162">
        <f ca="1">SUM(IF(OFFSET(Param!$C$4,R40,0)&gt;L40,0,L40-OFFSET(Param!$C$4,R40,0)),IF(OFFSET(Param!$C$4,S40,0)&gt;M40,0,M40-OFFSET(Param!$C$4,S40,0)),IF(OFFSET(Param!$C$4,T40,0)&gt;N40,0,N40-OFFSET(Param!$C$4,T40,0)),$C40*IF(OFFSET(Param!$C$4,U40,0)&gt;O40,0,O40-OFFSET(Param!$C$4,U40,0)),$C40*IF(OFFSET(Param!$C$4,V40,0)&gt;P40,0,P40-OFFSET(Param!$C$4,V40,0)))</f>
        <v>8.333333333333337E-2</v>
      </c>
      <c r="X40" s="33">
        <f ca="1">I40-SUM(OFFSET(Param!$B$4,R40,0),OFFSET(Param!$B$4,S40,0),OFFSET(Param!$B$4,T40,0),$C40*OFFSET(Param!$B$4,U40,0),$C40*OFFSET(Param!$B$4,V40,0))</f>
        <v>-175</v>
      </c>
      <c r="Y40" s="255">
        <f ca="1">IF(W40=0,IF(X40&lt;0,"-","")&amp;"inf",X40/W40)</f>
        <v>-2099.9999999999991</v>
      </c>
      <c r="Z40" s="255">
        <f ca="1">IF(W40=0,"inf",H40/W40)</f>
        <v>1031.9999999999995</v>
      </c>
      <c r="AA40" s="257">
        <f ca="1">-1000*H40/X40</f>
        <v>491.42857142857144</v>
      </c>
      <c r="AB40" s="172">
        <f ca="1">IF($AE$2="",$AC$2/H40,ABS($AE$2/X40))</f>
        <v>11428.571428571429</v>
      </c>
      <c r="AC40" s="179">
        <f t="shared" ref="AC40" ca="1" si="49">AB40*H40</f>
        <v>982857.14285714296</v>
      </c>
      <c r="AD40" s="181">
        <f ca="1">AB40*W40/$AD$2</f>
        <v>47.619047619047642</v>
      </c>
      <c r="AE40" s="164">
        <f ca="1">IF(X40&gt;0,"lucro",-AB40*X40)</f>
        <v>2000000.0000000002</v>
      </c>
    </row>
    <row r="41" spans="1:31">
      <c r="A41" s="89" t="str">
        <f>Frutos!A39</f>
        <v>Noz</v>
      </c>
      <c r="B41" s="36">
        <f>Frutos!B39</f>
        <v>46</v>
      </c>
      <c r="C41" s="36">
        <f>Frutos!D39</f>
        <v>4</v>
      </c>
      <c r="D41" s="36">
        <f>Frutos!E39</f>
        <v>92</v>
      </c>
      <c r="E41" s="36">
        <f>Frutos!F39</f>
        <v>54</v>
      </c>
      <c r="F41" s="55">
        <f>Frutos!J39</f>
        <v>62</v>
      </c>
      <c r="G41" s="61">
        <f>Frutos!P39</f>
        <v>10.583333333333334</v>
      </c>
      <c r="H41" s="31">
        <f>Frutos!S39</f>
        <v>254</v>
      </c>
      <c r="I41" s="31">
        <f>Frutos!M39</f>
        <v>102996</v>
      </c>
      <c r="J41" s="202">
        <f>Frutos!R39</f>
        <v>9731.9055118110227</v>
      </c>
      <c r="K41" s="157">
        <f>Frutos!U39</f>
        <v>24</v>
      </c>
      <c r="L41" s="166">
        <v>0.75</v>
      </c>
      <c r="M41" s="166">
        <v>0.83333333333333337</v>
      </c>
      <c r="N41" s="166">
        <v>0.70833333333333337</v>
      </c>
      <c r="O41" s="166">
        <v>0.79166666666666663</v>
      </c>
      <c r="P41" s="166">
        <v>0.75</v>
      </c>
      <c r="Q41" s="176" t="str">
        <f>IF(AND(OR(C41=1,SUM(N41:P41)=E41/24),SUM(L41:P41)=D41/24),"OK")</f>
        <v>OK</v>
      </c>
      <c r="R41" s="141">
        <v>3</v>
      </c>
      <c r="S41" s="142">
        <v>3</v>
      </c>
      <c r="T41" s="142">
        <v>3</v>
      </c>
      <c r="U41" s="142">
        <v>3</v>
      </c>
      <c r="V41" s="143">
        <v>3</v>
      </c>
      <c r="W41" s="162">
        <f ca="1">SUM(IF(OFFSET(Param!$C$4,R41,0)&gt;L41,0,L41-OFFSET(Param!$C$4,R41,0)),IF(OFFSET(Param!$C$4,S41,0)&gt;M41,0,M41-OFFSET(Param!$C$4,S41,0)),IF(OFFSET(Param!$C$4,T41,0)&gt;N41,0,N41-OFFSET(Param!$C$4,T41,0)),$C41*IF(OFFSET(Param!$C$4,U41,0)&gt;O41,0,O41-OFFSET(Param!$C$4,U41,0)),$C41*IF(OFFSET(Param!$C$4,V41,0)&gt;P41,0,P41-OFFSET(Param!$C$4,V41,0)))</f>
        <v>5.9375</v>
      </c>
      <c r="X41" s="33">
        <f ca="1">I41-SUM(OFFSET(Param!$B$4,R41,0),OFFSET(Param!$B$4,S41,0),OFFSET(Param!$B$4,T41,0),$C41*OFFSET(Param!$B$4,U41,0),$C41*OFFSET(Param!$B$4,V41,0))</f>
        <v>91996</v>
      </c>
      <c r="Y41" s="255">
        <f ca="1">IF(W41=0,IF(X41&lt;0,"-","")&amp;"inf",X41/W41)</f>
        <v>15494.063157894738</v>
      </c>
      <c r="Z41" s="255">
        <f ca="1">IF(W41=0,"inf",H41/W41)</f>
        <v>42.778947368421051</v>
      </c>
      <c r="AA41" s="257">
        <f ca="1">-1000*H41/X41</f>
        <v>-2.7609896082438365</v>
      </c>
      <c r="AB41" s="172">
        <f ca="1">IF($AE$2="",$AC$2/H41,ABS($AE$2/X41))</f>
        <v>21.740075655463279</v>
      </c>
      <c r="AC41" s="179">
        <f t="shared" ca="1" si="5"/>
        <v>5521.9792164876726</v>
      </c>
      <c r="AD41" s="181">
        <f ca="1">AB41*W41/$AD$2</f>
        <v>6.4540849602156616</v>
      </c>
      <c r="AE41" s="164" t="str">
        <f ca="1">IF(X41&gt;0,"lucro",-AB41*X41)</f>
        <v>lucro</v>
      </c>
    </row>
    <row r="42" spans="1:31">
      <c r="G42" s="10"/>
      <c r="H42" s="15"/>
      <c r="I42" s="15"/>
      <c r="K42" s="1"/>
    </row>
    <row r="47" spans="1:31">
      <c r="A47"/>
    </row>
    <row r="48" spans="1:31">
      <c r="A48"/>
    </row>
    <row r="49" spans="1:1">
      <c r="A49"/>
    </row>
    <row r="50" spans="1:1">
      <c r="A50"/>
    </row>
    <row r="51" spans="1:1">
      <c r="A51"/>
    </row>
    <row r="52" spans="1:1">
      <c r="A52"/>
    </row>
  </sheetData>
  <conditionalFormatting sqref="J1:J1048576">
    <cfRule type="top10" dxfId="33" priority="36" bottom="1" rank="1"/>
    <cfRule type="top10" dxfId="32" priority="37" rank="1"/>
  </conditionalFormatting>
  <conditionalFormatting sqref="I1:I1048576">
    <cfRule type="top10" dxfId="31" priority="6" bottom="1" rank="1"/>
    <cfRule type="top10" dxfId="30" priority="7" rank="1"/>
  </conditionalFormatting>
  <conditionalFormatting sqref="G3:G41">
    <cfRule type="top10" dxfId="29" priority="60" bottom="1" rank="1"/>
    <cfRule type="top10" dxfId="28" priority="61" rank="1"/>
  </conditionalFormatting>
  <conditionalFormatting sqref="H3:H41">
    <cfRule type="top10" dxfId="27" priority="64" bottom="1" rank="1"/>
    <cfRule type="top10" dxfId="26" priority="65" rank="1"/>
  </conditionalFormatting>
  <conditionalFormatting sqref="K3:K41">
    <cfRule type="top10" dxfId="25" priority="68" bottom="1" rank="1"/>
    <cfRule type="top10" dxfId="24" priority="69" rank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Q34 W34:X34 Q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Cachorro</vt:lpstr>
      <vt:lpstr>Animais Produção (2)</vt:lpstr>
      <vt:lpstr>Fazenda</vt:lpstr>
      <vt:lpstr>Calc</vt:lpstr>
      <vt:lpstr>XP</vt:lpstr>
      <vt:lpstr>Terrenos</vt:lpstr>
      <vt:lpstr>Decoração</vt:lpstr>
      <vt:lpstr>Frutos</vt:lpstr>
      <vt:lpstr>Fertilizantes</vt:lpstr>
      <vt:lpstr>Animais Produção</vt:lpstr>
      <vt:lpstr>Animais Abate</vt:lpstr>
      <vt:lpstr>Flores</vt:lpstr>
      <vt:lpstr>Param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Rodrigo Silva</cp:lastModifiedBy>
  <dcterms:created xsi:type="dcterms:W3CDTF">2009-11-22T23:01:27Z</dcterms:created>
  <dcterms:modified xsi:type="dcterms:W3CDTF">2010-04-13T13:56:47Z</dcterms:modified>
</cp:coreProperties>
</file>