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 - Learning\Project - Financials\Project - Excellent\Excellent\"/>
    </mc:Choice>
  </mc:AlternateContent>
  <xr:revisionPtr revIDLastSave="0" documentId="13_ncr:1_{A60010F2-9E4F-4FA4-BAEF-9C83F7B40981}" xr6:coauthVersionLast="47" xr6:coauthVersionMax="47" xr10:uidLastSave="{00000000-0000-0000-0000-000000000000}"/>
  <bookViews>
    <workbookView xWindow="-120" yWindow="-120" windowWidth="29040" windowHeight="15720" tabRatio="862" activeTab="1" xr2:uid="{00000000-000D-0000-FFFF-FFFF00000000}"/>
  </bookViews>
  <sheets>
    <sheet name="Dashboard" sheetId="1" r:id="rId1"/>
    <sheet name="Input-Basic" sheetId="4" r:id="rId2"/>
    <sheet name="Input-MonthlyExpenses" sheetId="5" r:id="rId3"/>
    <sheet name="Input-Events" sheetId="3" r:id="rId4"/>
    <sheet name="TestCases" sheetId="7" r:id="rId5"/>
  </sheets>
  <definedNames>
    <definedName name="AnnaulROI" comment="Annual ROI">'Input-Basic'!$N$14</definedName>
    <definedName name="annualAmountSWP">'Input-Basic'!$C$29</definedName>
    <definedName name="annualChangeInSWP">'Input-Basic'!$C$30</definedName>
    <definedName name="annualEffectivePostRetirementROI">'Input-Basic'!$F$14</definedName>
    <definedName name="annualEffectiveROI">'Input-Basic'!$F$13</definedName>
    <definedName name="annualIncreaseInSavings">'Input-Basic'!$C$21</definedName>
    <definedName name="annualInflation">'Input-Basic'!$C$17</definedName>
    <definedName name="annualInflationLifeStyle">'Input-Basic'!$C$18</definedName>
    <definedName name="annualInflationOthers">'Input-Basic'!$C$19</definedName>
    <definedName name="annualPostRetirementROI">'Input-Basic'!$C$24</definedName>
    <definedName name="annualROI">'Input-Basic'!$C$16</definedName>
    <definedName name="annualWithdrawalSWP_FV">'Input-Basic'!$F$16</definedName>
    <definedName name="InflationCPI">'Input-Basic'!$N$15</definedName>
    <definedName name="monthlyExpenses">'Input-Basic'!#REF!</definedName>
    <definedName name="_xlnm.Print_Area" localSheetId="0">Dashboard!$B$7:$K$109</definedName>
    <definedName name="swpLTCGExemption">'Input-Basic'!$C$37</definedName>
    <definedName name="swpLTCGTaxPercentage">'Input-Basic'!$C$38</definedName>
    <definedName name="swpOtherTaxExemptions">'Input-Basic'!$C$36</definedName>
    <definedName name="TEsting">'Input-Basic'!$D$13:$D$23</definedName>
    <definedName name="userAge">'Input-Basic'!$F$9</definedName>
    <definedName name="userAnnualSavings">'Input-Basic'!$F$12</definedName>
    <definedName name="userCurrentLiabilities">'Input-Basic'!$C$13</definedName>
    <definedName name="userCurrentSavings">'Input-Basic'!$C$12</definedName>
    <definedName name="userDOB">'Input-Basic'!$C$10</definedName>
    <definedName name="userIncome">'Input-Basic'!$C$11</definedName>
    <definedName name="userLifeExpectancyAge">'Input-Basic'!$C$34</definedName>
    <definedName name="userMonthlyExpenses">'Input-MonthlyExpenses'!$B$3</definedName>
    <definedName name="userMonthlyIncome">'Input-Basic'!$C$11</definedName>
    <definedName name="userName">'Input-Basic'!$C$9</definedName>
    <definedName name="userRetirementAge">'Input-Basic'!$C$33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8" i="3"/>
  <c r="H9" i="3"/>
  <c r="H10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4" i="3"/>
  <c r="H4" i="3"/>
  <c r="B4" i="3"/>
  <c r="B3" i="3"/>
  <c r="F13" i="4"/>
  <c r="E104" i="3"/>
  <c r="E103" i="3"/>
  <c r="H103" i="3" s="1"/>
  <c r="D9" i="1"/>
  <c r="F14" i="4"/>
  <c r="N4" i="5"/>
  <c r="N5" i="5"/>
  <c r="N6" i="5"/>
  <c r="N7" i="5"/>
  <c r="N8" i="5"/>
  <c r="N3" i="5"/>
  <c r="F9" i="4"/>
  <c r="H5" i="3" s="1"/>
  <c r="E106" i="3"/>
  <c r="H106" i="3" s="1"/>
  <c r="E105" i="3"/>
  <c r="H105" i="3" s="1"/>
  <c r="I1" i="5"/>
  <c r="F16" i="4" l="1"/>
  <c r="H11" i="3"/>
  <c r="H7" i="3"/>
  <c r="B3" i="5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F12" i="4" l="1"/>
  <c r="E9" i="1" s="1"/>
  <c r="F10" i="4"/>
  <c r="C9" i="1"/>
  <c r="H9" i="1" l="1"/>
  <c r="F9" i="1"/>
  <c r="G9" i="1" a="1"/>
  <c r="G9" i="1" s="1"/>
  <c r="C10" i="1"/>
  <c r="F10" i="1" l="1"/>
  <c r="I9" i="1"/>
  <c r="J9" i="1" s="1"/>
  <c r="K9" i="1" s="1"/>
  <c r="G10" i="1" a="1"/>
  <c r="G10" i="1" s="1"/>
  <c r="C11" i="1"/>
  <c r="F11" i="1" l="1"/>
  <c r="G11" i="1" a="1"/>
  <c r="G11" i="1" s="1"/>
  <c r="D10" i="1"/>
  <c r="E10" i="1" s="1"/>
  <c r="C12" i="1"/>
  <c r="F12" i="1" l="1"/>
  <c r="H10" i="1"/>
  <c r="G12" i="1" a="1"/>
  <c r="G12" i="1" s="1"/>
  <c r="C13" i="1"/>
  <c r="F13" i="1" l="1"/>
  <c r="I10" i="1"/>
  <c r="J10" i="1" s="1"/>
  <c r="K10" i="1" s="1"/>
  <c r="D11" i="1" s="1"/>
  <c r="E11" i="1" s="1"/>
  <c r="G13" i="1" a="1"/>
  <c r="G13" i="1" s="1"/>
  <c r="C14" i="1"/>
  <c r="F14" i="1" l="1"/>
  <c r="H11" i="1"/>
  <c r="G14" i="1" a="1"/>
  <c r="G14" i="1" s="1"/>
  <c r="C15" i="1"/>
  <c r="F15" i="1" l="1"/>
  <c r="I11" i="1"/>
  <c r="J11" i="1" s="1"/>
  <c r="K11" i="1" s="1"/>
  <c r="D12" i="1" s="1"/>
  <c r="E12" i="1" s="1"/>
  <c r="G15" i="1" a="1"/>
  <c r="G15" i="1" s="1"/>
  <c r="C16" i="1"/>
  <c r="F16" i="1" l="1"/>
  <c r="H12" i="1"/>
  <c r="G16" i="1" a="1"/>
  <c r="G16" i="1" s="1"/>
  <c r="C17" i="1"/>
  <c r="F17" i="1" l="1"/>
  <c r="I12" i="1"/>
  <c r="J12" i="1" s="1"/>
  <c r="K12" i="1" s="1"/>
  <c r="D13" i="1" s="1"/>
  <c r="E13" i="1" s="1"/>
  <c r="G17" i="1" a="1"/>
  <c r="G17" i="1" s="1"/>
  <c r="C18" i="1"/>
  <c r="F18" i="1" l="1"/>
  <c r="H13" i="1"/>
  <c r="G18" i="1" a="1"/>
  <c r="G18" i="1" s="1"/>
  <c r="C19" i="1"/>
  <c r="F19" i="1" l="1"/>
  <c r="I13" i="1"/>
  <c r="J13" i="1" s="1"/>
  <c r="K13" i="1" s="1"/>
  <c r="D14" i="1" s="1"/>
  <c r="E14" i="1" s="1"/>
  <c r="G19" i="1" a="1"/>
  <c r="G19" i="1" s="1"/>
  <c r="C20" i="1"/>
  <c r="F20" i="1" l="1"/>
  <c r="H14" i="1"/>
  <c r="G20" i="1" a="1"/>
  <c r="G20" i="1" s="1"/>
  <c r="C21" i="1"/>
  <c r="F21" i="1" l="1"/>
  <c r="I14" i="1"/>
  <c r="J14" i="1" s="1"/>
  <c r="K14" i="1" s="1"/>
  <c r="D15" i="1" s="1"/>
  <c r="E15" i="1" s="1"/>
  <c r="G21" i="1" a="1"/>
  <c r="G21" i="1" s="1"/>
  <c r="C22" i="1"/>
  <c r="F22" i="1" l="1"/>
  <c r="H15" i="1"/>
  <c r="G22" i="1" a="1"/>
  <c r="G22" i="1" s="1"/>
  <c r="C23" i="1"/>
  <c r="F23" i="1" l="1"/>
  <c r="I15" i="1"/>
  <c r="J15" i="1" s="1"/>
  <c r="K15" i="1" s="1"/>
  <c r="D16" i="1" s="1"/>
  <c r="E16" i="1" s="1"/>
  <c r="G23" i="1" a="1"/>
  <c r="G23" i="1" s="1"/>
  <c r="C24" i="1"/>
  <c r="F24" i="1" l="1"/>
  <c r="H16" i="1"/>
  <c r="C25" i="1"/>
  <c r="G24" i="1" a="1"/>
  <c r="G24" i="1" s="1"/>
  <c r="F25" i="1" l="1"/>
  <c r="I16" i="1"/>
  <c r="J16" i="1" s="1"/>
  <c r="K16" i="1" s="1"/>
  <c r="D17" i="1" s="1"/>
  <c r="E17" i="1" s="1"/>
  <c r="G25" i="1" a="1"/>
  <c r="G25" i="1" s="1"/>
  <c r="C26" i="1"/>
  <c r="F26" i="1" l="1"/>
  <c r="H17" i="1"/>
  <c r="C27" i="1"/>
  <c r="G26" i="1" a="1"/>
  <c r="G26" i="1" s="1"/>
  <c r="F27" i="1" l="1"/>
  <c r="I17" i="1"/>
  <c r="J17" i="1" s="1"/>
  <c r="K17" i="1" s="1"/>
  <c r="D18" i="1" s="1"/>
  <c r="E18" i="1" s="1"/>
  <c r="G27" i="1" a="1"/>
  <c r="G27" i="1" s="1"/>
  <c r="C28" i="1"/>
  <c r="F28" i="1" l="1"/>
  <c r="C29" i="1"/>
  <c r="H18" i="1"/>
  <c r="G28" i="1" a="1"/>
  <c r="G28" i="1" s="1"/>
  <c r="F29" i="1" l="1"/>
  <c r="G29" i="1" a="1"/>
  <c r="G29" i="1" s="1"/>
  <c r="I18" i="1"/>
  <c r="C30" i="1"/>
  <c r="J18" i="1"/>
  <c r="K18" i="1" s="1"/>
  <c r="D19" i="1" s="1"/>
  <c r="E19" i="1" s="1"/>
  <c r="G30" i="1" a="1"/>
  <c r="G30" i="1" s="1"/>
  <c r="F30" i="1" l="1"/>
  <c r="C31" i="1"/>
  <c r="H19" i="1"/>
  <c r="F31" i="1" l="1"/>
  <c r="I19" i="1"/>
  <c r="J19" i="1" s="1"/>
  <c r="K19" i="1" s="1"/>
  <c r="D20" i="1" s="1"/>
  <c r="E20" i="1" s="1"/>
  <c r="C32" i="1"/>
  <c r="G31" i="1" a="1"/>
  <c r="G31" i="1" s="1"/>
  <c r="G32" i="1" a="1"/>
  <c r="G32" i="1" s="1"/>
  <c r="C33" i="1"/>
  <c r="F33" i="1" l="1"/>
  <c r="F32" i="1"/>
  <c r="H20" i="1"/>
  <c r="G33" i="1" a="1"/>
  <c r="G33" i="1" s="1"/>
  <c r="C34" i="1"/>
  <c r="F34" i="1" l="1"/>
  <c r="I20" i="1"/>
  <c r="J20" i="1" s="1"/>
  <c r="K20" i="1" s="1"/>
  <c r="D21" i="1" s="1"/>
  <c r="E21" i="1" s="1"/>
  <c r="G34" i="1" a="1"/>
  <c r="G34" i="1" s="1"/>
  <c r="C35" i="1"/>
  <c r="F35" i="1" l="1"/>
  <c r="H21" i="1"/>
  <c r="G35" i="1" a="1"/>
  <c r="G35" i="1" s="1"/>
  <c r="C36" i="1"/>
  <c r="F36" i="1" l="1"/>
  <c r="I21" i="1"/>
  <c r="J21" i="1" s="1"/>
  <c r="K21" i="1" s="1"/>
  <c r="D22" i="1" s="1"/>
  <c r="E22" i="1" s="1"/>
  <c r="G36" i="1" a="1"/>
  <c r="G36" i="1" s="1"/>
  <c r="C37" i="1"/>
  <c r="F37" i="1" l="1"/>
  <c r="H22" i="1"/>
  <c r="G37" i="1" a="1"/>
  <c r="G37" i="1" s="1"/>
  <c r="C38" i="1"/>
  <c r="F38" i="1" l="1"/>
  <c r="I22" i="1"/>
  <c r="J22" i="1" s="1"/>
  <c r="K22" i="1" s="1"/>
  <c r="D23" i="1" s="1"/>
  <c r="E23" i="1" s="1"/>
  <c r="G38" i="1" a="1"/>
  <c r="G38" i="1" s="1"/>
  <c r="C39" i="1"/>
  <c r="F39" i="1" l="1"/>
  <c r="H23" i="1"/>
  <c r="G39" i="1" a="1"/>
  <c r="G39" i="1" s="1"/>
  <c r="C40" i="1"/>
  <c r="F40" i="1" l="1"/>
  <c r="I23" i="1"/>
  <c r="J23" i="1" s="1"/>
  <c r="K23" i="1" s="1"/>
  <c r="D24" i="1" s="1"/>
  <c r="E24" i="1" s="1"/>
  <c r="G40" i="1" a="1"/>
  <c r="G40" i="1" s="1"/>
  <c r="C41" i="1"/>
  <c r="F41" i="1" l="1"/>
  <c r="H24" i="1"/>
  <c r="G41" i="1" a="1"/>
  <c r="G41" i="1" s="1"/>
  <c r="C42" i="1"/>
  <c r="F42" i="1" l="1"/>
  <c r="I24" i="1"/>
  <c r="J24" i="1" s="1"/>
  <c r="K24" i="1" s="1"/>
  <c r="D25" i="1" s="1"/>
  <c r="E25" i="1" s="1"/>
  <c r="G42" i="1" a="1"/>
  <c r="G42" i="1" s="1"/>
  <c r="C43" i="1"/>
  <c r="F43" i="1" l="1"/>
  <c r="H25" i="1"/>
  <c r="G43" i="1" a="1"/>
  <c r="G43" i="1" s="1"/>
  <c r="C44" i="1"/>
  <c r="F44" i="1" l="1"/>
  <c r="I25" i="1"/>
  <c r="J25" i="1" s="1"/>
  <c r="K25" i="1" s="1"/>
  <c r="D26" i="1" s="1"/>
  <c r="E26" i="1" s="1"/>
  <c r="G44" i="1" a="1"/>
  <c r="G44" i="1" s="1"/>
  <c r="C45" i="1"/>
  <c r="F45" i="1" l="1"/>
  <c r="H26" i="1"/>
  <c r="G45" i="1" a="1"/>
  <c r="G45" i="1" s="1"/>
  <c r="C46" i="1"/>
  <c r="F46" i="1" l="1"/>
  <c r="I26" i="1"/>
  <c r="J26" i="1" s="1"/>
  <c r="K26" i="1" s="1"/>
  <c r="D27" i="1" s="1"/>
  <c r="E27" i="1" s="1"/>
  <c r="G46" i="1" a="1"/>
  <c r="G46" i="1" s="1"/>
  <c r="C47" i="1"/>
  <c r="F47" i="1" l="1"/>
  <c r="H27" i="1"/>
  <c r="G47" i="1" a="1"/>
  <c r="G47" i="1" s="1"/>
  <c r="C48" i="1"/>
  <c r="F48" i="1" l="1"/>
  <c r="I27" i="1"/>
  <c r="J27" i="1" s="1"/>
  <c r="K27" i="1" s="1"/>
  <c r="D28" i="1" s="1"/>
  <c r="E28" i="1" s="1"/>
  <c r="G48" i="1" a="1"/>
  <c r="G48" i="1" s="1"/>
  <c r="C49" i="1"/>
  <c r="F49" i="1" l="1"/>
  <c r="H28" i="1"/>
  <c r="G49" i="1" a="1"/>
  <c r="G49" i="1" s="1"/>
  <c r="C50" i="1"/>
  <c r="F50" i="1" l="1"/>
  <c r="I28" i="1"/>
  <c r="J28" i="1" s="1"/>
  <c r="K28" i="1" s="1"/>
  <c r="D29" i="1" s="1"/>
  <c r="E29" i="1" s="1"/>
  <c r="G50" i="1" a="1"/>
  <c r="G50" i="1" s="1"/>
  <c r="C51" i="1"/>
  <c r="F51" i="1" l="1"/>
  <c r="H29" i="1"/>
  <c r="G51" i="1" a="1"/>
  <c r="G51" i="1" s="1"/>
  <c r="C52" i="1"/>
  <c r="F52" i="1" l="1"/>
  <c r="I29" i="1"/>
  <c r="J29" i="1" s="1"/>
  <c r="K29" i="1" s="1"/>
  <c r="D30" i="1" s="1"/>
  <c r="E30" i="1" s="1"/>
  <c r="G52" i="1" a="1"/>
  <c r="G52" i="1" s="1"/>
  <c r="C53" i="1"/>
  <c r="F53" i="1" l="1"/>
  <c r="H30" i="1"/>
  <c r="G53" i="1" a="1"/>
  <c r="G53" i="1" s="1"/>
  <c r="C54" i="1"/>
  <c r="F54" i="1" l="1"/>
  <c r="I30" i="1"/>
  <c r="J30" i="1" s="1"/>
  <c r="K30" i="1" s="1"/>
  <c r="D31" i="1" s="1"/>
  <c r="E31" i="1" s="1"/>
  <c r="G54" i="1" a="1"/>
  <c r="G54" i="1" s="1"/>
  <c r="C55" i="1"/>
  <c r="F55" i="1" l="1"/>
  <c r="H31" i="1"/>
  <c r="G55" i="1" a="1"/>
  <c r="G55" i="1" s="1"/>
  <c r="C56" i="1"/>
  <c r="F56" i="1" l="1"/>
  <c r="I31" i="1"/>
  <c r="J31" i="1" s="1"/>
  <c r="K31" i="1" s="1"/>
  <c r="D32" i="1" s="1"/>
  <c r="E32" i="1" s="1"/>
  <c r="G56" i="1" a="1"/>
  <c r="G56" i="1" s="1"/>
  <c r="C57" i="1"/>
  <c r="F57" i="1" l="1"/>
  <c r="H32" i="1"/>
  <c r="G57" i="1" a="1"/>
  <c r="G57" i="1" s="1"/>
  <c r="C58" i="1"/>
  <c r="F58" i="1" l="1"/>
  <c r="I32" i="1"/>
  <c r="J32" i="1" s="1"/>
  <c r="K32" i="1" s="1"/>
  <c r="D33" i="1" s="1"/>
  <c r="E33" i="1" s="1"/>
  <c r="G58" i="1" a="1"/>
  <c r="G58" i="1" s="1"/>
  <c r="C59" i="1"/>
  <c r="F59" i="1" l="1"/>
  <c r="H33" i="1"/>
  <c r="G59" i="1" a="1"/>
  <c r="G59" i="1" s="1"/>
  <c r="C60" i="1"/>
  <c r="F60" i="1" l="1"/>
  <c r="I33" i="1"/>
  <c r="J33" i="1" s="1"/>
  <c r="K33" i="1" s="1"/>
  <c r="D34" i="1" s="1"/>
  <c r="E34" i="1" s="1"/>
  <c r="G60" i="1" a="1"/>
  <c r="G60" i="1" s="1"/>
  <c r="C61" i="1"/>
  <c r="F61" i="1" l="1"/>
  <c r="H34" i="1"/>
  <c r="G61" i="1" a="1"/>
  <c r="G61" i="1" s="1"/>
  <c r="C62" i="1"/>
  <c r="F62" i="1" l="1"/>
  <c r="I34" i="1"/>
  <c r="J34" i="1" s="1"/>
  <c r="K34" i="1" s="1"/>
  <c r="D35" i="1" s="1"/>
  <c r="E35" i="1" s="1"/>
  <c r="G62" i="1" a="1"/>
  <c r="G62" i="1" s="1"/>
  <c r="C63" i="1"/>
  <c r="F63" i="1" l="1"/>
  <c r="H35" i="1"/>
  <c r="G63" i="1" a="1"/>
  <c r="G63" i="1" s="1"/>
  <c r="C64" i="1"/>
  <c r="F64" i="1" l="1"/>
  <c r="I35" i="1"/>
  <c r="J35" i="1" s="1"/>
  <c r="K35" i="1" s="1"/>
  <c r="D36" i="1" s="1"/>
  <c r="E36" i="1" s="1"/>
  <c r="G64" i="1" a="1"/>
  <c r="G64" i="1" s="1"/>
  <c r="C65" i="1"/>
  <c r="F65" i="1" l="1"/>
  <c r="H36" i="1"/>
  <c r="G65" i="1" a="1"/>
  <c r="G65" i="1" s="1"/>
  <c r="C66" i="1"/>
  <c r="F66" i="1" l="1"/>
  <c r="I36" i="1"/>
  <c r="J36" i="1" s="1"/>
  <c r="K36" i="1" s="1"/>
  <c r="D37" i="1" s="1"/>
  <c r="E37" i="1" s="1"/>
  <c r="G66" i="1" a="1"/>
  <c r="G66" i="1" s="1"/>
  <c r="C67" i="1"/>
  <c r="F67" i="1" l="1"/>
  <c r="H37" i="1"/>
  <c r="G67" i="1" a="1"/>
  <c r="G67" i="1" s="1"/>
  <c r="C68" i="1"/>
  <c r="F68" i="1" l="1"/>
  <c r="I37" i="1"/>
  <c r="J37" i="1" s="1"/>
  <c r="K37" i="1" s="1"/>
  <c r="D38" i="1" s="1"/>
  <c r="E38" i="1" s="1"/>
  <c r="G68" i="1" a="1"/>
  <c r="G68" i="1" s="1"/>
  <c r="C69" i="1"/>
  <c r="F69" i="1" l="1"/>
  <c r="H38" i="1"/>
  <c r="G69" i="1" a="1"/>
  <c r="G69" i="1" s="1"/>
  <c r="C70" i="1"/>
  <c r="F70" i="1" l="1"/>
  <c r="I38" i="1"/>
  <c r="J38" i="1" s="1"/>
  <c r="K38" i="1" s="1"/>
  <c r="D39" i="1" s="1"/>
  <c r="E39" i="1" s="1"/>
  <c r="G70" i="1" a="1"/>
  <c r="G70" i="1" s="1"/>
  <c r="C71" i="1"/>
  <c r="F71" i="1" l="1"/>
  <c r="H39" i="1"/>
  <c r="G71" i="1" a="1"/>
  <c r="G71" i="1" s="1"/>
  <c r="C72" i="1"/>
  <c r="F72" i="1" l="1"/>
  <c r="I39" i="1"/>
  <c r="J39" i="1" s="1"/>
  <c r="K39" i="1" s="1"/>
  <c r="D40" i="1" s="1"/>
  <c r="E40" i="1" s="1"/>
  <c r="G72" i="1" a="1"/>
  <c r="G72" i="1" s="1"/>
  <c r="C73" i="1"/>
  <c r="F73" i="1" l="1"/>
  <c r="H40" i="1"/>
  <c r="G73" i="1" a="1"/>
  <c r="G73" i="1" s="1"/>
  <c r="C74" i="1"/>
  <c r="F74" i="1" l="1"/>
  <c r="I40" i="1"/>
  <c r="J40" i="1" s="1"/>
  <c r="K40" i="1" s="1"/>
  <c r="D41" i="1" s="1"/>
  <c r="E41" i="1" s="1"/>
  <c r="G74" i="1" a="1"/>
  <c r="G74" i="1" s="1"/>
  <c r="C75" i="1"/>
  <c r="F75" i="1" l="1"/>
  <c r="H41" i="1"/>
  <c r="G75" i="1" a="1"/>
  <c r="G75" i="1" s="1"/>
  <c r="C76" i="1"/>
  <c r="F76" i="1" l="1"/>
  <c r="I41" i="1"/>
  <c r="J41" i="1" s="1"/>
  <c r="K41" i="1" s="1"/>
  <c r="D42" i="1" s="1"/>
  <c r="E42" i="1" s="1"/>
  <c r="G76" i="1" a="1"/>
  <c r="G76" i="1" s="1"/>
  <c r="C77" i="1"/>
  <c r="F77" i="1" l="1"/>
  <c r="H42" i="1"/>
  <c r="G77" i="1" a="1"/>
  <c r="G77" i="1" s="1"/>
  <c r="C78" i="1"/>
  <c r="F78" i="1" l="1"/>
  <c r="I42" i="1"/>
  <c r="J42" i="1" s="1"/>
  <c r="K42" i="1" s="1"/>
  <c r="D43" i="1" s="1"/>
  <c r="E43" i="1" s="1"/>
  <c r="G78" i="1" a="1"/>
  <c r="G78" i="1" s="1"/>
  <c r="C79" i="1"/>
  <c r="F79" i="1" l="1"/>
  <c r="H43" i="1"/>
  <c r="G79" i="1" a="1"/>
  <c r="G79" i="1" s="1"/>
  <c r="C80" i="1"/>
  <c r="F80" i="1" l="1"/>
  <c r="I43" i="1"/>
  <c r="J43" i="1" s="1"/>
  <c r="K43" i="1" s="1"/>
  <c r="D44" i="1" s="1"/>
  <c r="E44" i="1" s="1"/>
  <c r="G80" i="1" a="1"/>
  <c r="G80" i="1" s="1"/>
  <c r="C81" i="1"/>
  <c r="F81" i="1" l="1"/>
  <c r="H44" i="1"/>
  <c r="G81" i="1" a="1"/>
  <c r="G81" i="1" s="1"/>
  <c r="C82" i="1"/>
  <c r="F82" i="1" l="1"/>
  <c r="I44" i="1"/>
  <c r="J44" i="1" s="1"/>
  <c r="K44" i="1" s="1"/>
  <c r="D45" i="1" s="1"/>
  <c r="E45" i="1" s="1"/>
  <c r="G82" i="1" a="1"/>
  <c r="G82" i="1" s="1"/>
  <c r="C83" i="1"/>
  <c r="F83" i="1" l="1"/>
  <c r="H45" i="1"/>
  <c r="G83" i="1" a="1"/>
  <c r="G83" i="1" s="1"/>
  <c r="C84" i="1"/>
  <c r="F84" i="1" l="1"/>
  <c r="I45" i="1"/>
  <c r="J45" i="1" s="1"/>
  <c r="K45" i="1" s="1"/>
  <c r="D46" i="1" s="1"/>
  <c r="E46" i="1" s="1"/>
  <c r="G84" i="1" a="1"/>
  <c r="G84" i="1" s="1"/>
  <c r="C85" i="1"/>
  <c r="F85" i="1" l="1"/>
  <c r="H46" i="1"/>
  <c r="G85" i="1" a="1"/>
  <c r="G85" i="1" s="1"/>
  <c r="C86" i="1"/>
  <c r="F86" i="1" l="1"/>
  <c r="I46" i="1"/>
  <c r="J46" i="1" s="1"/>
  <c r="K46" i="1" s="1"/>
  <c r="D47" i="1" s="1"/>
  <c r="E47" i="1" s="1"/>
  <c r="G86" i="1" a="1"/>
  <c r="G86" i="1" s="1"/>
  <c r="C87" i="1"/>
  <c r="F87" i="1" l="1"/>
  <c r="H47" i="1"/>
  <c r="G87" i="1" a="1"/>
  <c r="G87" i="1" s="1"/>
  <c r="C88" i="1"/>
  <c r="F88" i="1" l="1"/>
  <c r="I47" i="1"/>
  <c r="J47" i="1" s="1"/>
  <c r="K47" i="1" s="1"/>
  <c r="D48" i="1" s="1"/>
  <c r="E48" i="1" s="1"/>
  <c r="G88" i="1" a="1"/>
  <c r="G88" i="1" s="1"/>
  <c r="C89" i="1"/>
  <c r="F89" i="1" l="1"/>
  <c r="H48" i="1"/>
  <c r="G89" i="1" a="1"/>
  <c r="G89" i="1" s="1"/>
  <c r="C90" i="1"/>
  <c r="F90" i="1" l="1"/>
  <c r="I48" i="1"/>
  <c r="J48" i="1" s="1"/>
  <c r="K48" i="1" s="1"/>
  <c r="D49" i="1" s="1"/>
  <c r="E49" i="1" s="1"/>
  <c r="G90" i="1" a="1"/>
  <c r="G90" i="1" s="1"/>
  <c r="C91" i="1"/>
  <c r="F91" i="1" l="1"/>
  <c r="H49" i="1"/>
  <c r="G91" i="1" a="1"/>
  <c r="G91" i="1" s="1"/>
  <c r="C92" i="1"/>
  <c r="F92" i="1" l="1"/>
  <c r="I49" i="1"/>
  <c r="J49" i="1" s="1"/>
  <c r="K49" i="1" s="1"/>
  <c r="D50" i="1" s="1"/>
  <c r="E50" i="1" s="1"/>
  <c r="G92" i="1" a="1"/>
  <c r="G92" i="1" s="1"/>
  <c r="C93" i="1"/>
  <c r="F93" i="1" l="1"/>
  <c r="H50" i="1"/>
  <c r="G93" i="1" a="1"/>
  <c r="G93" i="1" s="1"/>
  <c r="C94" i="1"/>
  <c r="F94" i="1" l="1"/>
  <c r="I50" i="1"/>
  <c r="J50" i="1" s="1"/>
  <c r="K50" i="1" s="1"/>
  <c r="D51" i="1" s="1"/>
  <c r="E51" i="1" s="1"/>
  <c r="G94" i="1" a="1"/>
  <c r="G94" i="1" s="1"/>
  <c r="C95" i="1"/>
  <c r="F95" i="1" l="1"/>
  <c r="H51" i="1"/>
  <c r="G95" i="1" a="1"/>
  <c r="G95" i="1" s="1"/>
  <c r="C96" i="1"/>
  <c r="F96" i="1" l="1"/>
  <c r="I51" i="1"/>
  <c r="J51" i="1" s="1"/>
  <c r="K51" i="1" s="1"/>
  <c r="D52" i="1" s="1"/>
  <c r="E52" i="1" s="1"/>
  <c r="G96" i="1" a="1"/>
  <c r="G96" i="1" s="1"/>
  <c r="C97" i="1"/>
  <c r="F97" i="1" l="1"/>
  <c r="H52" i="1"/>
  <c r="G97" i="1" a="1"/>
  <c r="G97" i="1" s="1"/>
  <c r="C98" i="1"/>
  <c r="F98" i="1" l="1"/>
  <c r="I52" i="1"/>
  <c r="J52" i="1" s="1"/>
  <c r="K52" i="1" s="1"/>
  <c r="D53" i="1" s="1"/>
  <c r="E53" i="1" s="1"/>
  <c r="G98" i="1" a="1"/>
  <c r="G98" i="1" s="1"/>
  <c r="C99" i="1"/>
  <c r="F99" i="1" l="1"/>
  <c r="H53" i="1"/>
  <c r="G99" i="1" a="1"/>
  <c r="G99" i="1" s="1"/>
  <c r="C100" i="1"/>
  <c r="F100" i="1" l="1"/>
  <c r="I53" i="1"/>
  <c r="J53" i="1" s="1"/>
  <c r="K53" i="1" s="1"/>
  <c r="D54" i="1" s="1"/>
  <c r="E54" i="1" s="1"/>
  <c r="G100" i="1" a="1"/>
  <c r="G100" i="1" s="1"/>
  <c r="C101" i="1"/>
  <c r="F101" i="1" l="1"/>
  <c r="H54" i="1"/>
  <c r="G101" i="1" a="1"/>
  <c r="G101" i="1" s="1"/>
  <c r="C102" i="1"/>
  <c r="F102" i="1" l="1"/>
  <c r="I54" i="1"/>
  <c r="J54" i="1" s="1"/>
  <c r="K54" i="1" s="1"/>
  <c r="D55" i="1" s="1"/>
  <c r="E55" i="1" s="1"/>
  <c r="G102" i="1" a="1"/>
  <c r="G102" i="1" s="1"/>
  <c r="C103" i="1"/>
  <c r="F103" i="1" l="1"/>
  <c r="H55" i="1"/>
  <c r="G103" i="1" a="1"/>
  <c r="G103" i="1" s="1"/>
  <c r="C104" i="1"/>
  <c r="F104" i="1" l="1"/>
  <c r="I55" i="1"/>
  <c r="J55" i="1" s="1"/>
  <c r="K55" i="1" s="1"/>
  <c r="D56" i="1" s="1"/>
  <c r="E56" i="1" s="1"/>
  <c r="G104" i="1" a="1"/>
  <c r="G104" i="1" s="1"/>
  <c r="C105" i="1"/>
  <c r="F105" i="1" l="1"/>
  <c r="H56" i="1"/>
  <c r="G105" i="1" a="1"/>
  <c r="G105" i="1" s="1"/>
  <c r="C106" i="1"/>
  <c r="F106" i="1" l="1"/>
  <c r="I56" i="1"/>
  <c r="J56" i="1" s="1"/>
  <c r="K56" i="1" s="1"/>
  <c r="D57" i="1" s="1"/>
  <c r="E57" i="1" s="1"/>
  <c r="G106" i="1" a="1"/>
  <c r="G106" i="1" s="1"/>
  <c r="C107" i="1"/>
  <c r="F107" i="1" l="1"/>
  <c r="H57" i="1"/>
  <c r="G107" i="1" a="1"/>
  <c r="G107" i="1" s="1"/>
  <c r="C108" i="1"/>
  <c r="F108" i="1" l="1"/>
  <c r="I57" i="1"/>
  <c r="J57" i="1" s="1"/>
  <c r="K57" i="1" s="1"/>
  <c r="D58" i="1" s="1"/>
  <c r="E58" i="1" s="1"/>
  <c r="G108" i="1" a="1"/>
  <c r="G108" i="1" s="1"/>
  <c r="C109" i="1"/>
  <c r="F109" i="1" l="1"/>
  <c r="H58" i="1"/>
  <c r="G109" i="1" a="1"/>
  <c r="G109" i="1" s="1"/>
  <c r="I58" i="1" l="1"/>
  <c r="J58" i="1" s="1"/>
  <c r="K58" i="1" s="1"/>
  <c r="D59" i="1" s="1"/>
  <c r="E59" i="1" s="1"/>
  <c r="H59" i="1" l="1"/>
  <c r="I59" i="1" l="1"/>
  <c r="J59" i="1" s="1"/>
  <c r="K59" i="1" s="1"/>
  <c r="D60" i="1" s="1"/>
  <c r="E60" i="1" s="1"/>
  <c r="H60" i="1" l="1"/>
  <c r="I60" i="1" l="1"/>
  <c r="J60" i="1" s="1"/>
  <c r="K60" i="1" s="1"/>
  <c r="D61" i="1" s="1"/>
  <c r="E61" i="1" s="1"/>
  <c r="H61" i="1" l="1"/>
  <c r="I61" i="1" l="1"/>
  <c r="J61" i="1" s="1"/>
  <c r="K61" i="1" s="1"/>
  <c r="D62" i="1" s="1"/>
  <c r="E62" i="1" s="1"/>
  <c r="H62" i="1" l="1"/>
  <c r="I62" i="1" l="1"/>
  <c r="J62" i="1" s="1"/>
  <c r="K62" i="1" s="1"/>
  <c r="D63" i="1" s="1"/>
  <c r="E63" i="1" s="1"/>
  <c r="H63" i="1" l="1"/>
  <c r="I63" i="1" l="1"/>
  <c r="J63" i="1" s="1"/>
  <c r="K63" i="1" s="1"/>
  <c r="D64" i="1" s="1"/>
  <c r="E64" i="1" s="1"/>
  <c r="H64" i="1" l="1"/>
  <c r="I64" i="1" l="1"/>
  <c r="J64" i="1" s="1"/>
  <c r="K64" i="1" s="1"/>
  <c r="D65" i="1" s="1"/>
  <c r="E65" i="1" s="1"/>
  <c r="H65" i="1" l="1"/>
  <c r="I65" i="1" l="1"/>
  <c r="J65" i="1" s="1"/>
  <c r="K65" i="1" s="1"/>
  <c r="D66" i="1" s="1"/>
  <c r="E66" i="1" s="1"/>
  <c r="H66" i="1" l="1"/>
  <c r="I66" i="1" l="1"/>
  <c r="J66" i="1" s="1"/>
  <c r="K66" i="1" s="1"/>
  <c r="D67" i="1" s="1"/>
  <c r="E67" i="1" s="1"/>
  <c r="H67" i="1" l="1"/>
  <c r="I67" i="1" s="1"/>
  <c r="J67" i="1" s="1"/>
  <c r="K67" i="1" s="1"/>
  <c r="D68" i="1" s="1"/>
  <c r="E68" i="1" s="1"/>
  <c r="H68" i="1" l="1"/>
  <c r="I68" i="1" l="1"/>
  <c r="J68" i="1" s="1"/>
  <c r="K68" i="1" s="1"/>
  <c r="D69" i="1" s="1"/>
  <c r="E69" i="1" s="1"/>
  <c r="H69" i="1" l="1"/>
  <c r="I69" i="1" l="1"/>
  <c r="J69" i="1" s="1"/>
  <c r="K69" i="1" s="1"/>
  <c r="D70" i="1" s="1"/>
  <c r="E70" i="1" s="1"/>
  <c r="H70" i="1" l="1"/>
  <c r="I70" i="1" s="1"/>
  <c r="J70" i="1" s="1"/>
  <c r="K70" i="1" s="1"/>
  <c r="D71" i="1" s="1"/>
  <c r="E71" i="1" s="1"/>
  <c r="H71" i="1" l="1"/>
  <c r="I71" i="1" l="1"/>
  <c r="J71" i="1" s="1"/>
  <c r="K71" i="1" s="1"/>
  <c r="D72" i="1" s="1"/>
  <c r="E72" i="1" l="1"/>
  <c r="H72" i="1" s="1"/>
  <c r="I72" i="1" l="1"/>
  <c r="J72" i="1" s="1"/>
  <c r="K72" i="1" s="1"/>
  <c r="D73" i="1" s="1"/>
  <c r="E73" i="1" l="1"/>
  <c r="H73" i="1" l="1"/>
  <c r="I73" i="1" s="1"/>
  <c r="J73" i="1" s="1"/>
  <c r="K73" i="1" s="1"/>
  <c r="D74" i="1" s="1"/>
  <c r="E74" i="1" l="1"/>
  <c r="H74" i="1" s="1"/>
  <c r="I74" i="1" l="1"/>
  <c r="J74" i="1" s="1"/>
  <c r="K74" i="1" s="1"/>
  <c r="D75" i="1" s="1"/>
  <c r="E75" i="1" s="1"/>
  <c r="H75" i="1" s="1"/>
  <c r="I75" i="1" l="1"/>
  <c r="J75" i="1" s="1"/>
  <c r="K75" i="1" s="1"/>
  <c r="D76" i="1" s="1"/>
  <c r="E76" i="1" s="1"/>
  <c r="H76" i="1" s="1"/>
  <c r="I76" i="1" l="1"/>
  <c r="J76" i="1" s="1"/>
  <c r="K76" i="1" s="1"/>
  <c r="D77" i="1" s="1"/>
  <c r="E77" i="1" s="1"/>
  <c r="H77" i="1" l="1"/>
  <c r="I77" i="1" l="1"/>
  <c r="J77" i="1" s="1"/>
  <c r="K77" i="1" s="1"/>
  <c r="D78" i="1" s="1"/>
  <c r="E78" i="1" s="1"/>
  <c r="H78" i="1" l="1"/>
  <c r="I78" i="1" l="1"/>
  <c r="J78" i="1" s="1"/>
  <c r="K78" i="1" s="1"/>
  <c r="D79" i="1" s="1"/>
  <c r="E79" i="1" s="1"/>
  <c r="H79" i="1" l="1"/>
  <c r="I79" i="1" l="1"/>
  <c r="J79" i="1" s="1"/>
  <c r="K79" i="1" s="1"/>
  <c r="D80" i="1" s="1"/>
  <c r="E80" i="1" s="1"/>
  <c r="H80" i="1" l="1"/>
  <c r="I80" i="1" l="1"/>
  <c r="J80" i="1" s="1"/>
  <c r="K80" i="1" s="1"/>
  <c r="D81" i="1" s="1"/>
  <c r="E81" i="1" s="1"/>
  <c r="H81" i="1" l="1"/>
  <c r="I81" i="1" l="1"/>
  <c r="J81" i="1" s="1"/>
  <c r="K81" i="1" s="1"/>
  <c r="D82" i="1" s="1"/>
  <c r="E82" i="1" s="1"/>
  <c r="H82" i="1" l="1"/>
  <c r="I82" i="1" l="1"/>
  <c r="J82" i="1" s="1"/>
  <c r="K82" i="1" s="1"/>
  <c r="D83" i="1" s="1"/>
  <c r="E83" i="1" s="1"/>
  <c r="H83" i="1" l="1"/>
  <c r="I83" i="1" l="1"/>
  <c r="J83" i="1" s="1"/>
  <c r="K83" i="1" s="1"/>
  <c r="D84" i="1" s="1"/>
  <c r="E84" i="1" s="1"/>
  <c r="H84" i="1" l="1"/>
  <c r="I84" i="1" l="1"/>
  <c r="J84" i="1" s="1"/>
  <c r="K84" i="1" s="1"/>
  <c r="D85" i="1" s="1"/>
  <c r="E85" i="1" s="1"/>
  <c r="H85" i="1" l="1"/>
  <c r="I85" i="1" l="1"/>
  <c r="J85" i="1" s="1"/>
  <c r="K85" i="1" s="1"/>
  <c r="D86" i="1" s="1"/>
  <c r="E86" i="1" s="1"/>
  <c r="H86" i="1" l="1"/>
  <c r="I86" i="1" l="1"/>
  <c r="J86" i="1" s="1"/>
  <c r="K86" i="1" s="1"/>
  <c r="D87" i="1" s="1"/>
  <c r="E87" i="1" s="1"/>
  <c r="H87" i="1" l="1"/>
  <c r="I87" i="1" l="1"/>
  <c r="J87" i="1" s="1"/>
  <c r="K87" i="1" s="1"/>
  <c r="D88" i="1" s="1"/>
  <c r="E88" i="1" s="1"/>
  <c r="H88" i="1" l="1"/>
  <c r="I88" i="1" l="1"/>
  <c r="J88" i="1" s="1"/>
  <c r="K88" i="1" s="1"/>
  <c r="D89" i="1" s="1"/>
  <c r="E89" i="1" s="1"/>
  <c r="H89" i="1" l="1"/>
  <c r="I89" i="1" l="1"/>
  <c r="J89" i="1" s="1"/>
  <c r="K89" i="1" s="1"/>
  <c r="D90" i="1" s="1"/>
  <c r="E90" i="1" s="1"/>
  <c r="H90" i="1" l="1"/>
  <c r="I90" i="1" l="1"/>
  <c r="J90" i="1" s="1"/>
  <c r="K90" i="1" s="1"/>
  <c r="D91" i="1" s="1"/>
  <c r="E91" i="1" s="1"/>
  <c r="H91" i="1" l="1"/>
  <c r="I91" i="1" l="1"/>
  <c r="J91" i="1" s="1"/>
  <c r="K91" i="1" s="1"/>
  <c r="D92" i="1" s="1"/>
  <c r="E92" i="1" s="1"/>
  <c r="H92" i="1" l="1"/>
  <c r="I92" i="1" l="1"/>
  <c r="J92" i="1" s="1"/>
  <c r="K92" i="1" s="1"/>
  <c r="D93" i="1" s="1"/>
  <c r="E93" i="1" s="1"/>
  <c r="H93" i="1" l="1"/>
  <c r="I93" i="1" l="1"/>
  <c r="J93" i="1" s="1"/>
  <c r="K93" i="1" s="1"/>
  <c r="D94" i="1" s="1"/>
  <c r="E94" i="1" s="1"/>
  <c r="H94" i="1" l="1"/>
  <c r="I94" i="1" l="1"/>
  <c r="J94" i="1" s="1"/>
  <c r="K94" i="1" s="1"/>
  <c r="D95" i="1" s="1"/>
  <c r="E95" i="1" s="1"/>
  <c r="H95" i="1" l="1"/>
  <c r="I95" i="1" l="1"/>
  <c r="J95" i="1" s="1"/>
  <c r="K95" i="1" s="1"/>
  <c r="D96" i="1" s="1"/>
  <c r="E96" i="1" s="1"/>
  <c r="H96" i="1" l="1"/>
  <c r="I96" i="1" l="1"/>
  <c r="J96" i="1" s="1"/>
  <c r="K96" i="1" s="1"/>
  <c r="D97" i="1" s="1"/>
  <c r="E97" i="1" s="1"/>
  <c r="H97" i="1" l="1"/>
  <c r="I97" i="1" l="1"/>
  <c r="J97" i="1" s="1"/>
  <c r="K97" i="1" s="1"/>
  <c r="D98" i="1" s="1"/>
  <c r="E98" i="1" s="1"/>
  <c r="H98" i="1" l="1"/>
  <c r="I98" i="1" l="1"/>
  <c r="J98" i="1" s="1"/>
  <c r="K98" i="1" s="1"/>
  <c r="D99" i="1" s="1"/>
  <c r="E99" i="1" s="1"/>
  <c r="H99" i="1" l="1"/>
  <c r="I99" i="1" l="1"/>
  <c r="J99" i="1" s="1"/>
  <c r="K99" i="1" s="1"/>
  <c r="D100" i="1" s="1"/>
  <c r="E100" i="1" s="1"/>
  <c r="H100" i="1" l="1"/>
  <c r="I100" i="1" l="1"/>
  <c r="J100" i="1" s="1"/>
  <c r="K100" i="1" s="1"/>
  <c r="D101" i="1" s="1"/>
  <c r="E101" i="1" s="1"/>
  <c r="H101" i="1" l="1"/>
  <c r="I101" i="1" l="1"/>
  <c r="J101" i="1" s="1"/>
  <c r="K101" i="1" s="1"/>
  <c r="D102" i="1" s="1"/>
  <c r="E102" i="1" s="1"/>
  <c r="H102" i="1" l="1"/>
  <c r="I102" i="1" l="1"/>
  <c r="J102" i="1" s="1"/>
  <c r="K102" i="1" s="1"/>
  <c r="D103" i="1" s="1"/>
  <c r="E103" i="1" s="1"/>
  <c r="H103" i="1" l="1"/>
  <c r="I103" i="1" l="1"/>
  <c r="J103" i="1" s="1"/>
  <c r="K103" i="1" s="1"/>
  <c r="D104" i="1" s="1"/>
  <c r="E104" i="1" s="1"/>
  <c r="H104" i="1" l="1"/>
  <c r="I104" i="1" l="1"/>
  <c r="J104" i="1" s="1"/>
  <c r="K104" i="1" s="1"/>
  <c r="D105" i="1" s="1"/>
  <c r="E105" i="1" s="1"/>
  <c r="H105" i="1" l="1"/>
  <c r="I105" i="1" l="1"/>
  <c r="J105" i="1" s="1"/>
  <c r="K105" i="1" s="1"/>
  <c r="D106" i="1" s="1"/>
  <c r="E106" i="1" s="1"/>
  <c r="H106" i="1" l="1"/>
  <c r="I106" i="1" l="1"/>
  <c r="J106" i="1" s="1"/>
  <c r="K106" i="1" s="1"/>
  <c r="D107" i="1" s="1"/>
  <c r="E107" i="1" s="1"/>
  <c r="H107" i="1" l="1"/>
  <c r="I107" i="1" l="1"/>
  <c r="J107" i="1" s="1"/>
  <c r="K107" i="1" s="1"/>
  <c r="D108" i="1" s="1"/>
  <c r="E108" i="1" s="1"/>
  <c r="H108" i="1" l="1"/>
  <c r="I108" i="1" l="1"/>
  <c r="J108" i="1" s="1"/>
  <c r="K108" i="1" s="1"/>
  <c r="D109" i="1" s="1"/>
  <c r="E109" i="1" s="1"/>
  <c r="H109" i="1" l="1"/>
  <c r="I109" i="1" l="1"/>
  <c r="J109" i="1" s="1"/>
  <c r="K1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tc={27C1B6D3-3DEC-49A5-8A83-BEF2369533D2}</author>
  </authors>
  <commentList>
    <comment ref="E3" authorId="0" shapeId="0" xr:uid="{27C1B6D3-3DEC-49A5-8A83-BEF236953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an event from computation? 
In the respective row, select the cell under "Age" field and press delete key.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<sst xmlns="http://schemas.openxmlformats.org/spreadsheetml/2006/main" count="147" uniqueCount="100">
  <si>
    <t>Name</t>
  </si>
  <si>
    <t>Age</t>
  </si>
  <si>
    <t>User Fields (Editable)</t>
  </si>
  <si>
    <t>DOB</t>
  </si>
  <si>
    <t>YEAR</t>
  </si>
  <si>
    <t>Current Savings</t>
  </si>
  <si>
    <t>Marriage</t>
  </si>
  <si>
    <t>Education</t>
  </si>
  <si>
    <t>Car</t>
  </si>
  <si>
    <t>Home</t>
  </si>
  <si>
    <t>Important Events</t>
  </si>
  <si>
    <t>Retirement</t>
  </si>
  <si>
    <t>Title or Description</t>
  </si>
  <si>
    <t>TOTAL</t>
  </si>
  <si>
    <t>Amount</t>
  </si>
  <si>
    <t>AGE</t>
  </si>
  <si>
    <t>Life Expectancy</t>
  </si>
  <si>
    <t>Monthly Income</t>
  </si>
  <si>
    <t>Monthly Expenses</t>
  </si>
  <si>
    <t>Annual Savings/Investments</t>
  </si>
  <si>
    <t>Event #3</t>
  </si>
  <si>
    <t>Event #4</t>
  </si>
  <si>
    <t>Event #5</t>
  </si>
  <si>
    <t>Children Marriage</t>
  </si>
  <si>
    <t>Children Education</t>
  </si>
  <si>
    <t>Ganesh</t>
  </si>
  <si>
    <t>Mobile</t>
  </si>
  <si>
    <t>Bike</t>
  </si>
  <si>
    <t>Domestic Trip</t>
  </si>
  <si>
    <t>International Trip</t>
  </si>
  <si>
    <t>Gift</t>
  </si>
  <si>
    <t>Event #1</t>
  </si>
  <si>
    <t>Event #2</t>
  </si>
  <si>
    <t>EVENTS</t>
  </si>
  <si>
    <t>Effective ROI</t>
  </si>
  <si>
    <t>ROI</t>
  </si>
  <si>
    <t>User Inputs</t>
  </si>
  <si>
    <t>Annual Inflation (%)</t>
  </si>
  <si>
    <t>Annual Life Style Inflation (%)</t>
  </si>
  <si>
    <t>Others (%)</t>
  </si>
  <si>
    <t>Description</t>
  </si>
  <si>
    <t>Rent</t>
  </si>
  <si>
    <t>EMI</t>
  </si>
  <si>
    <t>Credit Cards</t>
  </si>
  <si>
    <t>Groceries</t>
  </si>
  <si>
    <t>Utilities</t>
  </si>
  <si>
    <t>Monthly Expenses Total</t>
  </si>
  <si>
    <t>Misc</t>
  </si>
  <si>
    <t>Life Expectancy Age</t>
  </si>
  <si>
    <t>*If any income is expected on certain age, kindly provide negative value</t>
  </si>
  <si>
    <t>Total Expense Events</t>
  </si>
  <si>
    <t>Total Income Events</t>
  </si>
  <si>
    <t>Computed Values</t>
  </si>
  <si>
    <t>*Edit only the fields with Blue Background</t>
  </si>
  <si>
    <t>PPF Maturity</t>
  </si>
  <si>
    <t>Retirement Age</t>
  </si>
  <si>
    <t>*Copy and paste only the values to test</t>
  </si>
  <si>
    <t>Insurance Maturity</t>
  </si>
  <si>
    <t>EVENTS DESCRIPTION</t>
  </si>
  <si>
    <t>P.Y SAVINGS</t>
  </si>
  <si>
    <t>C.Y SAVINGS</t>
  </si>
  <si>
    <t>Term Insurance</t>
  </si>
  <si>
    <t>Conversion Tool</t>
  </si>
  <si>
    <t>Yearly</t>
  </si>
  <si>
    <t>Half-Yearly</t>
  </si>
  <si>
    <t>Quarterly</t>
  </si>
  <si>
    <t>Weekly</t>
  </si>
  <si>
    <t>Daily</t>
  </si>
  <si>
    <t>Bi-Monthly</t>
  </si>
  <si>
    <t>*Considers Investments from your next year age.</t>
  </si>
  <si>
    <t>*Considers Investments/Events from beginning of each year</t>
  </si>
  <si>
    <t>Post Retirement ROI (%)</t>
  </si>
  <si>
    <t>Annual Increase In Savings (%)</t>
  </si>
  <si>
    <t>Effective ROI after Retirement</t>
  </si>
  <si>
    <t>Annual ROI (%)</t>
  </si>
  <si>
    <t>Post Retirement Annual Inflation (%)</t>
  </si>
  <si>
    <t>Post Retirement Life Style Inflation (%)</t>
  </si>
  <si>
    <t>Formula Fields (Do not Edit)</t>
  </si>
  <si>
    <t xml:space="preserve"> Post Retirement Annual Withdrawal (SWP)</t>
  </si>
  <si>
    <t>Annual Change In SWP (%)</t>
  </si>
  <si>
    <t>PRE RETIREMENT</t>
  </si>
  <si>
    <t>POST RETIREMENT</t>
  </si>
  <si>
    <t>MAIN EVENTS</t>
  </si>
  <si>
    <t>Current Liabilities</t>
  </si>
  <si>
    <t>*P.Y - Previous Year</t>
  </si>
  <si>
    <t>*C.Y - Current Year</t>
  </si>
  <si>
    <t>NET INVESTMENT</t>
  </si>
  <si>
    <t>Retirement Corpus</t>
  </si>
  <si>
    <t>Monthly Income (post tax)</t>
  </si>
  <si>
    <t>LTCG Tax (as of FY24)</t>
  </si>
  <si>
    <t>LTCG Exemption (as of FY24)</t>
  </si>
  <si>
    <t>Tax on SWP</t>
  </si>
  <si>
    <t>Standard + Other tax exemptions</t>
  </si>
  <si>
    <t>TAX (SWP)</t>
  </si>
  <si>
    <t>Today's Price</t>
  </si>
  <si>
    <t>Inflation (if any)</t>
  </si>
  <si>
    <t>Inflation Adjusted Price</t>
  </si>
  <si>
    <t>*Inflation adjusted price is rounded off with next nearest 1000</t>
  </si>
  <si>
    <t>Future value of SWP withdrawal</t>
  </si>
  <si>
    <t>BASIC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</si>
</sst>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4" xfId="0" applyFill="1" applyBorder="1" applyAlignment="1" applyProtection="1">
      <alignment horizontal="right"/>
      <protection locked="0"/>
    </xf>
    <xf numFmtId="0" fontId="3" fillId="3" borderId="5" xfId="0" applyFont="1" applyFill="1" applyBorder="1" applyAlignment="1" applyProtection="1">
      <alignment horizontal="left"/>
      <protection locked="0"/>
    </xf>
    <xf numFmtId="164" fontId="3" fillId="3" borderId="9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/>
    <xf numFmtId="0" fontId="3" fillId="0" borderId="5" xfId="0" applyFont="1" applyBorder="1"/>
    <xf numFmtId="0" fontId="3" fillId="6" borderId="5" xfId="0" applyFont="1" applyFill="1" applyBorder="1" applyAlignment="1">
      <alignment horizontal="center"/>
    </xf>
    <xf numFmtId="14" fontId="3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9" fontId="3" fillId="0" borderId="0" xfId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left"/>
      <protection locked="0"/>
    </xf>
    <xf numFmtId="164" fontId="3" fillId="3" borderId="10" xfId="0" applyNumberFormat="1" applyFont="1" applyFill="1" applyBorder="1" applyAlignment="1" applyProtection="1">
      <alignment horizontal="left"/>
      <protection locked="0"/>
    </xf>
    <xf numFmtId="0" fontId="0" fillId="5" borderId="4" xfId="0" applyFill="1" applyBorder="1" applyAlignment="1">
      <alignment horizontal="center"/>
    </xf>
    <xf numFmtId="0" fontId="0" fillId="8" borderId="0" xfId="0" applyFill="1"/>
    <xf numFmtId="9" fontId="3" fillId="9" borderId="5" xfId="1" applyFont="1" applyFill="1" applyBorder="1" applyAlignment="1">
      <alignment horizontal="center"/>
    </xf>
    <xf numFmtId="1" fontId="3" fillId="6" borderId="5" xfId="1" applyNumberFormat="1" applyFont="1" applyFill="1" applyBorder="1" applyAlignment="1">
      <alignment horizontal="center"/>
    </xf>
    <xf numFmtId="1" fontId="3" fillId="6" borderId="7" xfId="1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164" fontId="0" fillId="0" borderId="12" xfId="0" applyNumberFormat="1" applyBorder="1"/>
    <xf numFmtId="0" fontId="2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9" fontId="3" fillId="2" borderId="5" xfId="1" applyFont="1" applyFill="1" applyBorder="1" applyAlignment="1" applyProtection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6" borderId="5" xfId="0" applyFont="1" applyFill="1" applyBorder="1" applyAlignment="1" applyProtection="1">
      <alignment horizontal="center"/>
      <protection locked="0"/>
    </xf>
    <xf numFmtId="14" fontId="3" fillId="6" borderId="5" xfId="0" applyNumberFormat="1" applyFont="1" applyFill="1" applyBorder="1" applyAlignment="1" applyProtection="1">
      <alignment horizontal="center"/>
      <protection locked="0"/>
    </xf>
    <xf numFmtId="164" fontId="3" fillId="6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1" fontId="3" fillId="6" borderId="5" xfId="1" applyNumberFormat="1" applyFont="1" applyFill="1" applyBorder="1" applyAlignment="1" applyProtection="1">
      <alignment horizontal="center"/>
      <protection locked="0"/>
    </xf>
    <xf numFmtId="1" fontId="3" fillId="6" borderId="7" xfId="1" applyNumberFormat="1" applyFont="1" applyFill="1" applyBorder="1" applyAlignment="1" applyProtection="1">
      <alignment horizontal="center"/>
      <protection locked="0"/>
    </xf>
    <xf numFmtId="0" fontId="0" fillId="7" borderId="0" xfId="0" applyFill="1"/>
    <xf numFmtId="0" fontId="0" fillId="5" borderId="0" xfId="0" applyFill="1"/>
    <xf numFmtId="0" fontId="2" fillId="0" borderId="0" xfId="0" applyFont="1"/>
    <xf numFmtId="164" fontId="3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0" fillId="5" borderId="6" xfId="0" applyFill="1" applyBorder="1" applyAlignment="1" applyProtection="1">
      <alignment horizontal="right"/>
      <protection locked="0"/>
    </xf>
    <xf numFmtId="0" fontId="3" fillId="2" borderId="1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164" fontId="3" fillId="3" borderId="14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164" fontId="3" fillId="3" borderId="0" xfId="0" applyNumberFormat="1" applyFont="1" applyFill="1" applyAlignment="1" applyProtection="1">
      <alignment horizontal="left"/>
      <protection locked="0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0" fontId="3" fillId="3" borderId="9" xfId="0" applyNumberFormat="1" applyFont="1" applyFill="1" applyBorder="1" applyAlignment="1" applyProtection="1">
      <alignment horizontal="left"/>
      <protection locked="0"/>
    </xf>
    <xf numFmtId="164" fontId="3" fillId="2" borderId="9" xfId="0" applyNumberFormat="1" applyFont="1" applyFill="1" applyBorder="1" applyAlignment="1" applyProtection="1">
      <alignment horizontal="left"/>
      <protection locked="0"/>
    </xf>
    <xf numFmtId="10" fontId="3" fillId="3" borderId="10" xfId="0" applyNumberFormat="1" applyFont="1" applyFill="1" applyBorder="1" applyAlignment="1" applyProtection="1">
      <alignment horizontal="left"/>
      <protection locked="0"/>
    </xf>
    <xf numFmtId="164" fontId="3" fillId="2" borderId="10" xfId="0" applyNumberFormat="1" applyFont="1" applyFill="1" applyBorder="1" applyAlignment="1" applyProtection="1">
      <alignment horizontal="left"/>
      <protection locked="0"/>
    </xf>
    <xf numFmtId="10" fontId="3" fillId="3" borderId="15" xfId="0" applyNumberFormat="1" applyFont="1" applyFill="1" applyBorder="1" applyAlignment="1" applyProtection="1">
      <alignment horizontal="left"/>
      <protection locked="0"/>
    </xf>
    <xf numFmtId="164" fontId="3" fillId="2" borderId="15" xfId="0" applyNumberFormat="1" applyFont="1" applyFill="1" applyBorder="1" applyAlignment="1" applyProtection="1">
      <alignment horizontal="left"/>
      <protection locked="0"/>
    </xf>
    <xf numFmtId="10" fontId="3" fillId="6" borderId="5" xfId="1" applyNumberFormat="1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>
      <alignment horizontal="center"/>
    </xf>
    <xf numFmtId="0" fontId="3" fillId="5" borderId="3" xfId="0" applyFont="1" applyFill="1" applyBorder="1" applyAlignment="1" applyProtection="1">
      <alignment horizontal="center"/>
      <protection locked="0"/>
    </xf>
    <xf numFmtId="10" fontId="3" fillId="6" borderId="7" xfId="1" applyNumberFormat="1" applyFont="1" applyFill="1" applyBorder="1" applyAlignment="1" applyProtection="1">
      <alignment horizontal="center"/>
      <protection locked="0"/>
    </xf>
    <xf numFmtId="0" fontId="3" fillId="5" borderId="7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11">
    <dxf>
      <font>
        <color rgb="FF9C0006"/>
      </font>
      <fill>
        <patternFill patternType="none">
          <bgColor auto="1"/>
        </patternFill>
      </fill>
    </dxf>
    <dxf>
      <font>
        <b/>
        <i/>
      </font>
      <fill>
        <patternFill>
          <bgColor theme="0" tint="-4.9989318521683403E-2"/>
        </patternFill>
      </fill>
    </dxf>
    <dxf>
      <font>
        <b/>
        <i/>
      </font>
      <fill>
        <patternFill>
          <bgColor theme="9" tint="0.59996337778862885"/>
        </patternFill>
      </fill>
    </dxf>
    <dxf>
      <font>
        <b/>
        <i/>
        <u val="double"/>
      </font>
      <fill>
        <patternFill>
          <bgColor rgb="FF00B050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  <dxf>
      <font>
        <color rgb="FF9C0006"/>
      </font>
    </dxf>
    <dxf>
      <font>
        <color rgb="FF9C0006"/>
      </font>
      <fill>
        <patternFill patternType="none">
          <bgColor auto="1"/>
        </patternFill>
      </fill>
    </dxf>
    <dxf>
      <font>
        <b/>
        <i/>
      </font>
      <fill>
        <patternFill>
          <bgColor theme="0" tint="-4.9989318521683403E-2"/>
        </patternFill>
      </fill>
    </dxf>
    <dxf>
      <font>
        <b/>
        <i/>
      </font>
      <fill>
        <patternFill>
          <bgColor theme="9" tint="0.59996337778862885"/>
        </patternFill>
      </fill>
    </dxf>
    <dxf>
      <font>
        <b/>
        <i/>
        <u val="double"/>
      </font>
      <fill>
        <patternFill>
          <bgColor rgb="FF00B050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C80000"/>
      <color rgb="FF96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3676650</xdr:colOff>
          <xdr:row>110</xdr:row>
          <xdr:rowOff>161925</xdr:rowOff>
        </xdr:from>
        <xdr:to>
          <xdr:col>10</xdr:col>
          <xdr:colOff>9525</xdr:colOff>
          <xdr:row>114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 THIS PAGE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kumar" id="{3093248D-1E2F-4DCB-89A3-46C9B522FA53}" userId="S::naveenkumar@metamation.com::a6891bee-00dd-4bf5-97f5-6ef0eb222f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7-23T13:32:28.30" personId="{3093248D-1E2F-4DCB-89A3-46C9B522FA53}" id="{27C1B6D3-3DEC-49A5-8A83-BEF2369533D2}">
    <text>Delete an event from computation? 
In the respective row, select the cell under "Age" field and press delete key.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109"/>
  <sheetViews>
    <sheetView zoomScale="89" workbookViewId="0">
      <selection activeCell="E9" sqref="E9"/>
    </sheetView>
  </sheetViews>
  <sheetFormatPr defaultColWidth="41.28515625" defaultRowHeight="15" x14ac:dyDescent="0.25"/>
  <cols>
    <col min="1" max="1" width="55.5703125" bestFit="1" customWidth="1"/>
    <col min="2" max="2" width="9.140625" bestFit="1" customWidth="1"/>
    <col min="3" max="3" width="7.7109375" bestFit="1" customWidth="1"/>
    <col min="4" max="5" width="18.5703125" bestFit="1" customWidth="1"/>
    <col min="6" max="6" width="21.140625" customWidth="1"/>
    <col min="7" max="7" width="46.28515625" bestFit="1" customWidth="1"/>
    <col min="8" max="8" width="28.85546875" bestFit="1" customWidth="1"/>
    <col min="9" max="9" width="25.42578125" bestFit="1" customWidth="1"/>
    <col min="10" max="10" width="16.7109375" bestFit="1" customWidth="1"/>
    <col min="11" max="12" width="16" bestFit="1" customWidth="1"/>
  </cols>
  <sheetData>
    <row r="1" spans="1:12" x14ac:dyDescent="0.25">
      <c r="A1" t="s">
        <v>70</v>
      </c>
    </row>
    <row r="2" spans="1:12" x14ac:dyDescent="0.25">
      <c r="A2" t="s">
        <v>69</v>
      </c>
    </row>
    <row r="3" spans="1:12" x14ac:dyDescent="0.25">
      <c r="A3" t="s">
        <v>84</v>
      </c>
    </row>
    <row r="4" spans="1:12" x14ac:dyDescent="0.25">
      <c r="A4" t="s">
        <v>85</v>
      </c>
    </row>
    <row r="5" spans="1:12" x14ac:dyDescent="0.25">
      <c r="K5" s="4"/>
      <c r="L5" s="4"/>
    </row>
    <row r="6" spans="1:12" ht="15.75" thickBot="1" x14ac:dyDescent="0.3"/>
    <row r="7" spans="1:12" ht="21" x14ac:dyDescent="0.35">
      <c r="B7" s="33" t="s">
        <v>4</v>
      </c>
      <c r="C7" s="34" t="s">
        <v>15</v>
      </c>
      <c r="D7" s="34" t="s">
        <v>59</v>
      </c>
      <c r="E7" s="35" t="s">
        <v>60</v>
      </c>
      <c r="F7" s="34" t="s">
        <v>33</v>
      </c>
      <c r="G7" s="34" t="s">
        <v>58</v>
      </c>
      <c r="H7" s="34" t="s">
        <v>93</v>
      </c>
      <c r="I7" s="34" t="s">
        <v>86</v>
      </c>
      <c r="J7" s="34" t="s">
        <v>35</v>
      </c>
      <c r="K7" s="36" t="s">
        <v>13</v>
      </c>
    </row>
    <row r="8" spans="1:12" x14ac:dyDescent="0.25">
      <c r="B8" s="1"/>
      <c r="K8" s="2"/>
    </row>
    <row r="9" spans="1:12" x14ac:dyDescent="0.25">
      <c r="B9" s="3">
        <f ca="1">YEAR(TODAY())</f>
        <v>2024</v>
      </c>
      <c r="C9" s="4">
        <f ca="1">userAge+1</f>
        <v>57</v>
      </c>
      <c r="D9" s="5">
        <f>ROUND(userCurrentSavings-userCurrentLiabilities, 0)</f>
        <v>5000000</v>
      </c>
      <c r="E9" s="14">
        <f>userAnnualSavings</f>
        <v>1200000</v>
      </c>
      <c r="F9" s="5">
        <f ca="1">-SUMIFS('Input-Events'!H$4:H$106, 'Input-Events'!E$4:E$106, $C9)</f>
        <v>0</v>
      </c>
      <c r="G9" s="4" t="str" cm="1">
        <f t="array" aca="1" ref="G9" ca="1">_xlfn.TEXTJOIN(", ", TRUE, IF('Input-Events'!E$4:E$106=$C9, 'Input-Events'!D$4:D$106, ""))</f>
        <v/>
      </c>
      <c r="H9" s="5">
        <f ca="1">IF(AND($C9&gt;userRetirementAge, SUM($E9, swpLTCGExemption, swpOtherTaxExemptions) &lt; 0), (-SUM($E9, swpLTCGExemption, swpOtherTaxExemptions))*swpLTCGTaxPercentage, 0)</f>
        <v>0</v>
      </c>
      <c r="I9" s="5">
        <f ca="1">$D9+$E9+$F9-$H9</f>
        <v>6200000</v>
      </c>
      <c r="J9" s="5">
        <f ca="1">ROUND(IF($C9&gt;=userRetirementAge, IF($I9&gt;0, $I9*annualEffectivePostRetirementROI, 0), IF($I9&gt;0, $I9*annualEffectiveROI, 0)), 0)</f>
        <v>620000</v>
      </c>
      <c r="K9" s="6">
        <f ca="1">ROUND(I9+J9, 0)</f>
        <v>6820000</v>
      </c>
    </row>
    <row r="10" spans="1:12" x14ac:dyDescent="0.25">
      <c r="B10" s="3">
        <f t="shared" ref="B10:B41" ca="1" si="0">B9+1</f>
        <v>2025</v>
      </c>
      <c r="C10" s="4">
        <f t="shared" ref="C10:C41" ca="1" si="1">C9+1</f>
        <v>58</v>
      </c>
      <c r="D10" s="5">
        <f ca="1">ROUND(K9, 0)</f>
        <v>6820000</v>
      </c>
      <c r="E10" s="14">
        <f ca="1">ROUND(IF($C10&gt;userRetirementAge, IF($D10&gt;0,-FV(annualChangeInSWP, $C10-userRetirementAge-1, 0, -annualWithdrawalSWP_FV, 1), 0), E9+E9*(annualIncreaseInSavings)), 0)</f>
        <v>1260000</v>
      </c>
      <c r="F10" s="5">
        <f ca="1">-SUMIFS('Input-Events'!H$4:H$106, 'Input-Events'!E$4:E$106, $C10)</f>
        <v>2000000</v>
      </c>
      <c r="G10" s="4" t="str" cm="1">
        <f t="array" aca="1" ref="G10" ca="1">_xlfn.TEXTJOIN(", ", TRUE, IF('Input-Events'!E$4:E$106=$C10, 'Input-Events'!D$4:D$106, ""))</f>
        <v>Retirement Corpus, Retirement</v>
      </c>
      <c r="H10" s="5">
        <f ca="1">IF(AND($C10&gt;userRetirementAge, SUM($E10, swpLTCGExemption, swpOtherTaxExemptions) &lt; 0), (-SUM($E10, swpLTCGExemption, swpOtherTaxExemptions))*swpLTCGTaxPercentage, 0)</f>
        <v>0</v>
      </c>
      <c r="I10" s="5">
        <f t="shared" ref="I10:I73" ca="1" si="2">$D10+$E10+$F10-$H10</f>
        <v>10080000</v>
      </c>
      <c r="J10" s="5">
        <f ca="1">ROUND(IF($C10&gt;=userRetirementAge, IF($I10&gt;0, $I10*annualEffectivePostRetirementROI, 0), IF($I10&gt;0, $I10*annualEffectiveROI, 0)), 0)</f>
        <v>806400</v>
      </c>
      <c r="K10" s="6">
        <f ca="1">ROUND(I10+J10, 0)</f>
        <v>10886400</v>
      </c>
    </row>
    <row r="11" spans="1:12" x14ac:dyDescent="0.25">
      <c r="B11" s="3">
        <f t="shared" ca="1" si="0"/>
        <v>2026</v>
      </c>
      <c r="C11" s="4">
        <f t="shared" ca="1" si="1"/>
        <v>59</v>
      </c>
      <c r="D11" s="5">
        <f ca="1">ROUND(K10, 0)</f>
        <v>10886400</v>
      </c>
      <c r="E11" s="14">
        <f ca="1">ROUND(IF($C11&gt;userRetirementAge, IF($D11&gt;0,-FV(annualChangeInSWP, $C11-userRetirementAge-1, 0, -annualWithdrawalSWP_FV, 1), 0), E10+E10*(annualIncreaseInSavings)), 0)</f>
        <v>-1373880</v>
      </c>
      <c r="F11" s="5">
        <f ca="1">-SUMIFS('Input-Events'!H$4:H$106, 'Input-Events'!E$4:E$106, $C11)</f>
        <v>0</v>
      </c>
      <c r="G11" s="4" t="str" cm="1">
        <f t="array" aca="1" ref="G11" ca="1">_xlfn.TEXTJOIN(", ", TRUE, IF('Input-Events'!E$4:E$106=$C11, 'Input-Events'!D$4:D$106, ""))</f>
        <v/>
      </c>
      <c r="H11" s="5">
        <f ca="1">IF(AND($C11&gt;userRetirementAge, SUM($E11, swpLTCGExemption, swpOtherTaxExemptions) &lt; 0), (-SUM($E11, swpLTCGExemption, swpOtherTaxExemptions))*swpLTCGTaxPercentage, 0)</f>
        <v>68610</v>
      </c>
      <c r="I11" s="5">
        <f t="shared" ca="1" si="2"/>
        <v>9443910</v>
      </c>
      <c r="J11" s="5">
        <f ca="1">ROUND(IF($C11&gt;=userRetirementAge, IF($I11&gt;0, $I11*annualEffectivePostRetirementROI, 0), IF($I11&gt;0, $I11*annualEffectiveROI, 0)), 0)</f>
        <v>755513</v>
      </c>
      <c r="K11" s="6">
        <f ca="1">ROUND(I11+J11, 0)</f>
        <v>10199423</v>
      </c>
    </row>
    <row r="12" spans="1:12" x14ac:dyDescent="0.25">
      <c r="B12" s="3">
        <f t="shared" ca="1" si="0"/>
        <v>2027</v>
      </c>
      <c r="C12" s="4">
        <f t="shared" ca="1" si="1"/>
        <v>60</v>
      </c>
      <c r="D12" s="5">
        <f ca="1">ROUND(K11, 0)</f>
        <v>10199423</v>
      </c>
      <c r="E12" s="14">
        <f ca="1">ROUND(IF($C12&gt;userRetirementAge, IF($D12&gt;0,-FV(annualChangeInSWP, $C12-userRetirementAge-1, 0, -annualWithdrawalSWP_FV, 1), 0), E11+E11*(annualIncreaseInSavings)), 0)</f>
        <v>-1387619</v>
      </c>
      <c r="F12" s="5">
        <f ca="1">-SUMIFS('Input-Events'!H$4:H$106, 'Input-Events'!E$4:E$106, $C12)</f>
        <v>0</v>
      </c>
      <c r="G12" s="4" t="str" cm="1">
        <f t="array" aca="1" ref="G12" ca="1">_xlfn.TEXTJOIN(", ", TRUE, IF('Input-Events'!E$4:E$106=$C12, 'Input-Events'!D$4:D$106, ""))</f>
        <v/>
      </c>
      <c r="H12" s="5">
        <f ca="1">IF(AND($C12&gt;userRetirementAge, SUM($E12, swpLTCGExemption, swpOtherTaxExemptions) &lt; 0), (-SUM($E12, swpLTCGExemption, swpOtherTaxExemptions))*swpLTCGTaxPercentage, 0)</f>
        <v>70327.375</v>
      </c>
      <c r="I12" s="5">
        <f t="shared" ca="1" si="2"/>
        <v>8741476.625</v>
      </c>
      <c r="J12" s="5">
        <f ca="1">ROUND(IF($C12&gt;=userRetirementAge, IF($I12&gt;0, $I12*annualEffectivePostRetirementROI, 0), IF($I12&gt;0, $I12*annualEffectiveROI, 0)), 0)</f>
        <v>699318</v>
      </c>
      <c r="K12" s="6">
        <f ca="1">ROUND(I12+J12, 0)</f>
        <v>9440795</v>
      </c>
    </row>
    <row r="13" spans="1:12" x14ac:dyDescent="0.25">
      <c r="B13" s="3">
        <f t="shared" ca="1" si="0"/>
        <v>2028</v>
      </c>
      <c r="C13" s="4">
        <f t="shared" ca="1" si="1"/>
        <v>61</v>
      </c>
      <c r="D13" s="5">
        <f ca="1">ROUND(K12, 0)</f>
        <v>9440795</v>
      </c>
      <c r="E13" s="14">
        <f ca="1">ROUND(IF($C13&gt;userRetirementAge, IF($D13&gt;0,-FV(annualChangeInSWP, $C13-userRetirementAge-1, 0, -annualWithdrawalSWP_FV, 1), 0), E12+E12*(annualIncreaseInSavings)), 0)</f>
        <v>-1401495</v>
      </c>
      <c r="F13" s="5">
        <f ca="1">-SUMIFS('Input-Events'!H$4:H$106, 'Input-Events'!E$4:E$106, $C13)</f>
        <v>0</v>
      </c>
      <c r="G13" s="4" t="str" cm="1">
        <f t="array" aca="1" ref="G13" ca="1">_xlfn.TEXTJOIN(", ", TRUE, IF('Input-Events'!E$4:E$106=$C13, 'Input-Events'!D$4:D$106, ""))</f>
        <v/>
      </c>
      <c r="H13" s="5">
        <f ca="1">IF(AND($C13&gt;userRetirementAge, SUM($E13, swpLTCGExemption, swpOtherTaxExemptions) &lt; 0), (-SUM($E13, swpLTCGExemption, swpOtherTaxExemptions))*swpLTCGTaxPercentage, 0)</f>
        <v>72061.875</v>
      </c>
      <c r="I13" s="5">
        <f t="shared" ca="1" si="2"/>
        <v>7967238.125</v>
      </c>
      <c r="J13" s="5">
        <f ca="1">ROUND(IF($C13&gt;=userRetirementAge, IF($I13&gt;0, $I13*annualEffectivePostRetirementROI, 0), IF($I13&gt;0, $I13*annualEffectiveROI, 0)), 0)</f>
        <v>637379</v>
      </c>
      <c r="K13" s="6">
        <f ca="1">ROUND(I13+J13, 0)</f>
        <v>8604617</v>
      </c>
    </row>
    <row r="14" spans="1:12" x14ac:dyDescent="0.25">
      <c r="B14" s="3">
        <f t="shared" ca="1" si="0"/>
        <v>2029</v>
      </c>
      <c r="C14" s="4">
        <f t="shared" ca="1" si="1"/>
        <v>62</v>
      </c>
      <c r="D14" s="5">
        <f ca="1">ROUND(K13, 0)</f>
        <v>8604617</v>
      </c>
      <c r="E14" s="14">
        <f ca="1">ROUND(IF($C14&gt;userRetirementAge, IF($D14&gt;0,-FV(annualChangeInSWP, $C14-userRetirementAge-1, 0, -annualWithdrawalSWP_FV, 1), 0), E13+E13*(annualIncreaseInSavings)), 0)</f>
        <v>-1415510</v>
      </c>
      <c r="F14" s="5">
        <f ca="1">-SUMIFS('Input-Events'!H$4:H$106, 'Input-Events'!E$4:E$106, $C14)</f>
        <v>0</v>
      </c>
      <c r="G14" s="4" t="str" cm="1">
        <f t="array" aca="1" ref="G14" ca="1">_xlfn.TEXTJOIN(", ", TRUE, IF('Input-Events'!E$4:E$106=$C14, 'Input-Events'!D$4:D$106, ""))</f>
        <v/>
      </c>
      <c r="H14" s="5">
        <f ca="1">IF(AND($C14&gt;userRetirementAge, SUM($E14, swpLTCGExemption, swpOtherTaxExemptions) &lt; 0), (-SUM($E14, swpLTCGExemption, swpOtherTaxExemptions))*swpLTCGTaxPercentage, 0)</f>
        <v>73813.75</v>
      </c>
      <c r="I14" s="5">
        <f t="shared" ca="1" si="2"/>
        <v>7115293.25</v>
      </c>
      <c r="J14" s="5">
        <f ca="1">ROUND(IF($C14&gt;=userRetirementAge, IF($I14&gt;0, $I14*annualEffectivePostRetirementROI, 0), IF($I14&gt;0, $I14*annualEffectiveROI, 0)), 0)</f>
        <v>569223</v>
      </c>
      <c r="K14" s="6">
        <f ca="1">ROUND(I14+J14, 0)</f>
        <v>7684516</v>
      </c>
    </row>
    <row r="15" spans="1:12" x14ac:dyDescent="0.25">
      <c r="B15" s="3">
        <f t="shared" ca="1" si="0"/>
        <v>2030</v>
      </c>
      <c r="C15" s="4">
        <f t="shared" ca="1" si="1"/>
        <v>63</v>
      </c>
      <c r="D15" s="5">
        <f ca="1">ROUND(K14, 0)</f>
        <v>7684516</v>
      </c>
      <c r="E15" s="14">
        <f ca="1">ROUND(IF($C15&gt;userRetirementAge, IF($D15&gt;0,-FV(annualChangeInSWP, $C15-userRetirementAge-1, 0, -annualWithdrawalSWP_FV, 1), 0), E14+E14*(annualIncreaseInSavings)), 0)</f>
        <v>-1429665</v>
      </c>
      <c r="F15" s="5">
        <f ca="1">-SUMIFS('Input-Events'!H$4:H$106, 'Input-Events'!E$4:E$106, $C15)</f>
        <v>0</v>
      </c>
      <c r="G15" s="4" t="str" cm="1">
        <f t="array" aca="1" ref="G15" ca="1">_xlfn.TEXTJOIN(", ", TRUE, IF('Input-Events'!E$4:E$106=$C15, 'Input-Events'!D$4:D$106, ""))</f>
        <v/>
      </c>
      <c r="H15" s="5">
        <f ca="1">IF(AND($C15&gt;userRetirementAge, SUM($E15, swpLTCGExemption, swpOtherTaxExemptions) &lt; 0), (-SUM($E15, swpLTCGExemption, swpOtherTaxExemptions))*swpLTCGTaxPercentage, 0)</f>
        <v>75583.125</v>
      </c>
      <c r="I15" s="5">
        <f t="shared" ca="1" si="2"/>
        <v>6179267.875</v>
      </c>
      <c r="J15" s="5">
        <f ca="1">ROUND(IF($C15&gt;=userRetirementAge, IF($I15&gt;0, $I15*annualEffectivePostRetirementROI, 0), IF($I15&gt;0, $I15*annualEffectiveROI, 0)), 0)</f>
        <v>494341</v>
      </c>
      <c r="K15" s="6">
        <f ca="1">ROUND(I15+J15, 0)</f>
        <v>6673609</v>
      </c>
    </row>
    <row r="16" spans="1:12" x14ac:dyDescent="0.25">
      <c r="B16" s="3">
        <f t="shared" ca="1" si="0"/>
        <v>2031</v>
      </c>
      <c r="C16" s="4">
        <f t="shared" ca="1" si="1"/>
        <v>64</v>
      </c>
      <c r="D16" s="5">
        <f ca="1">ROUND(K15, 0)</f>
        <v>6673609</v>
      </c>
      <c r="E16" s="14">
        <f ca="1">ROUND(IF($C16&gt;userRetirementAge, IF($D16&gt;0,-FV(annualChangeInSWP, $C16-userRetirementAge-1, 0, -annualWithdrawalSWP_FV, 1), 0), E15+E15*(annualIncreaseInSavings)), 0)</f>
        <v>-1443962</v>
      </c>
      <c r="F16" s="5">
        <f ca="1">-SUMIFS('Input-Events'!H$4:H$106, 'Input-Events'!E$4:E$106, $C16)</f>
        <v>0</v>
      </c>
      <c r="G16" s="4" t="str" cm="1">
        <f t="array" aca="1" ref="G16" ca="1">_xlfn.TEXTJOIN(", ", TRUE, IF('Input-Events'!E$4:E$106=$C16, 'Input-Events'!D$4:D$106, ""))</f>
        <v/>
      </c>
      <c r="H16" s="5">
        <f ca="1">IF(AND($C16&gt;userRetirementAge, SUM($E16, swpLTCGExemption, swpOtherTaxExemptions) &lt; 0), (-SUM($E16, swpLTCGExemption, swpOtherTaxExemptions))*swpLTCGTaxPercentage, 0)</f>
        <v>77370.25</v>
      </c>
      <c r="I16" s="5">
        <f t="shared" ca="1" si="2"/>
        <v>5152276.75</v>
      </c>
      <c r="J16" s="5">
        <f ca="1">ROUND(IF($C16&gt;=userRetirementAge, IF($I16&gt;0, $I16*annualEffectivePostRetirementROI, 0), IF($I16&gt;0, $I16*annualEffectiveROI, 0)), 0)</f>
        <v>412182</v>
      </c>
      <c r="K16" s="6">
        <f ca="1">ROUND(I16+J16, 0)</f>
        <v>5564459</v>
      </c>
    </row>
    <row r="17" spans="2:11" x14ac:dyDescent="0.25">
      <c r="B17" s="3">
        <f t="shared" ca="1" si="0"/>
        <v>2032</v>
      </c>
      <c r="C17" s="4">
        <f t="shared" ca="1" si="1"/>
        <v>65</v>
      </c>
      <c r="D17" s="5">
        <f ca="1">ROUND(K16, 0)</f>
        <v>5564459</v>
      </c>
      <c r="E17" s="14">
        <f ca="1">ROUND(IF($C17&gt;userRetirementAge, IF($D17&gt;0,-FV(annualChangeInSWP, $C17-userRetirementAge-1, 0, -annualWithdrawalSWP_FV, 1), 0), E16+E16*(annualIncreaseInSavings)), 0)</f>
        <v>-1458401</v>
      </c>
      <c r="F17" s="5">
        <f ca="1">-SUMIFS('Input-Events'!H$4:H$106, 'Input-Events'!E$4:E$106, $C17)</f>
        <v>0</v>
      </c>
      <c r="G17" s="4" t="str" cm="1">
        <f t="array" aca="1" ref="G17" ca="1">_xlfn.TEXTJOIN(", ", TRUE, IF('Input-Events'!E$4:E$106=$C17, 'Input-Events'!D$4:D$106, ""))</f>
        <v/>
      </c>
      <c r="H17" s="5">
        <f ca="1">IF(AND($C17&gt;userRetirementAge, SUM($E17, swpLTCGExemption, swpOtherTaxExemptions) &lt; 0), (-SUM($E17, swpLTCGExemption, swpOtherTaxExemptions))*swpLTCGTaxPercentage, 0)</f>
        <v>79175.125</v>
      </c>
      <c r="I17" s="5">
        <f t="shared" ca="1" si="2"/>
        <v>4026882.875</v>
      </c>
      <c r="J17" s="5">
        <f ca="1">ROUND(IF($C17&gt;=userRetirementAge, IF($I17&gt;0, $I17*annualEffectivePostRetirementROI, 0), IF($I17&gt;0, $I17*annualEffectiveROI, 0)), 0)</f>
        <v>322151</v>
      </c>
      <c r="K17" s="6">
        <f ca="1">ROUND(I17+J17, 0)</f>
        <v>4349034</v>
      </c>
    </row>
    <row r="18" spans="2:11" x14ac:dyDescent="0.25">
      <c r="B18" s="3">
        <f t="shared" ca="1" si="0"/>
        <v>2033</v>
      </c>
      <c r="C18" s="4">
        <f t="shared" ca="1" si="1"/>
        <v>66</v>
      </c>
      <c r="D18" s="5">
        <f ca="1">ROUND(K17, 0)</f>
        <v>4349034</v>
      </c>
      <c r="E18" s="14">
        <f ca="1">ROUND(IF($C18&gt;userRetirementAge, IF($D18&gt;0,-FV(annualChangeInSWP, $C18-userRetirementAge-1, 0, -annualWithdrawalSWP_FV, 1), 0), E17+E17*(annualIncreaseInSavings)), 0)</f>
        <v>-1472985</v>
      </c>
      <c r="F18" s="5">
        <f ca="1">-SUMIFS('Input-Events'!H$4:H$106, 'Input-Events'!E$4:E$106, $C18)</f>
        <v>0</v>
      </c>
      <c r="G18" s="4" t="str" cm="1">
        <f t="array" aca="1" ref="G18" ca="1">_xlfn.TEXTJOIN(", ", TRUE, IF('Input-Events'!E$4:E$106=$C18, 'Input-Events'!D$4:D$106, ""))</f>
        <v/>
      </c>
      <c r="H18" s="5">
        <f ca="1">IF(AND($C18&gt;userRetirementAge, SUM($E18, swpLTCGExemption, swpOtherTaxExemptions) &lt; 0), (-SUM($E18, swpLTCGExemption, swpOtherTaxExemptions))*swpLTCGTaxPercentage, 0)</f>
        <v>80998.125</v>
      </c>
      <c r="I18" s="5">
        <f t="shared" ca="1" si="2"/>
        <v>2795050.875</v>
      </c>
      <c r="J18" s="5">
        <f ca="1">ROUND(IF($C18&gt;=userRetirementAge, IF($I18&gt;0, $I18*annualEffectivePostRetirementROI, 0), IF($I18&gt;0, $I18*annualEffectiveROI, 0)), 0)</f>
        <v>223604</v>
      </c>
      <c r="K18" s="6">
        <f ca="1">ROUND(I18+J18, 0)</f>
        <v>3018655</v>
      </c>
    </row>
    <row r="19" spans="2:11" x14ac:dyDescent="0.25">
      <c r="B19" s="3">
        <f t="shared" ca="1" si="0"/>
        <v>2034</v>
      </c>
      <c r="C19" s="4">
        <f t="shared" ca="1" si="1"/>
        <v>67</v>
      </c>
      <c r="D19" s="5">
        <f ca="1">ROUND(K18, 0)</f>
        <v>3018655</v>
      </c>
      <c r="E19" s="14">
        <f ca="1">ROUND(IF($C19&gt;userRetirementAge, IF($D19&gt;0,-FV(annualChangeInSWP, $C19-userRetirementAge-1, 0, -annualWithdrawalSWP_FV, 1), 0), E18+E18*(annualIncreaseInSavings)), 0)</f>
        <v>-1487715</v>
      </c>
      <c r="F19" s="5">
        <f ca="1">-SUMIFS('Input-Events'!H$4:H$106, 'Input-Events'!E$4:E$106, $C19)</f>
        <v>0</v>
      </c>
      <c r="G19" s="4" t="str" cm="1">
        <f t="array" aca="1" ref="G19" ca="1">_xlfn.TEXTJOIN(", ", TRUE, IF('Input-Events'!E$4:E$106=$C19, 'Input-Events'!D$4:D$106, ""))</f>
        <v/>
      </c>
      <c r="H19" s="5">
        <f ca="1">IF(AND($C19&gt;userRetirementAge, SUM($E19, swpLTCGExemption, swpOtherTaxExemptions) &lt; 0), (-SUM($E19, swpLTCGExemption, swpOtherTaxExemptions))*swpLTCGTaxPercentage, 0)</f>
        <v>82839.375</v>
      </c>
      <c r="I19" s="5">
        <f t="shared" ca="1" si="2"/>
        <v>1448100.625</v>
      </c>
      <c r="J19" s="5">
        <f ca="1">ROUND(IF($C19&gt;=userRetirementAge, IF($I19&gt;0, $I19*annualEffectivePostRetirementROI, 0), IF($I19&gt;0, $I19*annualEffectiveROI, 0)), 0)</f>
        <v>115848</v>
      </c>
      <c r="K19" s="6">
        <f ca="1">ROUND(I19+J19, 0)</f>
        <v>1563949</v>
      </c>
    </row>
    <row r="20" spans="2:11" x14ac:dyDescent="0.25">
      <c r="B20" s="3">
        <f t="shared" ca="1" si="0"/>
        <v>2035</v>
      </c>
      <c r="C20" s="4">
        <f t="shared" ca="1" si="1"/>
        <v>68</v>
      </c>
      <c r="D20" s="5">
        <f ca="1">ROUND(K19, 0)</f>
        <v>1563949</v>
      </c>
      <c r="E20" s="14">
        <f ca="1">ROUND(IF($C20&gt;userRetirementAge, IF($D20&gt;0,-FV(annualChangeInSWP, $C20-userRetirementAge-1, 0, -annualWithdrawalSWP_FV, 1), 0), E19+E19*(annualIncreaseInSavings)), 0)</f>
        <v>-1502592</v>
      </c>
      <c r="F20" s="5">
        <f ca="1">-SUMIFS('Input-Events'!H$4:H$106, 'Input-Events'!E$4:E$106, $C20)</f>
        <v>0</v>
      </c>
      <c r="G20" s="4" t="str" cm="1">
        <f t="array" aca="1" ref="G20" ca="1">_xlfn.TEXTJOIN(", ", TRUE, IF('Input-Events'!E$4:E$106=$C20, 'Input-Events'!D$4:D$106, ""))</f>
        <v/>
      </c>
      <c r="H20" s="5">
        <f ca="1">IF(AND($C20&gt;userRetirementAge, SUM($E20, swpLTCGExemption, swpOtherTaxExemptions) &lt; 0), (-SUM($E20, swpLTCGExemption, swpOtherTaxExemptions))*swpLTCGTaxPercentage, 0)</f>
        <v>84699</v>
      </c>
      <c r="I20" s="5">
        <f t="shared" ca="1" si="2"/>
        <v>-23342</v>
      </c>
      <c r="J20" s="5">
        <f ca="1">ROUND(IF($C20&gt;=userRetirementAge, IF($I20&gt;0, $I20*annualEffectivePostRetirementROI, 0), IF($I20&gt;0, $I20*annualEffectiveROI, 0)), 0)</f>
        <v>0</v>
      </c>
      <c r="K20" s="6">
        <f ca="1">ROUND(I20+J20, 0)</f>
        <v>-23342</v>
      </c>
    </row>
    <row r="21" spans="2:11" x14ac:dyDescent="0.25">
      <c r="B21" s="3">
        <f t="shared" ca="1" si="0"/>
        <v>2036</v>
      </c>
      <c r="C21" s="4">
        <f t="shared" ca="1" si="1"/>
        <v>69</v>
      </c>
      <c r="D21" s="5">
        <f ca="1">ROUND(K20, 0)</f>
        <v>-23342</v>
      </c>
      <c r="E21" s="14">
        <f ca="1">ROUND(IF($C21&gt;userRetirementAge, IF($D21&gt;0,-FV(annualChangeInSWP, $C21-userRetirementAge-1, 0, -annualWithdrawalSWP_FV, 1), 0), E20+E20*(annualIncreaseInSavings)), 0)</f>
        <v>0</v>
      </c>
      <c r="F21" s="5">
        <f ca="1">-SUMIFS('Input-Events'!H$4:H$106, 'Input-Events'!E$4:E$106, $C21)</f>
        <v>0</v>
      </c>
      <c r="G21" s="4" t="str" cm="1">
        <f t="array" aca="1" ref="G21" ca="1">_xlfn.TEXTJOIN(", ", TRUE, IF('Input-Events'!E$4:E$106=$C21, 'Input-Events'!D$4:D$106, ""))</f>
        <v/>
      </c>
      <c r="H21" s="5">
        <f ca="1">IF(AND($C21&gt;userRetirementAge, SUM($E21, swpLTCGExemption, swpOtherTaxExemptions) &lt; 0), (-SUM($E21, swpLTCGExemption, swpOtherTaxExemptions))*swpLTCGTaxPercentage, 0)</f>
        <v>0</v>
      </c>
      <c r="I21" s="5">
        <f t="shared" ca="1" si="2"/>
        <v>-23342</v>
      </c>
      <c r="J21" s="5">
        <f ca="1">ROUND(IF($C21&gt;=userRetirementAge, IF($I21&gt;0, $I21*annualEffectivePostRetirementROI, 0), IF($I21&gt;0, $I21*annualEffectiveROI, 0)), 0)</f>
        <v>0</v>
      </c>
      <c r="K21" s="6">
        <f ca="1">ROUND(I21+J21, 0)</f>
        <v>-23342</v>
      </c>
    </row>
    <row r="22" spans="2:11" x14ac:dyDescent="0.25">
      <c r="B22" s="3">
        <f t="shared" ca="1" si="0"/>
        <v>2037</v>
      </c>
      <c r="C22" s="4">
        <f t="shared" ca="1" si="1"/>
        <v>70</v>
      </c>
      <c r="D22" s="5">
        <f ca="1">ROUND(K21, 0)</f>
        <v>-23342</v>
      </c>
      <c r="E22" s="14">
        <f ca="1">ROUND(IF($C22&gt;userRetirementAge, IF($D22&gt;0,-FV(annualChangeInSWP, $C22-userRetirementAge-1, 0, -annualWithdrawalSWP_FV, 1), 0), E21+E21*(annualIncreaseInSavings)), 0)</f>
        <v>0</v>
      </c>
      <c r="F22" s="5">
        <f ca="1">-SUMIFS('Input-Events'!H$4:H$106, 'Input-Events'!E$4:E$106, $C22)</f>
        <v>0</v>
      </c>
      <c r="G22" s="4" t="str" cm="1">
        <f t="array" aca="1" ref="G22" ca="1">_xlfn.TEXTJOIN(", ", TRUE, IF('Input-Events'!E$4:E$106=$C22, 'Input-Events'!D$4:D$106, ""))</f>
        <v/>
      </c>
      <c r="H22" s="5">
        <f ca="1">IF(AND($C22&gt;userRetirementAge, SUM($E22, swpLTCGExemption, swpOtherTaxExemptions) &lt; 0), (-SUM($E22, swpLTCGExemption, swpOtherTaxExemptions))*swpLTCGTaxPercentage, 0)</f>
        <v>0</v>
      </c>
      <c r="I22" s="5">
        <f t="shared" ca="1" si="2"/>
        <v>-23342</v>
      </c>
      <c r="J22" s="5">
        <f ca="1">ROUND(IF($C22&gt;=userRetirementAge, IF($I22&gt;0, $I22*annualEffectivePostRetirementROI, 0), IF($I22&gt;0, $I22*annualEffectiveROI, 0)), 0)</f>
        <v>0</v>
      </c>
      <c r="K22" s="6">
        <f ca="1">ROUND(I22+J22, 0)</f>
        <v>-23342</v>
      </c>
    </row>
    <row r="23" spans="2:11" x14ac:dyDescent="0.25">
      <c r="B23" s="3">
        <f t="shared" ca="1" si="0"/>
        <v>2038</v>
      </c>
      <c r="C23" s="4">
        <f t="shared" ca="1" si="1"/>
        <v>71</v>
      </c>
      <c r="D23" s="5">
        <f ca="1">ROUND(K22, 0)</f>
        <v>-23342</v>
      </c>
      <c r="E23" s="14">
        <f ca="1">ROUND(IF($C23&gt;userRetirementAge, IF($D23&gt;0,-FV(annualChangeInSWP, $C23-userRetirementAge-1, 0, -annualWithdrawalSWP_FV, 1), 0), E22+E22*(annualIncreaseInSavings)), 0)</f>
        <v>0</v>
      </c>
      <c r="F23" s="5">
        <f ca="1">-SUMIFS('Input-Events'!H$4:H$106, 'Input-Events'!E$4:E$106, $C23)</f>
        <v>0</v>
      </c>
      <c r="G23" s="4" t="str" cm="1">
        <f t="array" aca="1" ref="G23" ca="1">_xlfn.TEXTJOIN(", ", TRUE, IF('Input-Events'!E$4:E$106=$C23, 'Input-Events'!D$4:D$106, ""))</f>
        <v/>
      </c>
      <c r="H23" s="5">
        <f ca="1">IF(AND($C23&gt;userRetirementAge, SUM($E23, swpLTCGExemption, swpOtherTaxExemptions) &lt; 0), (-SUM($E23, swpLTCGExemption, swpOtherTaxExemptions))*swpLTCGTaxPercentage, 0)</f>
        <v>0</v>
      </c>
      <c r="I23" s="5">
        <f t="shared" ca="1" si="2"/>
        <v>-23342</v>
      </c>
      <c r="J23" s="5">
        <f ca="1">ROUND(IF($C23&gt;=userRetirementAge, IF($I23&gt;0, $I23*annualEffectivePostRetirementROI, 0), IF($I23&gt;0, $I23*annualEffectiveROI, 0)), 0)</f>
        <v>0</v>
      </c>
      <c r="K23" s="6">
        <f ca="1">ROUND(I23+J23, 0)</f>
        <v>-23342</v>
      </c>
    </row>
    <row r="24" spans="2:11" x14ac:dyDescent="0.25">
      <c r="B24" s="3">
        <f t="shared" ca="1" si="0"/>
        <v>2039</v>
      </c>
      <c r="C24" s="4">
        <f t="shared" ca="1" si="1"/>
        <v>72</v>
      </c>
      <c r="D24" s="5">
        <f ca="1">ROUND(K23, 0)</f>
        <v>-23342</v>
      </c>
      <c r="E24" s="14">
        <f ca="1">ROUND(IF($C24&gt;userRetirementAge, IF($D24&gt;0,-FV(annualChangeInSWP, $C24-userRetirementAge-1, 0, -annualWithdrawalSWP_FV, 1), 0), E23+E23*(annualIncreaseInSavings)), 0)</f>
        <v>0</v>
      </c>
      <c r="F24" s="5">
        <f ca="1">-SUMIFS('Input-Events'!H$4:H$106, 'Input-Events'!E$4:E$106, $C24)</f>
        <v>0</v>
      </c>
      <c r="G24" s="4" t="str" cm="1">
        <f t="array" aca="1" ref="G24" ca="1">_xlfn.TEXTJOIN(", ", TRUE, IF('Input-Events'!E$4:E$106=$C24, 'Input-Events'!D$4:D$106, ""))</f>
        <v/>
      </c>
      <c r="H24" s="5">
        <f ca="1">IF(AND($C24&gt;userRetirementAge, SUM($E24, swpLTCGExemption, swpOtherTaxExemptions) &lt; 0), (-SUM($E24, swpLTCGExemption, swpOtherTaxExemptions))*swpLTCGTaxPercentage, 0)</f>
        <v>0</v>
      </c>
      <c r="I24" s="5">
        <f t="shared" ca="1" si="2"/>
        <v>-23342</v>
      </c>
      <c r="J24" s="5">
        <f ca="1">ROUND(IF($C24&gt;=userRetirementAge, IF($I24&gt;0, $I24*annualEffectivePostRetirementROI, 0), IF($I24&gt;0, $I24*annualEffectiveROI, 0)), 0)</f>
        <v>0</v>
      </c>
      <c r="K24" s="6">
        <f ca="1">ROUND(I24+J24, 0)</f>
        <v>-23342</v>
      </c>
    </row>
    <row r="25" spans="2:11" x14ac:dyDescent="0.25">
      <c r="B25" s="3">
        <f t="shared" ca="1" si="0"/>
        <v>2040</v>
      </c>
      <c r="C25" s="4">
        <f t="shared" ca="1" si="1"/>
        <v>73</v>
      </c>
      <c r="D25" s="5">
        <f ca="1">ROUND(K24, 0)</f>
        <v>-23342</v>
      </c>
      <c r="E25" s="14">
        <f ca="1">ROUND(IF($C25&gt;userRetirementAge, IF($D25&gt;0,-FV(annualChangeInSWP, $C25-userRetirementAge-1, 0, -annualWithdrawalSWP_FV, 1), 0), E24+E24*(annualIncreaseInSavings)), 0)</f>
        <v>0</v>
      </c>
      <c r="F25" s="5">
        <f ca="1">-SUMIFS('Input-Events'!H$4:H$106, 'Input-Events'!E$4:E$106, $C25)</f>
        <v>0</v>
      </c>
      <c r="G25" s="4" t="str" cm="1">
        <f t="array" aca="1" ref="G25" ca="1">_xlfn.TEXTJOIN(", ", TRUE, IF('Input-Events'!E$4:E$106=$C25, 'Input-Events'!D$4:D$106, ""))</f>
        <v/>
      </c>
      <c r="H25" s="5">
        <f ca="1">IF(AND($C25&gt;userRetirementAge, SUM($E25, swpLTCGExemption, swpOtherTaxExemptions) &lt; 0), (-SUM($E25, swpLTCGExemption, swpOtherTaxExemptions))*swpLTCGTaxPercentage, 0)</f>
        <v>0</v>
      </c>
      <c r="I25" s="5">
        <f t="shared" ca="1" si="2"/>
        <v>-23342</v>
      </c>
      <c r="J25" s="5">
        <f ca="1">ROUND(IF($C25&gt;=userRetirementAge, IF($I25&gt;0, $I25*annualEffectivePostRetirementROI, 0), IF($I25&gt;0, $I25*annualEffectiveROI, 0)), 0)</f>
        <v>0</v>
      </c>
      <c r="K25" s="6">
        <f ca="1">ROUND(I25+J25, 0)</f>
        <v>-23342</v>
      </c>
    </row>
    <row r="26" spans="2:11" x14ac:dyDescent="0.25">
      <c r="B26" s="3">
        <f t="shared" ca="1" si="0"/>
        <v>2041</v>
      </c>
      <c r="C26" s="4">
        <f t="shared" ca="1" si="1"/>
        <v>74</v>
      </c>
      <c r="D26" s="5">
        <f ca="1">ROUND(K25, 0)</f>
        <v>-23342</v>
      </c>
      <c r="E26" s="14">
        <f ca="1">ROUND(IF($C26&gt;userRetirementAge, IF($D26&gt;0,-FV(annualChangeInSWP, $C26-userRetirementAge-1, 0, -annualWithdrawalSWP_FV, 1), 0), E25+E25*(annualIncreaseInSavings)), 0)</f>
        <v>0</v>
      </c>
      <c r="F26" s="5">
        <f ca="1">-SUMIFS('Input-Events'!H$4:H$106, 'Input-Events'!E$4:E$106, $C26)</f>
        <v>0</v>
      </c>
      <c r="G26" s="4" t="str" cm="1">
        <f t="array" aca="1" ref="G26" ca="1">_xlfn.TEXTJOIN(", ", TRUE, IF('Input-Events'!E$4:E$106=$C26, 'Input-Events'!D$4:D$106, ""))</f>
        <v/>
      </c>
      <c r="H26" s="5">
        <f ca="1">IF(AND($C26&gt;userRetirementAge, SUM($E26, swpLTCGExemption, swpOtherTaxExemptions) &lt; 0), (-SUM($E26, swpLTCGExemption, swpOtherTaxExemptions))*swpLTCGTaxPercentage, 0)</f>
        <v>0</v>
      </c>
      <c r="I26" s="5">
        <f t="shared" ca="1" si="2"/>
        <v>-23342</v>
      </c>
      <c r="J26" s="5">
        <f ca="1">ROUND(IF($C26&gt;=userRetirementAge, IF($I26&gt;0, $I26*annualEffectivePostRetirementROI, 0), IF($I26&gt;0, $I26*annualEffectiveROI, 0)), 0)</f>
        <v>0</v>
      </c>
      <c r="K26" s="6">
        <f ca="1">ROUND(I26+J26, 0)</f>
        <v>-23342</v>
      </c>
    </row>
    <row r="27" spans="2:11" x14ac:dyDescent="0.25">
      <c r="B27" s="3">
        <f t="shared" ca="1" si="0"/>
        <v>2042</v>
      </c>
      <c r="C27" s="4">
        <f t="shared" ca="1" si="1"/>
        <v>75</v>
      </c>
      <c r="D27" s="5">
        <f ca="1">ROUND(K26, 0)</f>
        <v>-23342</v>
      </c>
      <c r="E27" s="14">
        <f ca="1">ROUND(IF($C27&gt;userRetirementAge, IF($D27&gt;0,-FV(annualChangeInSWP, $C27-userRetirementAge-1, 0, -annualWithdrawalSWP_FV, 1), 0), E26+E26*(annualIncreaseInSavings)), 0)</f>
        <v>0</v>
      </c>
      <c r="F27" s="5">
        <f ca="1">-SUMIFS('Input-Events'!H$4:H$106, 'Input-Events'!E$4:E$106, $C27)</f>
        <v>0</v>
      </c>
      <c r="G27" s="4" t="str" cm="1">
        <f t="array" aca="1" ref="G27" ca="1">_xlfn.TEXTJOIN(", ", TRUE, IF('Input-Events'!E$4:E$106=$C27, 'Input-Events'!D$4:D$106, ""))</f>
        <v/>
      </c>
      <c r="H27" s="5">
        <f ca="1">IF(AND($C27&gt;userRetirementAge, SUM($E27, swpLTCGExemption, swpOtherTaxExemptions) &lt; 0), (-SUM($E27, swpLTCGExemption, swpOtherTaxExemptions))*swpLTCGTaxPercentage, 0)</f>
        <v>0</v>
      </c>
      <c r="I27" s="5">
        <f t="shared" ca="1" si="2"/>
        <v>-23342</v>
      </c>
      <c r="J27" s="5">
        <f ca="1">ROUND(IF($C27&gt;=userRetirementAge, IF($I27&gt;0, $I27*annualEffectivePostRetirementROI, 0), IF($I27&gt;0, $I27*annualEffectiveROI, 0)), 0)</f>
        <v>0</v>
      </c>
      <c r="K27" s="6">
        <f ca="1">ROUND(I27+J27, 0)</f>
        <v>-23342</v>
      </c>
    </row>
    <row r="28" spans="2:11" x14ac:dyDescent="0.25">
      <c r="B28" s="3">
        <f t="shared" ca="1" si="0"/>
        <v>2043</v>
      </c>
      <c r="C28" s="4">
        <f t="shared" ca="1" si="1"/>
        <v>76</v>
      </c>
      <c r="D28" s="5">
        <f ca="1">ROUND(K27, 0)</f>
        <v>-23342</v>
      </c>
      <c r="E28" s="14">
        <f ca="1">ROUND(IF($C28&gt;userRetirementAge, IF($D28&gt;0,-FV(annualChangeInSWP, $C28-userRetirementAge-1, 0, -annualWithdrawalSWP_FV, 1), 0), E27+E27*(annualIncreaseInSavings)), 0)</f>
        <v>0</v>
      </c>
      <c r="F28" s="5">
        <f ca="1">-SUMIFS('Input-Events'!H$4:H$106, 'Input-Events'!E$4:E$106, $C28)</f>
        <v>0</v>
      </c>
      <c r="G28" s="4" t="str" cm="1">
        <f t="array" aca="1" ref="G28" ca="1">_xlfn.TEXTJOIN(", ", TRUE, IF('Input-Events'!E$4:E$106=$C28, 'Input-Events'!D$4:D$106, ""))</f>
        <v/>
      </c>
      <c r="H28" s="5">
        <f ca="1">IF(AND($C28&gt;userRetirementAge, SUM($E28, swpLTCGExemption, swpOtherTaxExemptions) &lt; 0), (-SUM($E28, swpLTCGExemption, swpOtherTaxExemptions))*swpLTCGTaxPercentage, 0)</f>
        <v>0</v>
      </c>
      <c r="I28" s="5">
        <f t="shared" ca="1" si="2"/>
        <v>-23342</v>
      </c>
      <c r="J28" s="5">
        <f ca="1">ROUND(IF($C28&gt;=userRetirementAge, IF($I28&gt;0, $I28*annualEffectivePostRetirementROI, 0), IF($I28&gt;0, $I28*annualEffectiveROI, 0)), 0)</f>
        <v>0</v>
      </c>
      <c r="K28" s="6">
        <f ca="1">ROUND(I28+J28, 0)</f>
        <v>-23342</v>
      </c>
    </row>
    <row r="29" spans="2:11" x14ac:dyDescent="0.25">
      <c r="B29" s="3">
        <f t="shared" ca="1" si="0"/>
        <v>2044</v>
      </c>
      <c r="C29" s="4">
        <f t="shared" ca="1" si="1"/>
        <v>77</v>
      </c>
      <c r="D29" s="5">
        <f ca="1">ROUND(K28, 0)</f>
        <v>-23342</v>
      </c>
      <c r="E29" s="14">
        <f ca="1">ROUND(IF($C29&gt;userRetirementAge, IF($D29&gt;0,-FV(annualChangeInSWP, $C29-userRetirementAge-1, 0, -annualWithdrawalSWP_FV, 1), 0), E28+E28*(annualIncreaseInSavings)), 0)</f>
        <v>0</v>
      </c>
      <c r="F29" s="5">
        <f ca="1">-SUMIFS('Input-Events'!H$4:H$106, 'Input-Events'!E$4:E$106, $C29)</f>
        <v>0</v>
      </c>
      <c r="G29" s="4" t="str" cm="1">
        <f t="array" aca="1" ref="G29" ca="1">_xlfn.TEXTJOIN(", ", TRUE, IF('Input-Events'!E$4:E$106=$C29, 'Input-Events'!D$4:D$106, ""))</f>
        <v/>
      </c>
      <c r="H29" s="5">
        <f ca="1">IF(AND($C29&gt;userRetirementAge, SUM($E29, swpLTCGExemption, swpOtherTaxExemptions) &lt; 0), (-SUM($E29, swpLTCGExemption, swpOtherTaxExemptions))*swpLTCGTaxPercentage, 0)</f>
        <v>0</v>
      </c>
      <c r="I29" s="5">
        <f t="shared" ca="1" si="2"/>
        <v>-23342</v>
      </c>
      <c r="J29" s="5">
        <f ca="1">ROUND(IF($C29&gt;=userRetirementAge, IF($I29&gt;0, $I29*annualEffectivePostRetirementROI, 0), IF($I29&gt;0, $I29*annualEffectiveROI, 0)), 0)</f>
        <v>0</v>
      </c>
      <c r="K29" s="6">
        <f ca="1">ROUND(I29+J29, 0)</f>
        <v>-23342</v>
      </c>
    </row>
    <row r="30" spans="2:11" x14ac:dyDescent="0.25">
      <c r="B30" s="3">
        <f t="shared" ca="1" si="0"/>
        <v>2045</v>
      </c>
      <c r="C30" s="4">
        <f t="shared" ca="1" si="1"/>
        <v>78</v>
      </c>
      <c r="D30" s="5">
        <f ca="1">ROUND(K29, 0)</f>
        <v>-23342</v>
      </c>
      <c r="E30" s="14">
        <f ca="1">ROUND(IF($C30&gt;userRetirementAge, IF($D30&gt;0,-FV(annualChangeInSWP, $C30-userRetirementAge-1, 0, -annualWithdrawalSWP_FV, 1), 0), E29+E29*(annualIncreaseInSavings)), 0)</f>
        <v>0</v>
      </c>
      <c r="F30" s="5">
        <f ca="1">-SUMIFS('Input-Events'!H$4:H$106, 'Input-Events'!E$4:E$106, $C30)</f>
        <v>0</v>
      </c>
      <c r="G30" s="4" t="str" cm="1">
        <f t="array" aca="1" ref="G30" ca="1">_xlfn.TEXTJOIN(", ", TRUE, IF('Input-Events'!E$4:E$106=$C30, 'Input-Events'!D$4:D$106, ""))</f>
        <v/>
      </c>
      <c r="H30" s="5">
        <f ca="1">IF(AND($C30&gt;userRetirementAge, SUM($E30, swpLTCGExemption, swpOtherTaxExemptions) &lt; 0), (-SUM($E30, swpLTCGExemption, swpOtherTaxExemptions))*swpLTCGTaxPercentage, 0)</f>
        <v>0</v>
      </c>
      <c r="I30" s="5">
        <f t="shared" ca="1" si="2"/>
        <v>-23342</v>
      </c>
      <c r="J30" s="5">
        <f ca="1">ROUND(IF($C30&gt;=userRetirementAge, IF($I30&gt;0, $I30*annualEffectivePostRetirementROI, 0), IF($I30&gt;0, $I30*annualEffectiveROI, 0)), 0)</f>
        <v>0</v>
      </c>
      <c r="K30" s="6">
        <f ca="1">ROUND(I30+J30, 0)</f>
        <v>-23342</v>
      </c>
    </row>
    <row r="31" spans="2:11" x14ac:dyDescent="0.25">
      <c r="B31" s="3">
        <f t="shared" ca="1" si="0"/>
        <v>2046</v>
      </c>
      <c r="C31" s="4">
        <f t="shared" ca="1" si="1"/>
        <v>79</v>
      </c>
      <c r="D31" s="5">
        <f ca="1">ROUND(K30, 0)</f>
        <v>-23342</v>
      </c>
      <c r="E31" s="14">
        <f ca="1">ROUND(IF($C31&gt;userRetirementAge, IF($D31&gt;0,-FV(annualChangeInSWP, $C31-userRetirementAge-1, 0, -annualWithdrawalSWP_FV, 1), 0), E30+E30*(annualIncreaseInSavings)), 0)</f>
        <v>0</v>
      </c>
      <c r="F31" s="5">
        <f ca="1">-SUMIFS('Input-Events'!H$4:H$106, 'Input-Events'!E$4:E$106, $C31)</f>
        <v>0</v>
      </c>
      <c r="G31" s="4" t="str" cm="1">
        <f t="array" aca="1" ref="G31" ca="1">_xlfn.TEXTJOIN(", ", TRUE, IF('Input-Events'!E$4:E$106=$C31, 'Input-Events'!D$4:D$106, ""))</f>
        <v/>
      </c>
      <c r="H31" s="5">
        <f ca="1">IF(AND($C31&gt;userRetirementAge, SUM($E31, swpLTCGExemption, swpOtherTaxExemptions) &lt; 0), (-SUM($E31, swpLTCGExemption, swpOtherTaxExemptions))*swpLTCGTaxPercentage, 0)</f>
        <v>0</v>
      </c>
      <c r="I31" s="5">
        <f t="shared" ca="1" si="2"/>
        <v>-23342</v>
      </c>
      <c r="J31" s="5">
        <f ca="1">ROUND(IF($C31&gt;=userRetirementAge, IF($I31&gt;0, $I31*annualEffectivePostRetirementROI, 0), IF($I31&gt;0, $I31*annualEffectiveROI, 0)), 0)</f>
        <v>0</v>
      </c>
      <c r="K31" s="6">
        <f ca="1">ROUND(I31+J31, 0)</f>
        <v>-23342</v>
      </c>
    </row>
    <row r="32" spans="2:11" x14ac:dyDescent="0.25">
      <c r="B32" s="3">
        <f t="shared" ca="1" si="0"/>
        <v>2047</v>
      </c>
      <c r="C32" s="4">
        <f t="shared" ca="1" si="1"/>
        <v>80</v>
      </c>
      <c r="D32" s="5">
        <f ca="1">ROUND(K31, 0)</f>
        <v>-23342</v>
      </c>
      <c r="E32" s="14">
        <f ca="1">ROUND(IF($C32&gt;userRetirementAge, IF($D32&gt;0,-FV(annualChangeInSWP, $C32-userRetirementAge-1, 0, -annualWithdrawalSWP_FV, 1), 0), E31+E31*(annualIncreaseInSavings)), 0)</f>
        <v>0</v>
      </c>
      <c r="F32" s="5">
        <f ca="1">-SUMIFS('Input-Events'!H$4:H$106, 'Input-Events'!E$4:E$106, $C32)</f>
        <v>10000000</v>
      </c>
      <c r="G32" s="4" t="str" cm="1">
        <f t="array" aca="1" ref="G32" ca="1">_xlfn.TEXTJOIN(", ", TRUE, IF('Input-Events'!E$4:E$106=$C32, 'Input-Events'!D$4:D$106, ""))</f>
        <v>Term Insurance, Life Expectancy</v>
      </c>
      <c r="H32" s="5">
        <f ca="1">IF(AND($C32&gt;userRetirementAge, SUM($E32, swpLTCGExemption, swpOtherTaxExemptions) &lt; 0), (-SUM($E32, swpLTCGExemption, swpOtherTaxExemptions))*swpLTCGTaxPercentage, 0)</f>
        <v>0</v>
      </c>
      <c r="I32" s="5">
        <f t="shared" ca="1" si="2"/>
        <v>9976658</v>
      </c>
      <c r="J32" s="5">
        <f ca="1">ROUND(IF($C32&gt;=userRetirementAge, IF($I32&gt;0, $I32*annualEffectivePostRetirementROI, 0), IF($I32&gt;0, $I32*annualEffectiveROI, 0)), 0)</f>
        <v>798133</v>
      </c>
      <c r="K32" s="6">
        <f ca="1">ROUND(I32+J32, 0)</f>
        <v>10774791</v>
      </c>
    </row>
    <row r="33" spans="2:11" x14ac:dyDescent="0.25">
      <c r="B33" s="3">
        <f t="shared" ca="1" si="0"/>
        <v>2048</v>
      </c>
      <c r="C33" s="4">
        <f t="shared" ca="1" si="1"/>
        <v>81</v>
      </c>
      <c r="D33" s="5">
        <f ca="1">ROUND(K32, 0)</f>
        <v>10774791</v>
      </c>
      <c r="E33" s="14">
        <f ca="1">ROUND(IF($C33&gt;userRetirementAge, IF($D33&gt;0,-FV(annualChangeInSWP, $C33-userRetirementAge-1, 0, -annualWithdrawalSWP_FV, 1), 0), E32+E32*(annualIncreaseInSavings)), 0)</f>
        <v>-1710090</v>
      </c>
      <c r="F33" s="5">
        <f ca="1">-SUMIFS('Input-Events'!H$4:H$106, 'Input-Events'!E$4:E$106, $C33)</f>
        <v>0</v>
      </c>
      <c r="G33" s="4" t="str" cm="1">
        <f t="array" aca="1" ref="G33" ca="1">_xlfn.TEXTJOIN(", ", TRUE, IF('Input-Events'!E$4:E$106=$C33, 'Input-Events'!D$4:D$106, ""))</f>
        <v/>
      </c>
      <c r="H33" s="5">
        <f ca="1">IF(AND($C33&gt;userRetirementAge, SUM($E33, swpLTCGExemption, swpOtherTaxExemptions) &lt; 0), (-SUM($E33, swpLTCGExemption, swpOtherTaxExemptions))*swpLTCGTaxPercentage, 0)</f>
        <v>110636.25</v>
      </c>
      <c r="I33" s="5">
        <f t="shared" ca="1" si="2"/>
        <v>8954064.75</v>
      </c>
      <c r="J33" s="5">
        <f ca="1">ROUND(IF($C33&gt;=userRetirementAge, IF($I33&gt;0, $I33*annualEffectivePostRetirementROI, 0), IF($I33&gt;0, $I33*annualEffectiveROI, 0)), 0)</f>
        <v>716325</v>
      </c>
      <c r="K33" s="6">
        <f ca="1">ROUND(I33+J33, 0)</f>
        <v>9670390</v>
      </c>
    </row>
    <row r="34" spans="2:11" x14ac:dyDescent="0.25">
      <c r="B34" s="3">
        <f t="shared" ca="1" si="0"/>
        <v>2049</v>
      </c>
      <c r="C34" s="4">
        <f t="shared" ca="1" si="1"/>
        <v>82</v>
      </c>
      <c r="D34" s="5">
        <f ca="1">ROUND(K33, 0)</f>
        <v>9670390</v>
      </c>
      <c r="E34" s="14">
        <f ca="1">ROUND(IF($C34&gt;userRetirementAge, IF($D34&gt;0,-FV(annualChangeInSWP, $C34-userRetirementAge-1, 0, -annualWithdrawalSWP_FV, 1), 0), E33+E33*(annualIncreaseInSavings)), 0)</f>
        <v>-1727191</v>
      </c>
      <c r="F34" s="5">
        <f ca="1">-SUMIFS('Input-Events'!H$4:H$106, 'Input-Events'!E$4:E$106, $C34)</f>
        <v>0</v>
      </c>
      <c r="G34" s="4" t="str" cm="1">
        <f t="array" aca="1" ref="G34" ca="1">_xlfn.TEXTJOIN(", ", TRUE, IF('Input-Events'!E$4:E$106=$C34, 'Input-Events'!D$4:D$106, ""))</f>
        <v/>
      </c>
      <c r="H34" s="5">
        <f ca="1">IF(AND($C34&gt;userRetirementAge, SUM($E34, swpLTCGExemption, swpOtherTaxExemptions) &lt; 0), (-SUM($E34, swpLTCGExemption, swpOtherTaxExemptions))*swpLTCGTaxPercentage, 0)</f>
        <v>112773.875</v>
      </c>
      <c r="I34" s="5">
        <f t="shared" ca="1" si="2"/>
        <v>7830425.125</v>
      </c>
      <c r="J34" s="5">
        <f ca="1">ROUND(IF($C34&gt;=userRetirementAge, IF($I34&gt;0, $I34*annualEffectivePostRetirementROI, 0), IF($I34&gt;0, $I34*annualEffectiveROI, 0)), 0)</f>
        <v>626434</v>
      </c>
      <c r="K34" s="6">
        <f ca="1">ROUND(I34+J34, 0)</f>
        <v>8456859</v>
      </c>
    </row>
    <row r="35" spans="2:11" x14ac:dyDescent="0.25">
      <c r="B35" s="3">
        <f t="shared" ca="1" si="0"/>
        <v>2050</v>
      </c>
      <c r="C35" s="4">
        <f t="shared" ca="1" si="1"/>
        <v>83</v>
      </c>
      <c r="D35" s="5">
        <f ca="1">ROUND(K34, 0)</f>
        <v>8456859</v>
      </c>
      <c r="E35" s="14">
        <f ca="1">ROUND(IF($C35&gt;userRetirementAge, IF($D35&gt;0,-FV(annualChangeInSWP, $C35-userRetirementAge-1, 0, -annualWithdrawalSWP_FV, 1), 0), E34+E34*(annualIncreaseInSavings)), 0)</f>
        <v>-1744463</v>
      </c>
      <c r="F35" s="5">
        <f ca="1">-SUMIFS('Input-Events'!H$4:H$106, 'Input-Events'!E$4:E$106, $C35)</f>
        <v>0</v>
      </c>
      <c r="G35" s="4" t="str" cm="1">
        <f t="array" aca="1" ref="G35" ca="1">_xlfn.TEXTJOIN(", ", TRUE, IF('Input-Events'!E$4:E$106=$C35, 'Input-Events'!D$4:D$106, ""))</f>
        <v/>
      </c>
      <c r="H35" s="5">
        <f ca="1">IF(AND($C35&gt;userRetirementAge, SUM($E35, swpLTCGExemption, swpOtherTaxExemptions) &lt; 0), (-SUM($E35, swpLTCGExemption, swpOtherTaxExemptions))*swpLTCGTaxPercentage, 0)</f>
        <v>114932.875</v>
      </c>
      <c r="I35" s="5">
        <f t="shared" ca="1" si="2"/>
        <v>6597463.125</v>
      </c>
      <c r="J35" s="5">
        <f ca="1">ROUND(IF($C35&gt;=userRetirementAge, IF($I35&gt;0, $I35*annualEffectivePostRetirementROI, 0), IF($I35&gt;0, $I35*annualEffectiveROI, 0)), 0)</f>
        <v>527797</v>
      </c>
      <c r="K35" s="6">
        <f ca="1">ROUND(I35+J35, 0)</f>
        <v>7125260</v>
      </c>
    </row>
    <row r="36" spans="2:11" x14ac:dyDescent="0.25">
      <c r="B36" s="3">
        <f t="shared" ca="1" si="0"/>
        <v>2051</v>
      </c>
      <c r="C36" s="4">
        <f t="shared" ca="1" si="1"/>
        <v>84</v>
      </c>
      <c r="D36" s="5">
        <f ca="1">ROUND(K35, 0)</f>
        <v>7125260</v>
      </c>
      <c r="E36" s="14">
        <f ca="1">ROUND(IF($C36&gt;userRetirementAge, IF($D36&gt;0,-FV(annualChangeInSWP, $C36-userRetirementAge-1, 0, -annualWithdrawalSWP_FV, 1), 0), E35+E35*(annualIncreaseInSavings)), 0)</f>
        <v>-1761908</v>
      </c>
      <c r="F36" s="5">
        <f ca="1">-SUMIFS('Input-Events'!H$4:H$106, 'Input-Events'!E$4:E$106, $C36)</f>
        <v>0</v>
      </c>
      <c r="G36" s="4" t="str" cm="1">
        <f t="array" aca="1" ref="G36" ca="1">_xlfn.TEXTJOIN(", ", TRUE, IF('Input-Events'!E$4:E$106=$C36, 'Input-Events'!D$4:D$106, ""))</f>
        <v/>
      </c>
      <c r="H36" s="5">
        <f ca="1">IF(AND($C36&gt;userRetirementAge, SUM($E36, swpLTCGExemption, swpOtherTaxExemptions) &lt; 0), (-SUM($E36, swpLTCGExemption, swpOtherTaxExemptions))*swpLTCGTaxPercentage, 0)</f>
        <v>117113.5</v>
      </c>
      <c r="I36" s="5">
        <f t="shared" ca="1" si="2"/>
        <v>5246238.5</v>
      </c>
      <c r="J36" s="5">
        <f ca="1">ROUND(IF($C36&gt;=userRetirementAge, IF($I36&gt;0, $I36*annualEffectivePostRetirementROI, 0), IF($I36&gt;0, $I36*annualEffectiveROI, 0)), 0)</f>
        <v>419699</v>
      </c>
      <c r="K36" s="6">
        <f ca="1">ROUND(I36+J36, 0)</f>
        <v>5665938</v>
      </c>
    </row>
    <row r="37" spans="2:11" x14ac:dyDescent="0.25">
      <c r="B37" s="3">
        <f t="shared" ca="1" si="0"/>
        <v>2052</v>
      </c>
      <c r="C37" s="4">
        <f t="shared" ca="1" si="1"/>
        <v>85</v>
      </c>
      <c r="D37" s="5">
        <f ca="1">ROUND(K36, 0)</f>
        <v>5665938</v>
      </c>
      <c r="E37" s="14">
        <f ca="1">ROUND(IF($C37&gt;userRetirementAge, IF($D37&gt;0,-FV(annualChangeInSWP, $C37-userRetirementAge-1, 0, -annualWithdrawalSWP_FV, 1), 0), E36+E36*(annualIncreaseInSavings)), 0)</f>
        <v>-1779527</v>
      </c>
      <c r="F37" s="5">
        <f ca="1">-SUMIFS('Input-Events'!H$4:H$106, 'Input-Events'!E$4:E$106, $C37)</f>
        <v>0</v>
      </c>
      <c r="G37" s="4" t="str" cm="1">
        <f t="array" aca="1" ref="G37" ca="1">_xlfn.TEXTJOIN(", ", TRUE, IF('Input-Events'!E$4:E$106=$C37, 'Input-Events'!D$4:D$106, ""))</f>
        <v/>
      </c>
      <c r="H37" s="5">
        <f ca="1">IF(AND($C37&gt;userRetirementAge, SUM($E37, swpLTCGExemption, swpOtherTaxExemptions) &lt; 0), (-SUM($E37, swpLTCGExemption, swpOtherTaxExemptions))*swpLTCGTaxPercentage, 0)</f>
        <v>119315.875</v>
      </c>
      <c r="I37" s="5">
        <f t="shared" ca="1" si="2"/>
        <v>3767095.125</v>
      </c>
      <c r="J37" s="5">
        <f ca="1">ROUND(IF($C37&gt;=userRetirementAge, IF($I37&gt;0, $I37*annualEffectivePostRetirementROI, 0), IF($I37&gt;0, $I37*annualEffectiveROI, 0)), 0)</f>
        <v>301368</v>
      </c>
      <c r="K37" s="6">
        <f ca="1">ROUND(I37+J37, 0)</f>
        <v>4068463</v>
      </c>
    </row>
    <row r="38" spans="2:11" x14ac:dyDescent="0.25">
      <c r="B38" s="3">
        <f t="shared" ca="1" si="0"/>
        <v>2053</v>
      </c>
      <c r="C38" s="4">
        <f t="shared" ca="1" si="1"/>
        <v>86</v>
      </c>
      <c r="D38" s="5">
        <f ca="1">ROUND(K37, 0)</f>
        <v>4068463</v>
      </c>
      <c r="E38" s="14">
        <f ca="1">ROUND(IF($C38&gt;userRetirementAge, IF($D38&gt;0,-FV(annualChangeInSWP, $C38-userRetirementAge-1, 0, -annualWithdrawalSWP_FV, 1), 0), E37+E37*(annualIncreaseInSavings)), 0)</f>
        <v>-1797322</v>
      </c>
      <c r="F38" s="5">
        <f ca="1">-SUMIFS('Input-Events'!H$4:H$106, 'Input-Events'!E$4:E$106, $C38)</f>
        <v>0</v>
      </c>
      <c r="G38" s="4" t="str" cm="1">
        <f t="array" aca="1" ref="G38" ca="1">_xlfn.TEXTJOIN(", ", TRUE, IF('Input-Events'!E$4:E$106=$C38, 'Input-Events'!D$4:D$106, ""))</f>
        <v/>
      </c>
      <c r="H38" s="5">
        <f ca="1">IF(AND($C38&gt;userRetirementAge, SUM($E38, swpLTCGExemption, swpOtherTaxExemptions) &lt; 0), (-SUM($E38, swpLTCGExemption, swpOtherTaxExemptions))*swpLTCGTaxPercentage, 0)</f>
        <v>121540.25</v>
      </c>
      <c r="I38" s="5">
        <f t="shared" ca="1" si="2"/>
        <v>2149600.75</v>
      </c>
      <c r="J38" s="5">
        <f ca="1">ROUND(IF($C38&gt;=userRetirementAge, IF($I38&gt;0, $I38*annualEffectivePostRetirementROI, 0), IF($I38&gt;0, $I38*annualEffectiveROI, 0)), 0)</f>
        <v>171968</v>
      </c>
      <c r="K38" s="6">
        <f ca="1">ROUND(I38+J38, 0)</f>
        <v>2321569</v>
      </c>
    </row>
    <row r="39" spans="2:11" x14ac:dyDescent="0.25">
      <c r="B39" s="3">
        <f t="shared" ca="1" si="0"/>
        <v>2054</v>
      </c>
      <c r="C39" s="4">
        <f t="shared" ca="1" si="1"/>
        <v>87</v>
      </c>
      <c r="D39" s="5">
        <f ca="1">ROUND(K38, 0)</f>
        <v>2321569</v>
      </c>
      <c r="E39" s="14">
        <f ca="1">ROUND(IF($C39&gt;userRetirementAge, IF($D39&gt;0,-FV(annualChangeInSWP, $C39-userRetirementAge-1, 0, -annualWithdrawalSWP_FV, 1), 0), E38+E38*(annualIncreaseInSavings)), 0)</f>
        <v>-1815295</v>
      </c>
      <c r="F39" s="5">
        <f ca="1">-SUMIFS('Input-Events'!H$4:H$106, 'Input-Events'!E$4:E$106, $C39)</f>
        <v>0</v>
      </c>
      <c r="G39" s="4" t="str" cm="1">
        <f t="array" aca="1" ref="G39" ca="1">_xlfn.TEXTJOIN(", ", TRUE, IF('Input-Events'!E$4:E$106=$C39, 'Input-Events'!D$4:D$106, ""))</f>
        <v/>
      </c>
      <c r="H39" s="5">
        <f ca="1">IF(AND($C39&gt;userRetirementAge, SUM($E39, swpLTCGExemption, swpOtherTaxExemptions) &lt; 0), (-SUM($E39, swpLTCGExemption, swpOtherTaxExemptions))*swpLTCGTaxPercentage, 0)</f>
        <v>123786.875</v>
      </c>
      <c r="I39" s="5">
        <f t="shared" ca="1" si="2"/>
        <v>382487.125</v>
      </c>
      <c r="J39" s="5">
        <f ca="1">ROUND(IF($C39&gt;=userRetirementAge, IF($I39&gt;0, $I39*annualEffectivePostRetirementROI, 0), IF($I39&gt;0, $I39*annualEffectiveROI, 0)), 0)</f>
        <v>30599</v>
      </c>
      <c r="K39" s="6">
        <f ca="1">ROUND(I39+J39, 0)</f>
        <v>413086</v>
      </c>
    </row>
    <row r="40" spans="2:11" x14ac:dyDescent="0.25">
      <c r="B40" s="3">
        <f t="shared" ca="1" si="0"/>
        <v>2055</v>
      </c>
      <c r="C40" s="4">
        <f t="shared" ca="1" si="1"/>
        <v>88</v>
      </c>
      <c r="D40" s="5">
        <f ca="1">ROUND(K39, 0)</f>
        <v>413086</v>
      </c>
      <c r="E40" s="14">
        <f ca="1">ROUND(IF($C40&gt;userRetirementAge, IF($D40&gt;0,-FV(annualChangeInSWP, $C40-userRetirementAge-1, 0, -annualWithdrawalSWP_FV, 1), 0), E39+E39*(annualIncreaseInSavings)), 0)</f>
        <v>-1833448</v>
      </c>
      <c r="F40" s="5">
        <f ca="1">-SUMIFS('Input-Events'!H$4:H$106, 'Input-Events'!E$4:E$106, $C40)</f>
        <v>0</v>
      </c>
      <c r="G40" s="4" t="str" cm="1">
        <f t="array" aca="1" ref="G40" ca="1">_xlfn.TEXTJOIN(", ", TRUE, IF('Input-Events'!E$4:E$106=$C40, 'Input-Events'!D$4:D$106, ""))</f>
        <v/>
      </c>
      <c r="H40" s="5">
        <f ca="1">IF(AND($C40&gt;userRetirementAge, SUM($E40, swpLTCGExemption, swpOtherTaxExemptions) &lt; 0), (-SUM($E40, swpLTCGExemption, swpOtherTaxExemptions))*swpLTCGTaxPercentage, 0)</f>
        <v>126056</v>
      </c>
      <c r="I40" s="5">
        <f t="shared" ca="1" si="2"/>
        <v>-1546418</v>
      </c>
      <c r="J40" s="5">
        <f ca="1">ROUND(IF($C40&gt;=userRetirementAge, IF($I40&gt;0, $I40*annualEffectivePostRetirementROI, 0), IF($I40&gt;0, $I40*annualEffectiveROI, 0)), 0)</f>
        <v>0</v>
      </c>
      <c r="K40" s="6">
        <f ca="1">ROUND(I40+J40, 0)</f>
        <v>-1546418</v>
      </c>
    </row>
    <row r="41" spans="2:11" x14ac:dyDescent="0.25">
      <c r="B41" s="3">
        <f t="shared" ca="1" si="0"/>
        <v>2056</v>
      </c>
      <c r="C41" s="4">
        <f t="shared" ca="1" si="1"/>
        <v>89</v>
      </c>
      <c r="D41" s="5">
        <f ca="1">ROUND(K40, 0)</f>
        <v>-1546418</v>
      </c>
      <c r="E41" s="14">
        <f ca="1">ROUND(IF($C41&gt;userRetirementAge, IF($D41&gt;0,-FV(annualChangeInSWP, $C41-userRetirementAge-1, 0, -annualWithdrawalSWP_FV, 1), 0), E40+E40*(annualIncreaseInSavings)), 0)</f>
        <v>0</v>
      </c>
      <c r="F41" s="5">
        <f ca="1">-SUMIFS('Input-Events'!H$4:H$106, 'Input-Events'!E$4:E$106, $C41)</f>
        <v>0</v>
      </c>
      <c r="G41" s="4" t="str" cm="1">
        <f t="array" aca="1" ref="G41" ca="1">_xlfn.TEXTJOIN(", ", TRUE, IF('Input-Events'!E$4:E$106=$C41, 'Input-Events'!D$4:D$106, ""))</f>
        <v/>
      </c>
      <c r="H41" s="5">
        <f ca="1">IF(AND($C41&gt;userRetirementAge, SUM($E41, swpLTCGExemption, swpOtherTaxExemptions) &lt; 0), (-SUM($E41, swpLTCGExemption, swpOtherTaxExemptions))*swpLTCGTaxPercentage, 0)</f>
        <v>0</v>
      </c>
      <c r="I41" s="5">
        <f t="shared" ca="1" si="2"/>
        <v>-1546418</v>
      </c>
      <c r="J41" s="5">
        <f ca="1">ROUND(IF($C41&gt;=userRetirementAge, IF($I41&gt;0, $I41*annualEffectivePostRetirementROI, 0), IF($I41&gt;0, $I41*annualEffectiveROI, 0)), 0)</f>
        <v>0</v>
      </c>
      <c r="K41" s="6">
        <f ca="1">ROUND(I41+J41, 0)</f>
        <v>-1546418</v>
      </c>
    </row>
    <row r="42" spans="2:11" x14ac:dyDescent="0.25">
      <c r="B42" s="3">
        <f t="shared" ref="B42:B73" ca="1" si="3">B41+1</f>
        <v>2057</v>
      </c>
      <c r="C42" s="4">
        <f t="shared" ref="C42:C73" ca="1" si="4">C41+1</f>
        <v>90</v>
      </c>
      <c r="D42" s="5">
        <f ca="1">ROUND(K41, 0)</f>
        <v>-1546418</v>
      </c>
      <c r="E42" s="14">
        <f ca="1">ROUND(IF($C42&gt;userRetirementAge, IF($D42&gt;0,-FV(annualChangeInSWP, $C42-userRetirementAge-1, 0, -annualWithdrawalSWP_FV, 1), 0), E41+E41*(annualIncreaseInSavings)), 0)</f>
        <v>0</v>
      </c>
      <c r="F42" s="5">
        <f ca="1">-SUMIFS('Input-Events'!H$4:H$106, 'Input-Events'!E$4:E$106, $C42)</f>
        <v>0</v>
      </c>
      <c r="G42" s="4" t="str" cm="1">
        <f t="array" aca="1" ref="G42" ca="1">_xlfn.TEXTJOIN(", ", TRUE, IF('Input-Events'!E$4:E$106=$C42, 'Input-Events'!D$4:D$106, ""))</f>
        <v/>
      </c>
      <c r="H42" s="5">
        <f ca="1">IF(AND($C42&gt;userRetirementAge, SUM($E42, swpLTCGExemption, swpOtherTaxExemptions) &lt; 0), (-SUM($E42, swpLTCGExemption, swpOtherTaxExemptions))*swpLTCGTaxPercentage, 0)</f>
        <v>0</v>
      </c>
      <c r="I42" s="5">
        <f t="shared" ca="1" si="2"/>
        <v>-1546418</v>
      </c>
      <c r="J42" s="5">
        <f ca="1">ROUND(IF($C42&gt;=userRetirementAge, IF($I42&gt;0, $I42*annualEffectivePostRetirementROI, 0), IF($I42&gt;0, $I42*annualEffectiveROI, 0)), 0)</f>
        <v>0</v>
      </c>
      <c r="K42" s="6">
        <f ca="1">ROUND(I42+J42, 0)</f>
        <v>-1546418</v>
      </c>
    </row>
    <row r="43" spans="2:11" x14ac:dyDescent="0.25">
      <c r="B43" s="3">
        <f t="shared" ca="1" si="3"/>
        <v>2058</v>
      </c>
      <c r="C43" s="4">
        <f t="shared" ca="1" si="4"/>
        <v>91</v>
      </c>
      <c r="D43" s="5">
        <f ca="1">ROUND(K42, 0)</f>
        <v>-1546418</v>
      </c>
      <c r="E43" s="14">
        <f ca="1">ROUND(IF($C43&gt;userRetirementAge, IF($D43&gt;0,-FV(annualChangeInSWP, $C43-userRetirementAge-1, 0, -annualWithdrawalSWP_FV, 1), 0), E42+E42*(annualIncreaseInSavings)), 0)</f>
        <v>0</v>
      </c>
      <c r="F43" s="5">
        <f ca="1">-SUMIFS('Input-Events'!H$4:H$106, 'Input-Events'!E$4:E$106, $C43)</f>
        <v>0</v>
      </c>
      <c r="G43" s="4" t="str" cm="1">
        <f t="array" aca="1" ref="G43" ca="1">_xlfn.TEXTJOIN(", ", TRUE, IF('Input-Events'!E$4:E$106=$C43, 'Input-Events'!D$4:D$106, ""))</f>
        <v/>
      </c>
      <c r="H43" s="5">
        <f ca="1">IF(AND($C43&gt;userRetirementAge, SUM($E43, swpLTCGExemption, swpOtherTaxExemptions) &lt; 0), (-SUM($E43, swpLTCGExemption, swpOtherTaxExemptions))*swpLTCGTaxPercentage, 0)</f>
        <v>0</v>
      </c>
      <c r="I43" s="5">
        <f t="shared" ca="1" si="2"/>
        <v>-1546418</v>
      </c>
      <c r="J43" s="5">
        <f ca="1">ROUND(IF($C43&gt;=userRetirementAge, IF($I43&gt;0, $I43*annualEffectivePostRetirementROI, 0), IF($I43&gt;0, $I43*annualEffectiveROI, 0)), 0)</f>
        <v>0</v>
      </c>
      <c r="K43" s="6">
        <f ca="1">ROUND(I43+J43, 0)</f>
        <v>-1546418</v>
      </c>
    </row>
    <row r="44" spans="2:11" x14ac:dyDescent="0.25">
      <c r="B44" s="3">
        <f t="shared" ca="1" si="3"/>
        <v>2059</v>
      </c>
      <c r="C44" s="4">
        <f t="shared" ca="1" si="4"/>
        <v>92</v>
      </c>
      <c r="D44" s="5">
        <f ca="1">ROUND(K43, 0)</f>
        <v>-1546418</v>
      </c>
      <c r="E44" s="14">
        <f ca="1">ROUND(IF($C44&gt;userRetirementAge, IF($D44&gt;0,-FV(annualChangeInSWP, $C44-userRetirementAge-1, 0, -annualWithdrawalSWP_FV, 1), 0), E43+E43*(annualIncreaseInSavings)), 0)</f>
        <v>0</v>
      </c>
      <c r="F44" s="5">
        <f ca="1">-SUMIFS('Input-Events'!H$4:H$106, 'Input-Events'!E$4:E$106, $C44)</f>
        <v>0</v>
      </c>
      <c r="G44" s="4" t="str" cm="1">
        <f t="array" aca="1" ref="G44" ca="1">_xlfn.TEXTJOIN(", ", TRUE, IF('Input-Events'!E$4:E$106=$C44, 'Input-Events'!D$4:D$106, ""))</f>
        <v/>
      </c>
      <c r="H44" s="5">
        <f ca="1">IF(AND($C44&gt;userRetirementAge, SUM($E44, swpLTCGExemption, swpOtherTaxExemptions) &lt; 0), (-SUM($E44, swpLTCGExemption, swpOtherTaxExemptions))*swpLTCGTaxPercentage, 0)</f>
        <v>0</v>
      </c>
      <c r="I44" s="5">
        <f t="shared" ca="1" si="2"/>
        <v>-1546418</v>
      </c>
      <c r="J44" s="5">
        <f ca="1">ROUND(IF($C44&gt;=userRetirementAge, IF($I44&gt;0, $I44*annualEffectivePostRetirementROI, 0), IF($I44&gt;0, $I44*annualEffectiveROI, 0)), 0)</f>
        <v>0</v>
      </c>
      <c r="K44" s="6">
        <f ca="1">ROUND(I44+J44, 0)</f>
        <v>-1546418</v>
      </c>
    </row>
    <row r="45" spans="2:11" x14ac:dyDescent="0.25">
      <c r="B45" s="3">
        <f t="shared" ca="1" si="3"/>
        <v>2060</v>
      </c>
      <c r="C45" s="4">
        <f t="shared" ca="1" si="4"/>
        <v>93</v>
      </c>
      <c r="D45" s="5">
        <f ca="1">ROUND(K44, 0)</f>
        <v>-1546418</v>
      </c>
      <c r="E45" s="14">
        <f ca="1">ROUND(IF($C45&gt;userRetirementAge, IF($D45&gt;0,-FV(annualChangeInSWP, $C45-userRetirementAge-1, 0, -annualWithdrawalSWP_FV, 1), 0), E44+E44*(annualIncreaseInSavings)), 0)</f>
        <v>0</v>
      </c>
      <c r="F45" s="5">
        <f ca="1">-SUMIFS('Input-Events'!H$4:H$106, 'Input-Events'!E$4:E$106, $C45)</f>
        <v>0</v>
      </c>
      <c r="G45" s="4" t="str" cm="1">
        <f t="array" aca="1" ref="G45" ca="1">_xlfn.TEXTJOIN(", ", TRUE, IF('Input-Events'!E$4:E$106=$C45, 'Input-Events'!D$4:D$106, ""))</f>
        <v/>
      </c>
      <c r="H45" s="5">
        <f ca="1">IF(AND($C45&gt;userRetirementAge, SUM($E45, swpLTCGExemption, swpOtherTaxExemptions) &lt; 0), (-SUM($E45, swpLTCGExemption, swpOtherTaxExemptions))*swpLTCGTaxPercentage, 0)</f>
        <v>0</v>
      </c>
      <c r="I45" s="5">
        <f t="shared" ca="1" si="2"/>
        <v>-1546418</v>
      </c>
      <c r="J45" s="5">
        <f ca="1">ROUND(IF($C45&gt;=userRetirementAge, IF($I45&gt;0, $I45*annualEffectivePostRetirementROI, 0), IF($I45&gt;0, $I45*annualEffectiveROI, 0)), 0)</f>
        <v>0</v>
      </c>
      <c r="K45" s="6">
        <f ca="1">ROUND(I45+J45, 0)</f>
        <v>-1546418</v>
      </c>
    </row>
    <row r="46" spans="2:11" x14ac:dyDescent="0.25">
      <c r="B46" s="3">
        <f t="shared" ca="1" si="3"/>
        <v>2061</v>
      </c>
      <c r="C46" s="4">
        <f t="shared" ca="1" si="4"/>
        <v>94</v>
      </c>
      <c r="D46" s="5">
        <f ca="1">ROUND(K45, 0)</f>
        <v>-1546418</v>
      </c>
      <c r="E46" s="14">
        <f ca="1">ROUND(IF($C46&gt;userRetirementAge, IF($D46&gt;0,-FV(annualChangeInSWP, $C46-userRetirementAge-1, 0, -annualWithdrawalSWP_FV, 1), 0), E45+E45*(annualIncreaseInSavings)), 0)</f>
        <v>0</v>
      </c>
      <c r="F46" s="5">
        <f ca="1">-SUMIFS('Input-Events'!H$4:H$106, 'Input-Events'!E$4:E$106, $C46)</f>
        <v>0</v>
      </c>
      <c r="G46" s="4" t="str" cm="1">
        <f t="array" aca="1" ref="G46" ca="1">_xlfn.TEXTJOIN(", ", TRUE, IF('Input-Events'!E$4:E$106=$C46, 'Input-Events'!D$4:D$106, ""))</f>
        <v/>
      </c>
      <c r="H46" s="5">
        <f ca="1">IF(AND($C46&gt;userRetirementAge, SUM($E46, swpLTCGExemption, swpOtherTaxExemptions) &lt; 0), (-SUM($E46, swpLTCGExemption, swpOtherTaxExemptions))*swpLTCGTaxPercentage, 0)</f>
        <v>0</v>
      </c>
      <c r="I46" s="5">
        <f t="shared" ca="1" si="2"/>
        <v>-1546418</v>
      </c>
      <c r="J46" s="5">
        <f ca="1">ROUND(IF($C46&gt;=userRetirementAge, IF($I46&gt;0, $I46*annualEffectivePostRetirementROI, 0), IF($I46&gt;0, $I46*annualEffectiveROI, 0)), 0)</f>
        <v>0</v>
      </c>
      <c r="K46" s="6">
        <f ca="1">ROUND(I46+J46, 0)</f>
        <v>-1546418</v>
      </c>
    </row>
    <row r="47" spans="2:11" x14ac:dyDescent="0.25">
      <c r="B47" s="3">
        <f t="shared" ca="1" si="3"/>
        <v>2062</v>
      </c>
      <c r="C47" s="4">
        <f t="shared" ca="1" si="4"/>
        <v>95</v>
      </c>
      <c r="D47" s="5">
        <f ca="1">ROUND(K46, 0)</f>
        <v>-1546418</v>
      </c>
      <c r="E47" s="14">
        <f ca="1">ROUND(IF($C47&gt;userRetirementAge, IF($D47&gt;0,-FV(annualChangeInSWP, $C47-userRetirementAge-1, 0, -annualWithdrawalSWP_FV, 1), 0), E46+E46*(annualIncreaseInSavings)), 0)</f>
        <v>0</v>
      </c>
      <c r="F47" s="5">
        <f ca="1">-SUMIFS('Input-Events'!H$4:H$106, 'Input-Events'!E$4:E$106, $C47)</f>
        <v>0</v>
      </c>
      <c r="G47" s="4" t="str" cm="1">
        <f t="array" aca="1" ref="G47" ca="1">_xlfn.TEXTJOIN(", ", TRUE, IF('Input-Events'!E$4:E$106=$C47, 'Input-Events'!D$4:D$106, ""))</f>
        <v/>
      </c>
      <c r="H47" s="5">
        <f ca="1">IF(AND($C47&gt;userRetirementAge, SUM($E47, swpLTCGExemption, swpOtherTaxExemptions) &lt; 0), (-SUM($E47, swpLTCGExemption, swpOtherTaxExemptions))*swpLTCGTaxPercentage, 0)</f>
        <v>0</v>
      </c>
      <c r="I47" s="5">
        <f t="shared" ca="1" si="2"/>
        <v>-1546418</v>
      </c>
      <c r="J47" s="5">
        <f ca="1">ROUND(IF($C47&gt;=userRetirementAge, IF($I47&gt;0, $I47*annualEffectivePostRetirementROI, 0), IF($I47&gt;0, $I47*annualEffectiveROI, 0)), 0)</f>
        <v>0</v>
      </c>
      <c r="K47" s="6">
        <f ca="1">ROUND(I47+J47, 0)</f>
        <v>-1546418</v>
      </c>
    </row>
    <row r="48" spans="2:11" x14ac:dyDescent="0.25">
      <c r="B48" s="3">
        <f t="shared" ca="1" si="3"/>
        <v>2063</v>
      </c>
      <c r="C48" s="4">
        <f t="shared" ca="1" si="4"/>
        <v>96</v>
      </c>
      <c r="D48" s="5">
        <f ca="1">ROUND(K47, 0)</f>
        <v>-1546418</v>
      </c>
      <c r="E48" s="14">
        <f ca="1">ROUND(IF($C48&gt;userRetirementAge, IF($D48&gt;0,-FV(annualChangeInSWP, $C48-userRetirementAge-1, 0, -annualWithdrawalSWP_FV, 1), 0), E47+E47*(annualIncreaseInSavings)), 0)</f>
        <v>0</v>
      </c>
      <c r="F48" s="5">
        <f ca="1">-SUMIFS('Input-Events'!H$4:H$106, 'Input-Events'!E$4:E$106, $C48)</f>
        <v>0</v>
      </c>
      <c r="G48" s="4" t="str" cm="1">
        <f t="array" aca="1" ref="G48" ca="1">_xlfn.TEXTJOIN(", ", TRUE, IF('Input-Events'!E$4:E$106=$C48, 'Input-Events'!D$4:D$106, ""))</f>
        <v/>
      </c>
      <c r="H48" s="5">
        <f ca="1">IF(AND($C48&gt;userRetirementAge, SUM($E48, swpLTCGExemption, swpOtherTaxExemptions) &lt; 0), (-SUM($E48, swpLTCGExemption, swpOtherTaxExemptions))*swpLTCGTaxPercentage, 0)</f>
        <v>0</v>
      </c>
      <c r="I48" s="5">
        <f t="shared" ca="1" si="2"/>
        <v>-1546418</v>
      </c>
      <c r="J48" s="5">
        <f ca="1">ROUND(IF($C48&gt;=userRetirementAge, IF($I48&gt;0, $I48*annualEffectivePostRetirementROI, 0), IF($I48&gt;0, $I48*annualEffectiveROI, 0)), 0)</f>
        <v>0</v>
      </c>
      <c r="K48" s="6">
        <f ca="1">ROUND(I48+J48, 0)</f>
        <v>-1546418</v>
      </c>
    </row>
    <row r="49" spans="2:11" x14ac:dyDescent="0.25">
      <c r="B49" s="3">
        <f t="shared" ca="1" si="3"/>
        <v>2064</v>
      </c>
      <c r="C49" s="4">
        <f t="shared" ca="1" si="4"/>
        <v>97</v>
      </c>
      <c r="D49" s="5">
        <f ca="1">ROUND(K48, 0)</f>
        <v>-1546418</v>
      </c>
      <c r="E49" s="14">
        <f ca="1">ROUND(IF($C49&gt;userRetirementAge, IF($D49&gt;0,-FV(annualChangeInSWP, $C49-userRetirementAge-1, 0, -annualWithdrawalSWP_FV, 1), 0), E48+E48*(annualIncreaseInSavings)), 0)</f>
        <v>0</v>
      </c>
      <c r="F49" s="5">
        <f ca="1">-SUMIFS('Input-Events'!H$4:H$106, 'Input-Events'!E$4:E$106, $C49)</f>
        <v>0</v>
      </c>
      <c r="G49" s="4" t="str" cm="1">
        <f t="array" aca="1" ref="G49" ca="1">_xlfn.TEXTJOIN(", ", TRUE, IF('Input-Events'!E$4:E$106=$C49, 'Input-Events'!D$4:D$106, ""))</f>
        <v/>
      </c>
      <c r="H49" s="5">
        <f ca="1">IF(AND($C49&gt;userRetirementAge, SUM($E49, swpLTCGExemption, swpOtherTaxExemptions) &lt; 0), (-SUM($E49, swpLTCGExemption, swpOtherTaxExemptions))*swpLTCGTaxPercentage, 0)</f>
        <v>0</v>
      </c>
      <c r="I49" s="5">
        <f t="shared" ca="1" si="2"/>
        <v>-1546418</v>
      </c>
      <c r="J49" s="5">
        <f ca="1">ROUND(IF($C49&gt;=userRetirementAge, IF($I49&gt;0, $I49*annualEffectivePostRetirementROI, 0), IF($I49&gt;0, $I49*annualEffectiveROI, 0)), 0)</f>
        <v>0</v>
      </c>
      <c r="K49" s="6">
        <f ca="1">ROUND(I49+J49, 0)</f>
        <v>-1546418</v>
      </c>
    </row>
    <row r="50" spans="2:11" x14ac:dyDescent="0.25">
      <c r="B50" s="3">
        <f t="shared" ca="1" si="3"/>
        <v>2065</v>
      </c>
      <c r="C50" s="4">
        <f t="shared" ca="1" si="4"/>
        <v>98</v>
      </c>
      <c r="D50" s="5">
        <f ca="1">ROUND(K49, 0)</f>
        <v>-1546418</v>
      </c>
      <c r="E50" s="14">
        <f ca="1">ROUND(IF($C50&gt;userRetirementAge, IF($D50&gt;0,-FV(annualChangeInSWP, $C50-userRetirementAge-1, 0, -annualWithdrawalSWP_FV, 1), 0), E49+E49*(annualIncreaseInSavings)), 0)</f>
        <v>0</v>
      </c>
      <c r="F50" s="5">
        <f ca="1">-SUMIFS('Input-Events'!H$4:H$106, 'Input-Events'!E$4:E$106, $C50)</f>
        <v>0</v>
      </c>
      <c r="G50" s="4" t="str" cm="1">
        <f t="array" aca="1" ref="G50" ca="1">_xlfn.TEXTJOIN(", ", TRUE, IF('Input-Events'!E$4:E$106=$C50, 'Input-Events'!D$4:D$106, ""))</f>
        <v/>
      </c>
      <c r="H50" s="5">
        <f ca="1">IF(AND($C50&gt;userRetirementAge, SUM($E50, swpLTCGExemption, swpOtherTaxExemptions) &lt; 0), (-SUM($E50, swpLTCGExemption, swpOtherTaxExemptions))*swpLTCGTaxPercentage, 0)</f>
        <v>0</v>
      </c>
      <c r="I50" s="5">
        <f t="shared" ca="1" si="2"/>
        <v>-1546418</v>
      </c>
      <c r="J50" s="5">
        <f ca="1">ROUND(IF($C50&gt;=userRetirementAge, IF($I50&gt;0, $I50*annualEffectivePostRetirementROI, 0), IF($I50&gt;0, $I50*annualEffectiveROI, 0)), 0)</f>
        <v>0</v>
      </c>
      <c r="K50" s="6">
        <f ca="1">ROUND(I50+J50, 0)</f>
        <v>-1546418</v>
      </c>
    </row>
    <row r="51" spans="2:11" x14ac:dyDescent="0.25">
      <c r="B51" s="3">
        <f t="shared" ca="1" si="3"/>
        <v>2066</v>
      </c>
      <c r="C51" s="4">
        <f t="shared" ca="1" si="4"/>
        <v>99</v>
      </c>
      <c r="D51" s="5">
        <f ca="1">ROUND(K50, 0)</f>
        <v>-1546418</v>
      </c>
      <c r="E51" s="14">
        <f ca="1">ROUND(IF($C51&gt;userRetirementAge, IF($D51&gt;0,-FV(annualChangeInSWP, $C51-userRetirementAge-1, 0, -annualWithdrawalSWP_FV, 1), 0), E50+E50*(annualIncreaseInSavings)), 0)</f>
        <v>0</v>
      </c>
      <c r="F51" s="5">
        <f ca="1">-SUMIFS('Input-Events'!H$4:H$106, 'Input-Events'!E$4:E$106, $C51)</f>
        <v>0</v>
      </c>
      <c r="G51" s="4" t="str" cm="1">
        <f t="array" aca="1" ref="G51" ca="1">_xlfn.TEXTJOIN(", ", TRUE, IF('Input-Events'!E$4:E$106=$C51, 'Input-Events'!D$4:D$106, ""))</f>
        <v/>
      </c>
      <c r="H51" s="5">
        <f ca="1">IF(AND($C51&gt;userRetirementAge, SUM($E51, swpLTCGExemption, swpOtherTaxExemptions) &lt; 0), (-SUM($E51, swpLTCGExemption, swpOtherTaxExemptions))*swpLTCGTaxPercentage, 0)</f>
        <v>0</v>
      </c>
      <c r="I51" s="5">
        <f t="shared" ca="1" si="2"/>
        <v>-1546418</v>
      </c>
      <c r="J51" s="5">
        <f ca="1">ROUND(IF($C51&gt;=userRetirementAge, IF($I51&gt;0, $I51*annualEffectivePostRetirementROI, 0), IF($I51&gt;0, $I51*annualEffectiveROI, 0)), 0)</f>
        <v>0</v>
      </c>
      <c r="K51" s="6">
        <f ca="1">ROUND(I51+J51, 0)</f>
        <v>-1546418</v>
      </c>
    </row>
    <row r="52" spans="2:11" x14ac:dyDescent="0.25">
      <c r="B52" s="3">
        <f t="shared" ca="1" si="3"/>
        <v>2067</v>
      </c>
      <c r="C52" s="4">
        <f t="shared" ca="1" si="4"/>
        <v>100</v>
      </c>
      <c r="D52" s="5">
        <f ca="1">ROUND(K51, 0)</f>
        <v>-1546418</v>
      </c>
      <c r="E52" s="14">
        <f ca="1">ROUND(IF($C52&gt;userRetirementAge, IF($D52&gt;0,-FV(annualChangeInSWP, $C52-userRetirementAge-1, 0, -annualWithdrawalSWP_FV, 1), 0), E51+E51*(annualIncreaseInSavings)), 0)</f>
        <v>0</v>
      </c>
      <c r="F52" s="5">
        <f ca="1">-SUMIFS('Input-Events'!H$4:H$106, 'Input-Events'!E$4:E$106, $C52)</f>
        <v>0</v>
      </c>
      <c r="G52" s="4" t="str" cm="1">
        <f t="array" aca="1" ref="G52" ca="1">_xlfn.TEXTJOIN(", ", TRUE, IF('Input-Events'!E$4:E$106=$C52, 'Input-Events'!D$4:D$106, ""))</f>
        <v/>
      </c>
      <c r="H52" s="5">
        <f ca="1">IF(AND($C52&gt;userRetirementAge, SUM($E52, swpLTCGExemption, swpOtherTaxExemptions) &lt; 0), (-SUM($E52, swpLTCGExemption, swpOtherTaxExemptions))*swpLTCGTaxPercentage, 0)</f>
        <v>0</v>
      </c>
      <c r="I52" s="5">
        <f t="shared" ca="1" si="2"/>
        <v>-1546418</v>
      </c>
      <c r="J52" s="5">
        <f ca="1">ROUND(IF($C52&gt;=userRetirementAge, IF($I52&gt;0, $I52*annualEffectivePostRetirementROI, 0), IF($I52&gt;0, $I52*annualEffectiveROI, 0)), 0)</f>
        <v>0</v>
      </c>
      <c r="K52" s="6">
        <f ca="1">ROUND(I52+J52, 0)</f>
        <v>-1546418</v>
      </c>
    </row>
    <row r="53" spans="2:11" x14ac:dyDescent="0.25">
      <c r="B53" s="3">
        <f t="shared" ca="1" si="3"/>
        <v>2068</v>
      </c>
      <c r="C53" s="4">
        <f t="shared" ca="1" si="4"/>
        <v>101</v>
      </c>
      <c r="D53" s="5">
        <f ca="1">ROUND(K52, 0)</f>
        <v>-1546418</v>
      </c>
      <c r="E53" s="14">
        <f ca="1">ROUND(IF($C53&gt;userRetirementAge, IF($D53&gt;0,-FV(annualChangeInSWP, $C53-userRetirementAge-1, 0, -annualWithdrawalSWP_FV, 1), 0), E52+E52*(annualIncreaseInSavings)), 0)</f>
        <v>0</v>
      </c>
      <c r="F53" s="5">
        <f ca="1">-SUMIFS('Input-Events'!H$4:H$106, 'Input-Events'!E$4:E$106, $C53)</f>
        <v>0</v>
      </c>
      <c r="G53" s="4" t="str" cm="1">
        <f t="array" aca="1" ref="G53" ca="1">_xlfn.TEXTJOIN(", ", TRUE, IF('Input-Events'!E$4:E$106=$C53, 'Input-Events'!D$4:D$106, ""))</f>
        <v/>
      </c>
      <c r="H53" s="5">
        <f ca="1">IF(AND($C53&gt;userRetirementAge, SUM($E53, swpLTCGExemption, swpOtherTaxExemptions) &lt; 0), (-SUM($E53, swpLTCGExemption, swpOtherTaxExemptions))*swpLTCGTaxPercentage, 0)</f>
        <v>0</v>
      </c>
      <c r="I53" s="5">
        <f t="shared" ca="1" si="2"/>
        <v>-1546418</v>
      </c>
      <c r="J53" s="5">
        <f ca="1">ROUND(IF($C53&gt;=userRetirementAge, IF($I53&gt;0, $I53*annualEffectivePostRetirementROI, 0), IF($I53&gt;0, $I53*annualEffectiveROI, 0)), 0)</f>
        <v>0</v>
      </c>
      <c r="K53" s="6">
        <f ca="1">ROUND(I53+J53, 0)</f>
        <v>-1546418</v>
      </c>
    </row>
    <row r="54" spans="2:11" x14ac:dyDescent="0.25">
      <c r="B54" s="3">
        <f t="shared" ca="1" si="3"/>
        <v>2069</v>
      </c>
      <c r="C54" s="4">
        <f t="shared" ca="1" si="4"/>
        <v>102</v>
      </c>
      <c r="D54" s="5">
        <f ca="1">ROUND(K53, 0)</f>
        <v>-1546418</v>
      </c>
      <c r="E54" s="14">
        <f ca="1">ROUND(IF($C54&gt;userRetirementAge, IF($D54&gt;0,-FV(annualChangeInSWP, $C54-userRetirementAge-1, 0, -annualWithdrawalSWP_FV, 1), 0), E53+E53*(annualIncreaseInSavings)), 0)</f>
        <v>0</v>
      </c>
      <c r="F54" s="5">
        <f ca="1">-SUMIFS('Input-Events'!H$4:H$106, 'Input-Events'!E$4:E$106, $C54)</f>
        <v>0</v>
      </c>
      <c r="G54" s="4" t="str" cm="1">
        <f t="array" aca="1" ref="G54" ca="1">_xlfn.TEXTJOIN(", ", TRUE, IF('Input-Events'!E$4:E$106=$C54, 'Input-Events'!D$4:D$106, ""))</f>
        <v/>
      </c>
      <c r="H54" s="5">
        <f ca="1">IF(AND($C54&gt;userRetirementAge, SUM($E54, swpLTCGExemption, swpOtherTaxExemptions) &lt; 0), (-SUM($E54, swpLTCGExemption, swpOtherTaxExemptions))*swpLTCGTaxPercentage, 0)</f>
        <v>0</v>
      </c>
      <c r="I54" s="5">
        <f t="shared" ca="1" si="2"/>
        <v>-1546418</v>
      </c>
      <c r="J54" s="5">
        <f ca="1">ROUND(IF($C54&gt;=userRetirementAge, IF($I54&gt;0, $I54*annualEffectivePostRetirementROI, 0), IF($I54&gt;0, $I54*annualEffectiveROI, 0)), 0)</f>
        <v>0</v>
      </c>
      <c r="K54" s="6">
        <f ca="1">ROUND(I54+J54, 0)</f>
        <v>-1546418</v>
      </c>
    </row>
    <row r="55" spans="2:11" x14ac:dyDescent="0.25">
      <c r="B55" s="3">
        <f t="shared" ca="1" si="3"/>
        <v>2070</v>
      </c>
      <c r="C55" s="4">
        <f t="shared" ca="1" si="4"/>
        <v>103</v>
      </c>
      <c r="D55" s="5">
        <f ca="1">ROUND(K54, 0)</f>
        <v>-1546418</v>
      </c>
      <c r="E55" s="14">
        <f ca="1">ROUND(IF($C55&gt;userRetirementAge, IF($D55&gt;0,-FV(annualChangeInSWP, $C55-userRetirementAge-1, 0, -annualWithdrawalSWP_FV, 1), 0), E54+E54*(annualIncreaseInSavings)), 0)</f>
        <v>0</v>
      </c>
      <c r="F55" s="5">
        <f ca="1">-SUMIFS('Input-Events'!H$4:H$106, 'Input-Events'!E$4:E$106, $C55)</f>
        <v>0</v>
      </c>
      <c r="G55" s="4" t="str" cm="1">
        <f t="array" aca="1" ref="G55" ca="1">_xlfn.TEXTJOIN(", ", TRUE, IF('Input-Events'!E$4:E$106=$C55, 'Input-Events'!D$4:D$106, ""))</f>
        <v/>
      </c>
      <c r="H55" s="5">
        <f ca="1">IF(AND($C55&gt;userRetirementAge, SUM($E55, swpLTCGExemption, swpOtherTaxExemptions) &lt; 0), (-SUM($E55, swpLTCGExemption, swpOtherTaxExemptions))*swpLTCGTaxPercentage, 0)</f>
        <v>0</v>
      </c>
      <c r="I55" s="5">
        <f t="shared" ca="1" si="2"/>
        <v>-1546418</v>
      </c>
      <c r="J55" s="5">
        <f ca="1">ROUND(IF($C55&gt;=userRetirementAge, IF($I55&gt;0, $I55*annualEffectivePostRetirementROI, 0), IF($I55&gt;0, $I55*annualEffectiveROI, 0)), 0)</f>
        <v>0</v>
      </c>
      <c r="K55" s="6">
        <f ca="1">ROUND(I55+J55, 0)</f>
        <v>-1546418</v>
      </c>
    </row>
    <row r="56" spans="2:11" x14ac:dyDescent="0.25">
      <c r="B56" s="3">
        <f t="shared" ca="1" si="3"/>
        <v>2071</v>
      </c>
      <c r="C56" s="4">
        <f t="shared" ca="1" si="4"/>
        <v>104</v>
      </c>
      <c r="D56" s="5">
        <f ca="1">ROUND(K55, 0)</f>
        <v>-1546418</v>
      </c>
      <c r="E56" s="14">
        <f ca="1">ROUND(IF($C56&gt;userRetirementAge, IF($D56&gt;0,-FV(annualChangeInSWP, $C56-userRetirementAge-1, 0, -annualWithdrawalSWP_FV, 1), 0), E55+E55*(annualIncreaseInSavings)), 0)</f>
        <v>0</v>
      </c>
      <c r="F56" s="5">
        <f ca="1">-SUMIFS('Input-Events'!H$4:H$106, 'Input-Events'!E$4:E$106, $C56)</f>
        <v>0</v>
      </c>
      <c r="G56" s="4" t="str" cm="1">
        <f t="array" aca="1" ref="G56" ca="1">_xlfn.TEXTJOIN(", ", TRUE, IF('Input-Events'!E$4:E$106=$C56, 'Input-Events'!D$4:D$106, ""))</f>
        <v/>
      </c>
      <c r="H56" s="5">
        <f ca="1">IF(AND($C56&gt;userRetirementAge, SUM($E56, swpLTCGExemption, swpOtherTaxExemptions) &lt; 0), (-SUM($E56, swpLTCGExemption, swpOtherTaxExemptions))*swpLTCGTaxPercentage, 0)</f>
        <v>0</v>
      </c>
      <c r="I56" s="5">
        <f t="shared" ca="1" si="2"/>
        <v>-1546418</v>
      </c>
      <c r="J56" s="5">
        <f ca="1">ROUND(IF($C56&gt;=userRetirementAge, IF($I56&gt;0, $I56*annualEffectivePostRetirementROI, 0), IF($I56&gt;0, $I56*annualEffectiveROI, 0)), 0)</f>
        <v>0</v>
      </c>
      <c r="K56" s="6">
        <f ca="1">ROUND(I56+J56, 0)</f>
        <v>-1546418</v>
      </c>
    </row>
    <row r="57" spans="2:11" x14ac:dyDescent="0.25">
      <c r="B57" s="3">
        <f t="shared" ca="1" si="3"/>
        <v>2072</v>
      </c>
      <c r="C57" s="4">
        <f t="shared" ca="1" si="4"/>
        <v>105</v>
      </c>
      <c r="D57" s="5">
        <f ca="1">ROUND(K56, 0)</f>
        <v>-1546418</v>
      </c>
      <c r="E57" s="14">
        <f ca="1">ROUND(IF($C57&gt;userRetirementAge, IF($D57&gt;0,-FV(annualChangeInSWP, $C57-userRetirementAge-1, 0, -annualWithdrawalSWP_FV, 1), 0), E56+E56*(annualIncreaseInSavings)), 0)</f>
        <v>0</v>
      </c>
      <c r="F57" s="5">
        <f ca="1">-SUMIFS('Input-Events'!H$4:H$106, 'Input-Events'!E$4:E$106, $C57)</f>
        <v>0</v>
      </c>
      <c r="G57" s="4" t="str" cm="1">
        <f t="array" aca="1" ref="G57" ca="1">_xlfn.TEXTJOIN(", ", TRUE, IF('Input-Events'!E$4:E$106=$C57, 'Input-Events'!D$4:D$106, ""))</f>
        <v/>
      </c>
      <c r="H57" s="5">
        <f ca="1">IF(AND($C57&gt;userRetirementAge, SUM($E57, swpLTCGExemption, swpOtherTaxExemptions) &lt; 0), (-SUM($E57, swpLTCGExemption, swpOtherTaxExemptions))*swpLTCGTaxPercentage, 0)</f>
        <v>0</v>
      </c>
      <c r="I57" s="5">
        <f t="shared" ca="1" si="2"/>
        <v>-1546418</v>
      </c>
      <c r="J57" s="5">
        <f ca="1">ROUND(IF($C57&gt;=userRetirementAge, IF($I57&gt;0, $I57*annualEffectivePostRetirementROI, 0), IF($I57&gt;0, $I57*annualEffectiveROI, 0)), 0)</f>
        <v>0</v>
      </c>
      <c r="K57" s="6">
        <f ca="1">ROUND(I57+J57, 0)</f>
        <v>-1546418</v>
      </c>
    </row>
    <row r="58" spans="2:11" x14ac:dyDescent="0.25">
      <c r="B58" s="3">
        <f t="shared" ca="1" si="3"/>
        <v>2073</v>
      </c>
      <c r="C58" s="4">
        <f t="shared" ca="1" si="4"/>
        <v>106</v>
      </c>
      <c r="D58" s="5">
        <f ca="1">ROUND(K57, 0)</f>
        <v>-1546418</v>
      </c>
      <c r="E58" s="14">
        <f ca="1">ROUND(IF($C58&gt;userRetirementAge, IF($D58&gt;0,-FV(annualChangeInSWP, $C58-userRetirementAge-1, 0, -annualWithdrawalSWP_FV, 1), 0), E57+E57*(annualIncreaseInSavings)), 0)</f>
        <v>0</v>
      </c>
      <c r="F58" s="5">
        <f ca="1">-SUMIFS('Input-Events'!H$4:H$106, 'Input-Events'!E$4:E$106, $C58)</f>
        <v>0</v>
      </c>
      <c r="G58" s="4" t="str" cm="1">
        <f t="array" aca="1" ref="G58" ca="1">_xlfn.TEXTJOIN(", ", TRUE, IF('Input-Events'!E$4:E$106=$C58, 'Input-Events'!D$4:D$106, ""))</f>
        <v/>
      </c>
      <c r="H58" s="5">
        <f ca="1">IF(AND($C58&gt;userRetirementAge, SUM($E58, swpLTCGExemption, swpOtherTaxExemptions) &lt; 0), (-SUM($E58, swpLTCGExemption, swpOtherTaxExemptions))*swpLTCGTaxPercentage, 0)</f>
        <v>0</v>
      </c>
      <c r="I58" s="5">
        <f t="shared" ca="1" si="2"/>
        <v>-1546418</v>
      </c>
      <c r="J58" s="5">
        <f ca="1">ROUND(IF($C58&gt;=userRetirementAge, IF($I58&gt;0, $I58*annualEffectivePostRetirementROI, 0), IF($I58&gt;0, $I58*annualEffectiveROI, 0)), 0)</f>
        <v>0</v>
      </c>
      <c r="K58" s="6">
        <f ca="1">ROUND(I58+J58, 0)</f>
        <v>-1546418</v>
      </c>
    </row>
    <row r="59" spans="2:11" x14ac:dyDescent="0.25">
      <c r="B59" s="3">
        <f t="shared" ca="1" si="3"/>
        <v>2074</v>
      </c>
      <c r="C59" s="4">
        <f t="shared" ca="1" si="4"/>
        <v>107</v>
      </c>
      <c r="D59" s="5">
        <f ca="1">ROUND(K58, 0)</f>
        <v>-1546418</v>
      </c>
      <c r="E59" s="14">
        <f ca="1">ROUND(IF($C59&gt;userRetirementAge, IF($D59&gt;0,-FV(annualChangeInSWP, $C59-userRetirementAge-1, 0, -annualWithdrawalSWP_FV, 1), 0), E58+E58*(annualIncreaseInSavings)), 0)</f>
        <v>0</v>
      </c>
      <c r="F59" s="5">
        <f ca="1">-SUMIFS('Input-Events'!H$4:H$106, 'Input-Events'!E$4:E$106, $C59)</f>
        <v>0</v>
      </c>
      <c r="G59" s="4" t="str" cm="1">
        <f t="array" aca="1" ref="G59" ca="1">_xlfn.TEXTJOIN(", ", TRUE, IF('Input-Events'!E$4:E$106=$C59, 'Input-Events'!D$4:D$106, ""))</f>
        <v/>
      </c>
      <c r="H59" s="5">
        <f ca="1">IF(AND($C59&gt;userRetirementAge, SUM($E59, swpLTCGExemption, swpOtherTaxExemptions) &lt; 0), (-SUM($E59, swpLTCGExemption, swpOtherTaxExemptions))*swpLTCGTaxPercentage, 0)</f>
        <v>0</v>
      </c>
      <c r="I59" s="5">
        <f t="shared" ca="1" si="2"/>
        <v>-1546418</v>
      </c>
      <c r="J59" s="5">
        <f ca="1">ROUND(IF($C59&gt;=userRetirementAge, IF($I59&gt;0, $I59*annualEffectivePostRetirementROI, 0), IF($I59&gt;0, $I59*annualEffectiveROI, 0)), 0)</f>
        <v>0</v>
      </c>
      <c r="K59" s="6">
        <f ca="1">ROUND(I59+J59, 0)</f>
        <v>-1546418</v>
      </c>
    </row>
    <row r="60" spans="2:11" x14ac:dyDescent="0.25">
      <c r="B60" s="3">
        <f t="shared" ca="1" si="3"/>
        <v>2075</v>
      </c>
      <c r="C60" s="4">
        <f t="shared" ca="1" si="4"/>
        <v>108</v>
      </c>
      <c r="D60" s="5">
        <f ca="1">ROUND(K59, 0)</f>
        <v>-1546418</v>
      </c>
      <c r="E60" s="14">
        <f ca="1">ROUND(IF($C60&gt;userRetirementAge, IF($D60&gt;0,-FV(annualChangeInSWP, $C60-userRetirementAge-1, 0, -annualWithdrawalSWP_FV, 1), 0), E59+E59*(annualIncreaseInSavings)), 0)</f>
        <v>0</v>
      </c>
      <c r="F60" s="5">
        <f ca="1">-SUMIFS('Input-Events'!H$4:H$106, 'Input-Events'!E$4:E$106, $C60)</f>
        <v>0</v>
      </c>
      <c r="G60" s="4" t="str" cm="1">
        <f t="array" aca="1" ref="G60" ca="1">_xlfn.TEXTJOIN(", ", TRUE, IF('Input-Events'!E$4:E$106=$C60, 'Input-Events'!D$4:D$106, ""))</f>
        <v/>
      </c>
      <c r="H60" s="5">
        <f ca="1">IF(AND($C60&gt;userRetirementAge, SUM($E60, swpLTCGExemption, swpOtherTaxExemptions) &lt; 0), (-SUM($E60, swpLTCGExemption, swpOtherTaxExemptions))*swpLTCGTaxPercentage, 0)</f>
        <v>0</v>
      </c>
      <c r="I60" s="5">
        <f t="shared" ca="1" si="2"/>
        <v>-1546418</v>
      </c>
      <c r="J60" s="5">
        <f ca="1">ROUND(IF($C60&gt;=userRetirementAge, IF($I60&gt;0, $I60*annualEffectivePostRetirementROI, 0), IF($I60&gt;0, $I60*annualEffectiveROI, 0)), 0)</f>
        <v>0</v>
      </c>
      <c r="K60" s="6">
        <f ca="1">ROUND(I60+J60, 0)</f>
        <v>-1546418</v>
      </c>
    </row>
    <row r="61" spans="2:11" x14ac:dyDescent="0.25">
      <c r="B61" s="3">
        <f t="shared" ca="1" si="3"/>
        <v>2076</v>
      </c>
      <c r="C61" s="4">
        <f t="shared" ca="1" si="4"/>
        <v>109</v>
      </c>
      <c r="D61" s="5">
        <f ca="1">ROUND(K60, 0)</f>
        <v>-1546418</v>
      </c>
      <c r="E61" s="14">
        <f ca="1">ROUND(IF($C61&gt;userRetirementAge, IF($D61&gt;0,-FV(annualChangeInSWP, $C61-userRetirementAge-1, 0, -annualWithdrawalSWP_FV, 1), 0), E60+E60*(annualIncreaseInSavings)), 0)</f>
        <v>0</v>
      </c>
      <c r="F61" s="5">
        <f ca="1">-SUMIFS('Input-Events'!H$4:H$106, 'Input-Events'!E$4:E$106, $C61)</f>
        <v>0</v>
      </c>
      <c r="G61" s="4" t="str" cm="1">
        <f t="array" aca="1" ref="G61" ca="1">_xlfn.TEXTJOIN(", ", TRUE, IF('Input-Events'!E$4:E$106=$C61, 'Input-Events'!D$4:D$106, ""))</f>
        <v/>
      </c>
      <c r="H61" s="5">
        <f ca="1">IF(AND($C61&gt;userRetirementAge, SUM($E61, swpLTCGExemption, swpOtherTaxExemptions) &lt; 0), (-SUM($E61, swpLTCGExemption, swpOtherTaxExemptions))*swpLTCGTaxPercentage, 0)</f>
        <v>0</v>
      </c>
      <c r="I61" s="5">
        <f t="shared" ca="1" si="2"/>
        <v>-1546418</v>
      </c>
      <c r="J61" s="5">
        <f ca="1">ROUND(IF($C61&gt;=userRetirementAge, IF($I61&gt;0, $I61*annualEffectivePostRetirementROI, 0), IF($I61&gt;0, $I61*annualEffectiveROI, 0)), 0)</f>
        <v>0</v>
      </c>
      <c r="K61" s="6">
        <f ca="1">ROUND(I61+J61, 0)</f>
        <v>-1546418</v>
      </c>
    </row>
    <row r="62" spans="2:11" x14ac:dyDescent="0.25">
      <c r="B62" s="3">
        <f t="shared" ca="1" si="3"/>
        <v>2077</v>
      </c>
      <c r="C62" s="4">
        <f t="shared" ca="1" si="4"/>
        <v>110</v>
      </c>
      <c r="D62" s="5">
        <f ca="1">ROUND(K61, 0)</f>
        <v>-1546418</v>
      </c>
      <c r="E62" s="14">
        <f ca="1">ROUND(IF($C62&gt;userRetirementAge, IF($D62&gt;0,-FV(annualChangeInSWP, $C62-userRetirementAge-1, 0, -annualWithdrawalSWP_FV, 1), 0), E61+E61*(annualIncreaseInSavings)), 0)</f>
        <v>0</v>
      </c>
      <c r="F62" s="5">
        <f ca="1">-SUMIFS('Input-Events'!H$4:H$106, 'Input-Events'!E$4:E$106, $C62)</f>
        <v>0</v>
      </c>
      <c r="G62" s="4" t="str" cm="1">
        <f t="array" aca="1" ref="G62" ca="1">_xlfn.TEXTJOIN(", ", TRUE, IF('Input-Events'!E$4:E$106=$C62, 'Input-Events'!D$4:D$106, ""))</f>
        <v/>
      </c>
      <c r="H62" s="5">
        <f ca="1">IF(AND($C62&gt;userRetirementAge, SUM($E62, swpLTCGExemption, swpOtherTaxExemptions) &lt; 0), (-SUM($E62, swpLTCGExemption, swpOtherTaxExemptions))*swpLTCGTaxPercentage, 0)</f>
        <v>0</v>
      </c>
      <c r="I62" s="5">
        <f t="shared" ca="1" si="2"/>
        <v>-1546418</v>
      </c>
      <c r="J62" s="5">
        <f ca="1">ROUND(IF($C62&gt;=userRetirementAge, IF($I62&gt;0, $I62*annualEffectivePostRetirementROI, 0), IF($I62&gt;0, $I62*annualEffectiveROI, 0)), 0)</f>
        <v>0</v>
      </c>
      <c r="K62" s="6">
        <f ca="1">ROUND(I62+J62, 0)</f>
        <v>-1546418</v>
      </c>
    </row>
    <row r="63" spans="2:11" x14ac:dyDescent="0.25">
      <c r="B63" s="3">
        <f t="shared" ca="1" si="3"/>
        <v>2078</v>
      </c>
      <c r="C63" s="4">
        <f t="shared" ca="1" si="4"/>
        <v>111</v>
      </c>
      <c r="D63" s="5">
        <f ca="1">ROUND(K62, 0)</f>
        <v>-1546418</v>
      </c>
      <c r="E63" s="14">
        <f ca="1">ROUND(IF($C63&gt;userRetirementAge, IF($D63&gt;0,-FV(annualChangeInSWP, $C63-userRetirementAge-1, 0, -annualWithdrawalSWP_FV, 1), 0), E62+E62*(annualIncreaseInSavings)), 0)</f>
        <v>0</v>
      </c>
      <c r="F63" s="5">
        <f ca="1">-SUMIFS('Input-Events'!H$4:H$106, 'Input-Events'!E$4:E$106, $C63)</f>
        <v>0</v>
      </c>
      <c r="G63" s="4" t="str" cm="1">
        <f t="array" aca="1" ref="G63" ca="1">_xlfn.TEXTJOIN(", ", TRUE, IF('Input-Events'!E$4:E$106=$C63, 'Input-Events'!D$4:D$106, ""))</f>
        <v/>
      </c>
      <c r="H63" s="5">
        <f ca="1">IF(AND($C63&gt;userRetirementAge, SUM($E63, swpLTCGExemption, swpOtherTaxExemptions) &lt; 0), (-SUM($E63, swpLTCGExemption, swpOtherTaxExemptions))*swpLTCGTaxPercentage, 0)</f>
        <v>0</v>
      </c>
      <c r="I63" s="5">
        <f t="shared" ca="1" si="2"/>
        <v>-1546418</v>
      </c>
      <c r="J63" s="5">
        <f ca="1">ROUND(IF($C63&gt;=userRetirementAge, IF($I63&gt;0, $I63*annualEffectivePostRetirementROI, 0), IF($I63&gt;0, $I63*annualEffectiveROI, 0)), 0)</f>
        <v>0</v>
      </c>
      <c r="K63" s="6">
        <f ca="1">ROUND(I63+J63, 0)</f>
        <v>-1546418</v>
      </c>
    </row>
    <row r="64" spans="2:11" x14ac:dyDescent="0.25">
      <c r="B64" s="3">
        <f t="shared" ca="1" si="3"/>
        <v>2079</v>
      </c>
      <c r="C64" s="4">
        <f t="shared" ca="1" si="4"/>
        <v>112</v>
      </c>
      <c r="D64" s="5">
        <f ca="1">ROUND(K63, 0)</f>
        <v>-1546418</v>
      </c>
      <c r="E64" s="14">
        <f ca="1">ROUND(IF($C64&gt;userRetirementAge, IF($D64&gt;0,-FV(annualChangeInSWP, $C64-userRetirementAge-1, 0, -annualWithdrawalSWP_FV, 1), 0), E63+E63*(annualIncreaseInSavings)), 0)</f>
        <v>0</v>
      </c>
      <c r="F64" s="5">
        <f ca="1">-SUMIFS('Input-Events'!H$4:H$106, 'Input-Events'!E$4:E$106, $C64)</f>
        <v>0</v>
      </c>
      <c r="G64" s="4" t="str" cm="1">
        <f t="array" aca="1" ref="G64" ca="1">_xlfn.TEXTJOIN(", ", TRUE, IF('Input-Events'!E$4:E$106=$C64, 'Input-Events'!D$4:D$106, ""))</f>
        <v/>
      </c>
      <c r="H64" s="5">
        <f ca="1">IF(AND($C64&gt;userRetirementAge, SUM($E64, swpLTCGExemption, swpOtherTaxExemptions) &lt; 0), (-SUM($E64, swpLTCGExemption, swpOtherTaxExemptions))*swpLTCGTaxPercentage, 0)</f>
        <v>0</v>
      </c>
      <c r="I64" s="5">
        <f t="shared" ca="1" si="2"/>
        <v>-1546418</v>
      </c>
      <c r="J64" s="5">
        <f ca="1">ROUND(IF($C64&gt;=userRetirementAge, IF($I64&gt;0, $I64*annualEffectivePostRetirementROI, 0), IF($I64&gt;0, $I64*annualEffectiveROI, 0)), 0)</f>
        <v>0</v>
      </c>
      <c r="K64" s="6">
        <f ca="1">ROUND(I64+J64, 0)</f>
        <v>-1546418</v>
      </c>
    </row>
    <row r="65" spans="2:11" x14ac:dyDescent="0.25">
      <c r="B65" s="3">
        <f t="shared" ca="1" si="3"/>
        <v>2080</v>
      </c>
      <c r="C65" s="4">
        <f t="shared" ca="1" si="4"/>
        <v>113</v>
      </c>
      <c r="D65" s="5">
        <f ca="1">ROUND(K64, 0)</f>
        <v>-1546418</v>
      </c>
      <c r="E65" s="14">
        <f ca="1">ROUND(IF($C65&gt;userRetirementAge, IF($D65&gt;0,-FV(annualChangeInSWP, $C65-userRetirementAge-1, 0, -annualWithdrawalSWP_FV, 1), 0), E64+E64*(annualIncreaseInSavings)), 0)</f>
        <v>0</v>
      </c>
      <c r="F65" s="5">
        <f ca="1">-SUMIFS('Input-Events'!H$4:H$106, 'Input-Events'!E$4:E$106, $C65)</f>
        <v>0</v>
      </c>
      <c r="G65" s="4" t="str" cm="1">
        <f t="array" aca="1" ref="G65" ca="1">_xlfn.TEXTJOIN(", ", TRUE, IF('Input-Events'!E$4:E$106=$C65, 'Input-Events'!D$4:D$106, ""))</f>
        <v/>
      </c>
      <c r="H65" s="5">
        <f ca="1">IF(AND($C65&gt;userRetirementAge, SUM($E65, swpLTCGExemption, swpOtherTaxExemptions) &lt; 0), (-SUM($E65, swpLTCGExemption, swpOtherTaxExemptions))*swpLTCGTaxPercentage, 0)</f>
        <v>0</v>
      </c>
      <c r="I65" s="5">
        <f t="shared" ca="1" si="2"/>
        <v>-1546418</v>
      </c>
      <c r="J65" s="5">
        <f ca="1">ROUND(IF($C65&gt;=userRetirementAge, IF($I65&gt;0, $I65*annualEffectivePostRetirementROI, 0), IF($I65&gt;0, $I65*annualEffectiveROI, 0)), 0)</f>
        <v>0</v>
      </c>
      <c r="K65" s="6">
        <f ca="1">ROUND(I65+J65, 0)</f>
        <v>-1546418</v>
      </c>
    </row>
    <row r="66" spans="2:11" x14ac:dyDescent="0.25">
      <c r="B66" s="3">
        <f t="shared" ca="1" si="3"/>
        <v>2081</v>
      </c>
      <c r="C66" s="4">
        <f t="shared" ca="1" si="4"/>
        <v>114</v>
      </c>
      <c r="D66" s="5">
        <f ca="1">ROUND(K65, 0)</f>
        <v>-1546418</v>
      </c>
      <c r="E66" s="14">
        <f ca="1">ROUND(IF($C66&gt;userRetirementAge, IF($D66&gt;0,-FV(annualChangeInSWP, $C66-userRetirementAge-1, 0, -annualWithdrawalSWP_FV, 1), 0), E65+E65*(annualIncreaseInSavings)), 0)</f>
        <v>0</v>
      </c>
      <c r="F66" s="5">
        <f ca="1">-SUMIFS('Input-Events'!H$4:H$106, 'Input-Events'!E$4:E$106, $C66)</f>
        <v>0</v>
      </c>
      <c r="G66" s="4" t="str" cm="1">
        <f t="array" aca="1" ref="G66" ca="1">_xlfn.TEXTJOIN(", ", TRUE, IF('Input-Events'!E$4:E$106=$C66, 'Input-Events'!D$4:D$106, ""))</f>
        <v/>
      </c>
      <c r="H66" s="5">
        <f ca="1">IF(AND($C66&gt;userRetirementAge, SUM($E66, swpLTCGExemption, swpOtherTaxExemptions) &lt; 0), (-SUM($E66, swpLTCGExemption, swpOtherTaxExemptions))*swpLTCGTaxPercentage, 0)</f>
        <v>0</v>
      </c>
      <c r="I66" s="5">
        <f t="shared" ca="1" si="2"/>
        <v>-1546418</v>
      </c>
      <c r="J66" s="5">
        <f ca="1">ROUND(IF($C66&gt;=userRetirementAge, IF($I66&gt;0, $I66*annualEffectivePostRetirementROI, 0), IF($I66&gt;0, $I66*annualEffectiveROI, 0)), 0)</f>
        <v>0</v>
      </c>
      <c r="K66" s="6">
        <f ca="1">ROUND(I66+J66, 0)</f>
        <v>-1546418</v>
      </c>
    </row>
    <row r="67" spans="2:11" x14ac:dyDescent="0.25">
      <c r="B67" s="3">
        <f t="shared" ca="1" si="3"/>
        <v>2082</v>
      </c>
      <c r="C67" s="4">
        <f t="shared" ca="1" si="4"/>
        <v>115</v>
      </c>
      <c r="D67" s="5">
        <f ca="1">ROUND(K66, 0)</f>
        <v>-1546418</v>
      </c>
      <c r="E67" s="14">
        <f ca="1">ROUND(IF($C67&gt;userRetirementAge, IF($D67&gt;0,-FV(annualChangeInSWP, $C67-userRetirementAge-1, 0, -annualWithdrawalSWP_FV, 1), 0), E66+E66*(annualIncreaseInSavings)), 0)</f>
        <v>0</v>
      </c>
      <c r="F67" s="5">
        <f ca="1">-SUMIFS('Input-Events'!H$4:H$106, 'Input-Events'!E$4:E$106, $C67)</f>
        <v>0</v>
      </c>
      <c r="G67" s="4" t="str" cm="1">
        <f t="array" aca="1" ref="G67" ca="1">_xlfn.TEXTJOIN(", ", TRUE, IF('Input-Events'!E$4:E$106=$C67, 'Input-Events'!D$4:D$106, ""))</f>
        <v/>
      </c>
      <c r="H67" s="5">
        <f ca="1">IF(AND($C67&gt;userRetirementAge, SUM($E67, swpLTCGExemption, swpOtherTaxExemptions) &lt; 0), (-SUM($E67, swpLTCGExemption, swpOtherTaxExemptions))*swpLTCGTaxPercentage, 0)</f>
        <v>0</v>
      </c>
      <c r="I67" s="5">
        <f t="shared" ca="1" si="2"/>
        <v>-1546418</v>
      </c>
      <c r="J67" s="5">
        <f ca="1">ROUND(IF($C67&gt;=userRetirementAge, IF($I67&gt;0, $I67*annualEffectivePostRetirementROI, 0), IF($I67&gt;0, $I67*annualEffectiveROI, 0)), 0)</f>
        <v>0</v>
      </c>
      <c r="K67" s="6">
        <f ca="1">ROUND(I67+J67, 0)</f>
        <v>-1546418</v>
      </c>
    </row>
    <row r="68" spans="2:11" x14ac:dyDescent="0.25">
      <c r="B68" s="3">
        <f t="shared" ca="1" si="3"/>
        <v>2083</v>
      </c>
      <c r="C68" s="4">
        <f t="shared" ca="1" si="4"/>
        <v>116</v>
      </c>
      <c r="D68" s="5">
        <f ca="1">ROUND(K67, 0)</f>
        <v>-1546418</v>
      </c>
      <c r="E68" s="14">
        <f ca="1">ROUND(IF($C68&gt;userRetirementAge, IF($D68&gt;0,-FV(annualChangeInSWP, $C68-userRetirementAge-1, 0, -annualWithdrawalSWP_FV, 1), 0), E67+E67*(annualIncreaseInSavings)), 0)</f>
        <v>0</v>
      </c>
      <c r="F68" s="5">
        <f ca="1">-SUMIFS('Input-Events'!H$4:H$106, 'Input-Events'!E$4:E$106, $C68)</f>
        <v>0</v>
      </c>
      <c r="G68" s="4" t="str" cm="1">
        <f t="array" aca="1" ref="G68" ca="1">_xlfn.TEXTJOIN(", ", TRUE, IF('Input-Events'!E$4:E$106=$C68, 'Input-Events'!D$4:D$106, ""))</f>
        <v/>
      </c>
      <c r="H68" s="5">
        <f ca="1">IF(AND($C68&gt;userRetirementAge, SUM($E68, swpLTCGExemption, swpOtherTaxExemptions) &lt; 0), (-SUM($E68, swpLTCGExemption, swpOtherTaxExemptions))*swpLTCGTaxPercentage, 0)</f>
        <v>0</v>
      </c>
      <c r="I68" s="5">
        <f t="shared" ca="1" si="2"/>
        <v>-1546418</v>
      </c>
      <c r="J68" s="5">
        <f ca="1">ROUND(IF($C68&gt;=userRetirementAge, IF($I68&gt;0, $I68*annualEffectivePostRetirementROI, 0), IF($I68&gt;0, $I68*annualEffectiveROI, 0)), 0)</f>
        <v>0</v>
      </c>
      <c r="K68" s="6">
        <f ca="1">ROUND(I68+J68, 0)</f>
        <v>-1546418</v>
      </c>
    </row>
    <row r="69" spans="2:11" x14ac:dyDescent="0.25">
      <c r="B69" s="3">
        <f t="shared" ca="1" si="3"/>
        <v>2084</v>
      </c>
      <c r="C69" s="4">
        <f t="shared" ca="1" si="4"/>
        <v>117</v>
      </c>
      <c r="D69" s="5">
        <f ca="1">ROUND(K68, 0)</f>
        <v>-1546418</v>
      </c>
      <c r="E69" s="14">
        <f ca="1">ROUND(IF($C69&gt;userRetirementAge, IF($D69&gt;0,-FV(annualChangeInSWP, $C69-userRetirementAge-1, 0, -annualWithdrawalSWP_FV, 1), 0), E68+E68*(annualIncreaseInSavings)), 0)</f>
        <v>0</v>
      </c>
      <c r="F69" s="5">
        <f ca="1">-SUMIFS('Input-Events'!H$4:H$106, 'Input-Events'!E$4:E$106, $C69)</f>
        <v>0</v>
      </c>
      <c r="G69" s="4" t="str" cm="1">
        <f t="array" aca="1" ref="G69" ca="1">_xlfn.TEXTJOIN(", ", TRUE, IF('Input-Events'!E$4:E$106=$C69, 'Input-Events'!D$4:D$106, ""))</f>
        <v/>
      </c>
      <c r="H69" s="5">
        <f ca="1">IF(AND($C69&gt;userRetirementAge, SUM($E69, swpLTCGExemption, swpOtherTaxExemptions) &lt; 0), (-SUM($E69, swpLTCGExemption, swpOtherTaxExemptions))*swpLTCGTaxPercentage, 0)</f>
        <v>0</v>
      </c>
      <c r="I69" s="5">
        <f t="shared" ca="1" si="2"/>
        <v>-1546418</v>
      </c>
      <c r="J69" s="5">
        <f ca="1">ROUND(IF($C69&gt;=userRetirementAge, IF($I69&gt;0, $I69*annualEffectivePostRetirementROI, 0), IF($I69&gt;0, $I69*annualEffectiveROI, 0)), 0)</f>
        <v>0</v>
      </c>
      <c r="K69" s="6">
        <f ca="1">ROUND(I69+J69, 0)</f>
        <v>-1546418</v>
      </c>
    </row>
    <row r="70" spans="2:11" x14ac:dyDescent="0.25">
      <c r="B70" s="3">
        <f t="shared" ca="1" si="3"/>
        <v>2085</v>
      </c>
      <c r="C70" s="4">
        <f t="shared" ca="1" si="4"/>
        <v>118</v>
      </c>
      <c r="D70" s="5">
        <f ca="1">ROUND(K69, 0)</f>
        <v>-1546418</v>
      </c>
      <c r="E70" s="14">
        <f ca="1">ROUND(IF($C70&gt;userRetirementAge, IF($D70&gt;0,-FV(annualChangeInSWP, $C70-userRetirementAge-1, 0, -annualWithdrawalSWP_FV, 1), 0), E69+E69*(annualIncreaseInSavings)), 0)</f>
        <v>0</v>
      </c>
      <c r="F70" s="5">
        <f ca="1">-SUMIFS('Input-Events'!H$4:H$106, 'Input-Events'!E$4:E$106, $C70)</f>
        <v>0</v>
      </c>
      <c r="G70" s="4" t="str" cm="1">
        <f t="array" aca="1" ref="G70" ca="1">_xlfn.TEXTJOIN(", ", TRUE, IF('Input-Events'!E$4:E$106=$C70, 'Input-Events'!D$4:D$106, ""))</f>
        <v/>
      </c>
      <c r="H70" s="5">
        <f ca="1">IF(AND($C70&gt;userRetirementAge, SUM($E70, swpLTCGExemption, swpOtherTaxExemptions) &lt; 0), (-SUM($E70, swpLTCGExemption, swpOtherTaxExemptions))*swpLTCGTaxPercentage, 0)</f>
        <v>0</v>
      </c>
      <c r="I70" s="5">
        <f t="shared" ca="1" si="2"/>
        <v>-1546418</v>
      </c>
      <c r="J70" s="5">
        <f ca="1">ROUND(IF($C70&gt;=userRetirementAge, IF($I70&gt;0, $I70*annualEffectivePostRetirementROI, 0), IF($I70&gt;0, $I70*annualEffectiveROI, 0)), 0)</f>
        <v>0</v>
      </c>
      <c r="K70" s="6">
        <f ca="1">ROUND(I70+J70, 0)</f>
        <v>-1546418</v>
      </c>
    </row>
    <row r="71" spans="2:11" x14ac:dyDescent="0.25">
      <c r="B71" s="3">
        <f t="shared" ca="1" si="3"/>
        <v>2086</v>
      </c>
      <c r="C71" s="4">
        <f t="shared" ca="1" si="4"/>
        <v>119</v>
      </c>
      <c r="D71" s="5">
        <f ca="1">ROUND(K70, 0)</f>
        <v>-1546418</v>
      </c>
      <c r="E71" s="14">
        <f ca="1">ROUND(IF($C71&gt;userRetirementAge, IF($D71&gt;0,-FV(annualChangeInSWP, $C71-userRetirementAge-1, 0, -annualWithdrawalSWP_FV, 1), 0), E70+E70*(annualIncreaseInSavings)), 0)</f>
        <v>0</v>
      </c>
      <c r="F71" s="5">
        <f ca="1">-SUMIFS('Input-Events'!H$4:H$106, 'Input-Events'!E$4:E$106, $C71)</f>
        <v>0</v>
      </c>
      <c r="G71" s="4" t="str" cm="1">
        <f t="array" aca="1" ref="G71" ca="1">_xlfn.TEXTJOIN(", ", TRUE, IF('Input-Events'!E$4:E$106=$C71, 'Input-Events'!D$4:D$106, ""))</f>
        <v/>
      </c>
      <c r="H71" s="5">
        <f ca="1">IF(AND($C71&gt;userRetirementAge, SUM($E71, swpLTCGExemption, swpOtherTaxExemptions) &lt; 0), (-SUM($E71, swpLTCGExemption, swpOtherTaxExemptions))*swpLTCGTaxPercentage, 0)</f>
        <v>0</v>
      </c>
      <c r="I71" s="5">
        <f t="shared" ca="1" si="2"/>
        <v>-1546418</v>
      </c>
      <c r="J71" s="5">
        <f ca="1">ROUND(IF($C71&gt;=userRetirementAge, IF($I71&gt;0, $I71*annualEffectivePostRetirementROI, 0), IF($I71&gt;0, $I71*annualEffectiveROI, 0)), 0)</f>
        <v>0</v>
      </c>
      <c r="K71" s="6">
        <f ca="1">ROUND(I71+J71, 0)</f>
        <v>-1546418</v>
      </c>
    </row>
    <row r="72" spans="2:11" x14ac:dyDescent="0.25">
      <c r="B72" s="3">
        <f t="shared" ca="1" si="3"/>
        <v>2087</v>
      </c>
      <c r="C72" s="4">
        <f t="shared" ca="1" si="4"/>
        <v>120</v>
      </c>
      <c r="D72" s="5">
        <f ca="1">ROUND(K71, 0)</f>
        <v>-1546418</v>
      </c>
      <c r="E72" s="14">
        <f ca="1">ROUND(IF($C72&gt;userRetirementAge, IF($D72&gt;0,-FV(annualChangeInSWP, $C72-userRetirementAge-1, 0, -annualWithdrawalSWP_FV, 1), 0), E71+E71*(annualIncreaseInSavings)), 0)</f>
        <v>0</v>
      </c>
      <c r="F72" s="5">
        <f ca="1">-SUMIFS('Input-Events'!H$4:H$106, 'Input-Events'!E$4:E$106, $C72)</f>
        <v>0</v>
      </c>
      <c r="G72" s="4" t="str" cm="1">
        <f t="array" aca="1" ref="G72" ca="1">_xlfn.TEXTJOIN(", ", TRUE, IF('Input-Events'!E$4:E$106=$C72, 'Input-Events'!D$4:D$106, ""))</f>
        <v/>
      </c>
      <c r="H72" s="5">
        <f ca="1">IF(AND($C72&gt;userRetirementAge, SUM($E72, swpLTCGExemption, swpOtherTaxExemptions) &lt; 0), (-SUM($E72, swpLTCGExemption, swpOtherTaxExemptions))*swpLTCGTaxPercentage, 0)</f>
        <v>0</v>
      </c>
      <c r="I72" s="5">
        <f t="shared" ca="1" si="2"/>
        <v>-1546418</v>
      </c>
      <c r="J72" s="5">
        <f ca="1">ROUND(IF($C72&gt;=userRetirementAge, IF($I72&gt;0, $I72*annualEffectivePostRetirementROI, 0), IF($I72&gt;0, $I72*annualEffectiveROI, 0)), 0)</f>
        <v>0</v>
      </c>
      <c r="K72" s="6">
        <f ca="1">ROUND(I72+J72, 0)</f>
        <v>-1546418</v>
      </c>
    </row>
    <row r="73" spans="2:11" x14ac:dyDescent="0.25">
      <c r="B73" s="3">
        <f t="shared" ca="1" si="3"/>
        <v>2088</v>
      </c>
      <c r="C73" s="4">
        <f t="shared" ca="1" si="4"/>
        <v>121</v>
      </c>
      <c r="D73" s="5">
        <f ca="1">ROUND(K72, 0)</f>
        <v>-1546418</v>
      </c>
      <c r="E73" s="14">
        <f ca="1">ROUND(IF($C73&gt;userRetirementAge, IF($D73&gt;0,-FV(annualChangeInSWP, $C73-userRetirementAge-1, 0, -annualWithdrawalSWP_FV, 1), 0), E72+E72*(annualIncreaseInSavings)), 0)</f>
        <v>0</v>
      </c>
      <c r="F73" s="5">
        <f ca="1">-SUMIFS('Input-Events'!H$4:H$106, 'Input-Events'!E$4:E$106, $C73)</f>
        <v>0</v>
      </c>
      <c r="G73" s="4" t="str" cm="1">
        <f t="array" aca="1" ref="G73" ca="1">_xlfn.TEXTJOIN(", ", TRUE, IF('Input-Events'!E$4:E$106=$C73, 'Input-Events'!D$4:D$106, ""))</f>
        <v/>
      </c>
      <c r="H73" s="5">
        <f ca="1">IF(AND($C73&gt;userRetirementAge, SUM($E73, swpLTCGExemption, swpOtherTaxExemptions) &lt; 0), (-SUM($E73, swpLTCGExemption, swpOtherTaxExemptions))*swpLTCGTaxPercentage, 0)</f>
        <v>0</v>
      </c>
      <c r="I73" s="5">
        <f t="shared" ca="1" si="2"/>
        <v>-1546418</v>
      </c>
      <c r="J73" s="5">
        <f ca="1">ROUND(IF($C73&gt;=userRetirementAge, IF($I73&gt;0, $I73*annualEffectivePostRetirementROI, 0), IF($I73&gt;0, $I73*annualEffectiveROI, 0)), 0)</f>
        <v>0</v>
      </c>
      <c r="K73" s="6">
        <f ca="1">ROUND(I73+J73, 0)</f>
        <v>-1546418</v>
      </c>
    </row>
    <row r="74" spans="2:11" x14ac:dyDescent="0.25">
      <c r="B74" s="3">
        <f t="shared" ref="B74:B109" ca="1" si="5">B73+1</f>
        <v>2089</v>
      </c>
      <c r="C74" s="4">
        <f t="shared" ref="C74:C109" ca="1" si="6">C73+1</f>
        <v>122</v>
      </c>
      <c r="D74" s="5">
        <f ca="1">ROUND(K73, 0)</f>
        <v>-1546418</v>
      </c>
      <c r="E74" s="14">
        <f ca="1">ROUND(IF($C74&gt;userRetirementAge, IF($D74&gt;0,-FV(annualChangeInSWP, $C74-userRetirementAge-1, 0, -annualWithdrawalSWP_FV, 1), 0), E73+E73*(annualIncreaseInSavings)), 0)</f>
        <v>0</v>
      </c>
      <c r="F74" s="5">
        <f ca="1">-SUMIFS('Input-Events'!H$4:H$106, 'Input-Events'!E$4:E$106, $C74)</f>
        <v>0</v>
      </c>
      <c r="G74" s="4" t="str" cm="1">
        <f t="array" aca="1" ref="G74" ca="1">_xlfn.TEXTJOIN(", ", TRUE, IF('Input-Events'!E$4:E$106=$C74, 'Input-Events'!D$4:D$106, ""))</f>
        <v/>
      </c>
      <c r="H74" s="5">
        <f ca="1">IF(AND($C74&gt;userRetirementAge, SUM($E74, swpLTCGExemption, swpOtherTaxExemptions) &lt; 0), (-SUM($E74, swpLTCGExemption, swpOtherTaxExemptions))*swpLTCGTaxPercentage, 0)</f>
        <v>0</v>
      </c>
      <c r="I74" s="5">
        <f t="shared" ref="I74:I109" ca="1" si="7">$D74+$E74+$F74-$H74</f>
        <v>-1546418</v>
      </c>
      <c r="J74" s="5">
        <f ca="1">ROUND(IF($C74&gt;=userRetirementAge, IF($I74&gt;0, $I74*annualEffectivePostRetirementROI, 0), IF($I74&gt;0, $I74*annualEffectiveROI, 0)), 0)</f>
        <v>0</v>
      </c>
      <c r="K74" s="6">
        <f ca="1">ROUND(I74+J74, 0)</f>
        <v>-1546418</v>
      </c>
    </row>
    <row r="75" spans="2:11" x14ac:dyDescent="0.25">
      <c r="B75" s="3">
        <f t="shared" ca="1" si="5"/>
        <v>2090</v>
      </c>
      <c r="C75" s="4">
        <f t="shared" ca="1" si="6"/>
        <v>123</v>
      </c>
      <c r="D75" s="5">
        <f ca="1">ROUND(K74, 0)</f>
        <v>-1546418</v>
      </c>
      <c r="E75" s="14">
        <f ca="1">ROUND(IF($C75&gt;userRetirementAge, IF($D75&gt;0,-FV(annualChangeInSWP, $C75-userRetirementAge-1, 0, -annualWithdrawalSWP_FV, 1), 0), E74+E74*(annualIncreaseInSavings)), 0)</f>
        <v>0</v>
      </c>
      <c r="F75" s="5">
        <f ca="1">-SUMIFS('Input-Events'!H$4:H$106, 'Input-Events'!E$4:E$106, $C75)</f>
        <v>0</v>
      </c>
      <c r="G75" s="4" t="str" cm="1">
        <f t="array" aca="1" ref="G75" ca="1">_xlfn.TEXTJOIN(", ", TRUE, IF('Input-Events'!E$4:E$106=$C75, 'Input-Events'!D$4:D$106, ""))</f>
        <v/>
      </c>
      <c r="H75" s="5">
        <f ca="1">IF(AND($C75&gt;userRetirementAge, SUM($E75, swpLTCGExemption, swpOtherTaxExemptions) &lt; 0), (-SUM($E75, swpLTCGExemption, swpOtherTaxExemptions))*swpLTCGTaxPercentage, 0)</f>
        <v>0</v>
      </c>
      <c r="I75" s="5">
        <f t="shared" ca="1" si="7"/>
        <v>-1546418</v>
      </c>
      <c r="J75" s="5">
        <f ca="1">ROUND(IF($C75&gt;=userRetirementAge, IF($I75&gt;0, $I75*annualEffectivePostRetirementROI, 0), IF($I75&gt;0, $I75*annualEffectiveROI, 0)), 0)</f>
        <v>0</v>
      </c>
      <c r="K75" s="6">
        <f ca="1">ROUND(I75+J75, 0)</f>
        <v>-1546418</v>
      </c>
    </row>
    <row r="76" spans="2:11" x14ac:dyDescent="0.25">
      <c r="B76" s="3">
        <f t="shared" ca="1" si="5"/>
        <v>2091</v>
      </c>
      <c r="C76" s="4">
        <f t="shared" ca="1" si="6"/>
        <v>124</v>
      </c>
      <c r="D76" s="5">
        <f ca="1">ROUND(K75, 0)</f>
        <v>-1546418</v>
      </c>
      <c r="E76" s="14">
        <f ca="1">ROUND(IF($C76&gt;userRetirementAge, IF($D76&gt;0,-FV(annualChangeInSWP, $C76-userRetirementAge-1, 0, -annualWithdrawalSWP_FV, 1), 0), E75+E75*(annualIncreaseInSavings)), 0)</f>
        <v>0</v>
      </c>
      <c r="F76" s="5">
        <f ca="1">-SUMIFS('Input-Events'!H$4:H$106, 'Input-Events'!E$4:E$106, $C76)</f>
        <v>0</v>
      </c>
      <c r="G76" s="4" t="str" cm="1">
        <f t="array" aca="1" ref="G76" ca="1">_xlfn.TEXTJOIN(", ", TRUE, IF('Input-Events'!E$4:E$106=$C76, 'Input-Events'!D$4:D$106, ""))</f>
        <v/>
      </c>
      <c r="H76" s="5">
        <f ca="1">IF(AND($C76&gt;userRetirementAge, SUM($E76, swpLTCGExemption, swpOtherTaxExemptions) &lt; 0), (-SUM($E76, swpLTCGExemption, swpOtherTaxExemptions))*swpLTCGTaxPercentage, 0)</f>
        <v>0</v>
      </c>
      <c r="I76" s="5">
        <f t="shared" ca="1" si="7"/>
        <v>-1546418</v>
      </c>
      <c r="J76" s="5">
        <f ca="1">ROUND(IF($C76&gt;=userRetirementAge, IF($I76&gt;0, $I76*annualEffectivePostRetirementROI, 0), IF($I76&gt;0, $I76*annualEffectiveROI, 0)), 0)</f>
        <v>0</v>
      </c>
      <c r="K76" s="6">
        <f ca="1">ROUND(I76+J76, 0)</f>
        <v>-1546418</v>
      </c>
    </row>
    <row r="77" spans="2:11" x14ac:dyDescent="0.25">
      <c r="B77" s="3">
        <f t="shared" ca="1" si="5"/>
        <v>2092</v>
      </c>
      <c r="C77" s="4">
        <f t="shared" ca="1" si="6"/>
        <v>125</v>
      </c>
      <c r="D77" s="5">
        <f ca="1">ROUND(K76, 0)</f>
        <v>-1546418</v>
      </c>
      <c r="E77" s="14">
        <f ca="1">ROUND(IF($C77&gt;userRetirementAge, IF($D77&gt;0,-FV(annualChangeInSWP, $C77-userRetirementAge-1, 0, -annualWithdrawalSWP_FV, 1), 0), E76+E76*(annualIncreaseInSavings)), 0)</f>
        <v>0</v>
      </c>
      <c r="F77" s="5">
        <f ca="1">-SUMIFS('Input-Events'!H$4:H$106, 'Input-Events'!E$4:E$106, $C77)</f>
        <v>0</v>
      </c>
      <c r="G77" s="4" t="str" cm="1">
        <f t="array" aca="1" ref="G77" ca="1">_xlfn.TEXTJOIN(", ", TRUE, IF('Input-Events'!E$4:E$106=$C77, 'Input-Events'!D$4:D$106, ""))</f>
        <v/>
      </c>
      <c r="H77" s="5">
        <f ca="1">IF(AND($C77&gt;userRetirementAge, SUM($E77, swpLTCGExemption, swpOtherTaxExemptions) &lt; 0), (-SUM($E77, swpLTCGExemption, swpOtherTaxExemptions))*swpLTCGTaxPercentage, 0)</f>
        <v>0</v>
      </c>
      <c r="I77" s="5">
        <f t="shared" ca="1" si="7"/>
        <v>-1546418</v>
      </c>
      <c r="J77" s="5">
        <f ca="1">ROUND(IF($C77&gt;=userRetirementAge, IF($I77&gt;0, $I77*annualEffectivePostRetirementROI, 0), IF($I77&gt;0, $I77*annualEffectiveROI, 0)), 0)</f>
        <v>0</v>
      </c>
      <c r="K77" s="6">
        <f ca="1">ROUND(I77+J77, 0)</f>
        <v>-1546418</v>
      </c>
    </row>
    <row r="78" spans="2:11" x14ac:dyDescent="0.25">
      <c r="B78" s="3">
        <f t="shared" ca="1" si="5"/>
        <v>2093</v>
      </c>
      <c r="C78" s="4">
        <f t="shared" ca="1" si="6"/>
        <v>126</v>
      </c>
      <c r="D78" s="5">
        <f ca="1">ROUND(K77, 0)</f>
        <v>-1546418</v>
      </c>
      <c r="E78" s="14">
        <f ca="1">ROUND(IF($C78&gt;userRetirementAge, IF($D78&gt;0,-FV(annualChangeInSWP, $C78-userRetirementAge-1, 0, -annualWithdrawalSWP_FV, 1), 0), E77+E77*(annualIncreaseInSavings)), 0)</f>
        <v>0</v>
      </c>
      <c r="F78" s="5">
        <f ca="1">-SUMIFS('Input-Events'!H$4:H$106, 'Input-Events'!E$4:E$106, $C78)</f>
        <v>0</v>
      </c>
      <c r="G78" s="4" t="str" cm="1">
        <f t="array" aca="1" ref="G78" ca="1">_xlfn.TEXTJOIN(", ", TRUE, IF('Input-Events'!E$4:E$106=$C78, 'Input-Events'!D$4:D$106, ""))</f>
        <v/>
      </c>
      <c r="H78" s="5">
        <f ca="1">IF(AND($C78&gt;userRetirementAge, SUM($E78, swpLTCGExemption, swpOtherTaxExemptions) &lt; 0), (-SUM($E78, swpLTCGExemption, swpOtherTaxExemptions))*swpLTCGTaxPercentage, 0)</f>
        <v>0</v>
      </c>
      <c r="I78" s="5">
        <f t="shared" ca="1" si="7"/>
        <v>-1546418</v>
      </c>
      <c r="J78" s="5">
        <f ca="1">ROUND(IF($C78&gt;=userRetirementAge, IF($I78&gt;0, $I78*annualEffectivePostRetirementROI, 0), IF($I78&gt;0, $I78*annualEffectiveROI, 0)), 0)</f>
        <v>0</v>
      </c>
      <c r="K78" s="6">
        <f ca="1">ROUND(I78+J78, 0)</f>
        <v>-1546418</v>
      </c>
    </row>
    <row r="79" spans="2:11" x14ac:dyDescent="0.25">
      <c r="B79" s="3">
        <f t="shared" ca="1" si="5"/>
        <v>2094</v>
      </c>
      <c r="C79" s="4">
        <f t="shared" ca="1" si="6"/>
        <v>127</v>
      </c>
      <c r="D79" s="5">
        <f ca="1">ROUND(K78, 0)</f>
        <v>-1546418</v>
      </c>
      <c r="E79" s="14">
        <f ca="1">ROUND(IF($C79&gt;userRetirementAge, IF($D79&gt;0,-FV(annualChangeInSWP, $C79-userRetirementAge-1, 0, -annualWithdrawalSWP_FV, 1), 0), E78+E78*(annualIncreaseInSavings)), 0)</f>
        <v>0</v>
      </c>
      <c r="F79" s="5">
        <f ca="1">-SUMIFS('Input-Events'!H$4:H$106, 'Input-Events'!E$4:E$106, $C79)</f>
        <v>0</v>
      </c>
      <c r="G79" s="4" t="str" cm="1">
        <f t="array" aca="1" ref="G79" ca="1">_xlfn.TEXTJOIN(", ", TRUE, IF('Input-Events'!E$4:E$106=$C79, 'Input-Events'!D$4:D$106, ""))</f>
        <v/>
      </c>
      <c r="H79" s="5">
        <f ca="1">IF(AND($C79&gt;userRetirementAge, SUM($E79, swpLTCGExemption, swpOtherTaxExemptions) &lt; 0), (-SUM($E79, swpLTCGExemption, swpOtherTaxExemptions))*swpLTCGTaxPercentage, 0)</f>
        <v>0</v>
      </c>
      <c r="I79" s="5">
        <f t="shared" ca="1" si="7"/>
        <v>-1546418</v>
      </c>
      <c r="J79" s="5">
        <f ca="1">ROUND(IF($C79&gt;=userRetirementAge, IF($I79&gt;0, $I79*annualEffectivePostRetirementROI, 0), IF($I79&gt;0, $I79*annualEffectiveROI, 0)), 0)</f>
        <v>0</v>
      </c>
      <c r="K79" s="6">
        <f ca="1">ROUND(I79+J79, 0)</f>
        <v>-1546418</v>
      </c>
    </row>
    <row r="80" spans="2:11" x14ac:dyDescent="0.25">
      <c r="B80" s="3">
        <f t="shared" ca="1" si="5"/>
        <v>2095</v>
      </c>
      <c r="C80" s="4">
        <f t="shared" ca="1" si="6"/>
        <v>128</v>
      </c>
      <c r="D80" s="5">
        <f ca="1">ROUND(K79, 0)</f>
        <v>-1546418</v>
      </c>
      <c r="E80" s="14">
        <f ca="1">ROUND(IF($C80&gt;userRetirementAge, IF($D80&gt;0,-FV(annualChangeInSWP, $C80-userRetirementAge-1, 0, -annualWithdrawalSWP_FV, 1), 0), E79+E79*(annualIncreaseInSavings)), 0)</f>
        <v>0</v>
      </c>
      <c r="F80" s="5">
        <f ca="1">-SUMIFS('Input-Events'!H$4:H$106, 'Input-Events'!E$4:E$106, $C80)</f>
        <v>0</v>
      </c>
      <c r="G80" s="4" t="str" cm="1">
        <f t="array" aca="1" ref="G80" ca="1">_xlfn.TEXTJOIN(", ", TRUE, IF('Input-Events'!E$4:E$106=$C80, 'Input-Events'!D$4:D$106, ""))</f>
        <v/>
      </c>
      <c r="H80" s="5">
        <f ca="1">IF(AND($C80&gt;userRetirementAge, SUM($E80, swpLTCGExemption, swpOtherTaxExemptions) &lt; 0), (-SUM($E80, swpLTCGExemption, swpOtherTaxExemptions))*swpLTCGTaxPercentage, 0)</f>
        <v>0</v>
      </c>
      <c r="I80" s="5">
        <f t="shared" ca="1" si="7"/>
        <v>-1546418</v>
      </c>
      <c r="J80" s="5">
        <f ca="1">ROUND(IF($C80&gt;=userRetirementAge, IF($I80&gt;0, $I80*annualEffectivePostRetirementROI, 0), IF($I80&gt;0, $I80*annualEffectiveROI, 0)), 0)</f>
        <v>0</v>
      </c>
      <c r="K80" s="6">
        <f ca="1">ROUND(I80+J80, 0)</f>
        <v>-1546418</v>
      </c>
    </row>
    <row r="81" spans="2:11" x14ac:dyDescent="0.25">
      <c r="B81" s="3">
        <f t="shared" ca="1" si="5"/>
        <v>2096</v>
      </c>
      <c r="C81" s="4">
        <f t="shared" ca="1" si="6"/>
        <v>129</v>
      </c>
      <c r="D81" s="5">
        <f ca="1">ROUND(K80, 0)</f>
        <v>-1546418</v>
      </c>
      <c r="E81" s="14">
        <f ca="1">ROUND(IF($C81&gt;userRetirementAge, IF($D81&gt;0,-FV(annualChangeInSWP, $C81-userRetirementAge-1, 0, -annualWithdrawalSWP_FV, 1), 0), E80+E80*(annualIncreaseInSavings)), 0)</f>
        <v>0</v>
      </c>
      <c r="F81" s="5">
        <f ca="1">-SUMIFS('Input-Events'!H$4:H$106, 'Input-Events'!E$4:E$106, $C81)</f>
        <v>0</v>
      </c>
      <c r="G81" s="4" t="str" cm="1">
        <f t="array" aca="1" ref="G81" ca="1">_xlfn.TEXTJOIN(", ", TRUE, IF('Input-Events'!E$4:E$106=$C81, 'Input-Events'!D$4:D$106, ""))</f>
        <v/>
      </c>
      <c r="H81" s="5">
        <f ca="1">IF(AND($C81&gt;userRetirementAge, SUM($E81, swpLTCGExemption, swpOtherTaxExemptions) &lt; 0), (-SUM($E81, swpLTCGExemption, swpOtherTaxExemptions))*swpLTCGTaxPercentage, 0)</f>
        <v>0</v>
      </c>
      <c r="I81" s="5">
        <f t="shared" ca="1" si="7"/>
        <v>-1546418</v>
      </c>
      <c r="J81" s="5">
        <f ca="1">ROUND(IF($C81&gt;=userRetirementAge, IF($I81&gt;0, $I81*annualEffectivePostRetirementROI, 0), IF($I81&gt;0, $I81*annualEffectiveROI, 0)), 0)</f>
        <v>0</v>
      </c>
      <c r="K81" s="6">
        <f ca="1">ROUND(I81+J81, 0)</f>
        <v>-1546418</v>
      </c>
    </row>
    <row r="82" spans="2:11" x14ac:dyDescent="0.25">
      <c r="B82" s="3">
        <f t="shared" ca="1" si="5"/>
        <v>2097</v>
      </c>
      <c r="C82" s="4">
        <f t="shared" ca="1" si="6"/>
        <v>130</v>
      </c>
      <c r="D82" s="5">
        <f ca="1">ROUND(K81, 0)</f>
        <v>-1546418</v>
      </c>
      <c r="E82" s="14">
        <f ca="1">ROUND(IF($C82&gt;userRetirementAge, IF($D82&gt;0,-FV(annualChangeInSWP, $C82-userRetirementAge-1, 0, -annualWithdrawalSWP_FV, 1), 0), E81+E81*(annualIncreaseInSavings)), 0)</f>
        <v>0</v>
      </c>
      <c r="F82" s="5">
        <f ca="1">-SUMIFS('Input-Events'!H$4:H$106, 'Input-Events'!E$4:E$106, $C82)</f>
        <v>0</v>
      </c>
      <c r="G82" s="4" t="str" cm="1">
        <f t="array" aca="1" ref="G82" ca="1">_xlfn.TEXTJOIN(", ", TRUE, IF('Input-Events'!E$4:E$106=$C82, 'Input-Events'!D$4:D$106, ""))</f>
        <v/>
      </c>
      <c r="H82" s="5">
        <f ca="1">IF(AND($C82&gt;userRetirementAge, SUM($E82, swpLTCGExemption, swpOtherTaxExemptions) &lt; 0), (-SUM($E82, swpLTCGExemption, swpOtherTaxExemptions))*swpLTCGTaxPercentage, 0)</f>
        <v>0</v>
      </c>
      <c r="I82" s="5">
        <f t="shared" ca="1" si="7"/>
        <v>-1546418</v>
      </c>
      <c r="J82" s="5">
        <f ca="1">ROUND(IF($C82&gt;=userRetirementAge, IF($I82&gt;0, $I82*annualEffectivePostRetirementROI, 0), IF($I82&gt;0, $I82*annualEffectiveROI, 0)), 0)</f>
        <v>0</v>
      </c>
      <c r="K82" s="6">
        <f ca="1">ROUND(I82+J82, 0)</f>
        <v>-1546418</v>
      </c>
    </row>
    <row r="83" spans="2:11" x14ac:dyDescent="0.25">
      <c r="B83" s="3">
        <f t="shared" ca="1" si="5"/>
        <v>2098</v>
      </c>
      <c r="C83" s="4">
        <f t="shared" ca="1" si="6"/>
        <v>131</v>
      </c>
      <c r="D83" s="5">
        <f ca="1">ROUND(K82, 0)</f>
        <v>-1546418</v>
      </c>
      <c r="E83" s="14">
        <f ca="1">ROUND(IF($C83&gt;userRetirementAge, IF($D83&gt;0,-FV(annualChangeInSWP, $C83-userRetirementAge-1, 0, -annualWithdrawalSWP_FV, 1), 0), E82+E82*(annualIncreaseInSavings)), 0)</f>
        <v>0</v>
      </c>
      <c r="F83" s="5">
        <f ca="1">-SUMIFS('Input-Events'!H$4:H$106, 'Input-Events'!E$4:E$106, $C83)</f>
        <v>0</v>
      </c>
      <c r="G83" s="4" t="str" cm="1">
        <f t="array" aca="1" ref="G83" ca="1">_xlfn.TEXTJOIN(", ", TRUE, IF('Input-Events'!E$4:E$106=$C83, 'Input-Events'!D$4:D$106, ""))</f>
        <v/>
      </c>
      <c r="H83" s="5">
        <f ca="1">IF(AND($C83&gt;userRetirementAge, SUM($E83, swpLTCGExemption, swpOtherTaxExemptions) &lt; 0), (-SUM($E83, swpLTCGExemption, swpOtherTaxExemptions))*swpLTCGTaxPercentage, 0)</f>
        <v>0</v>
      </c>
      <c r="I83" s="5">
        <f t="shared" ca="1" si="7"/>
        <v>-1546418</v>
      </c>
      <c r="J83" s="5">
        <f ca="1">ROUND(IF($C83&gt;=userRetirementAge, IF($I83&gt;0, $I83*annualEffectivePostRetirementROI, 0), IF($I83&gt;0, $I83*annualEffectiveROI, 0)), 0)</f>
        <v>0</v>
      </c>
      <c r="K83" s="6">
        <f ca="1">ROUND(I83+J83, 0)</f>
        <v>-1546418</v>
      </c>
    </row>
    <row r="84" spans="2:11" x14ac:dyDescent="0.25">
      <c r="B84" s="3">
        <f t="shared" ca="1" si="5"/>
        <v>2099</v>
      </c>
      <c r="C84" s="4">
        <f t="shared" ca="1" si="6"/>
        <v>132</v>
      </c>
      <c r="D84" s="5">
        <f ca="1">ROUND(K83, 0)</f>
        <v>-1546418</v>
      </c>
      <c r="E84" s="14">
        <f ca="1">ROUND(IF($C84&gt;userRetirementAge, IF($D84&gt;0,-FV(annualChangeInSWP, $C84-userRetirementAge-1, 0, -annualWithdrawalSWP_FV, 1), 0), E83+E83*(annualIncreaseInSavings)), 0)</f>
        <v>0</v>
      </c>
      <c r="F84" s="5">
        <f ca="1">-SUMIFS('Input-Events'!H$4:H$106, 'Input-Events'!E$4:E$106, $C84)</f>
        <v>0</v>
      </c>
      <c r="G84" s="4" t="str" cm="1">
        <f t="array" aca="1" ref="G84" ca="1">_xlfn.TEXTJOIN(", ", TRUE, IF('Input-Events'!E$4:E$106=$C84, 'Input-Events'!D$4:D$106, ""))</f>
        <v/>
      </c>
      <c r="H84" s="5">
        <f ca="1">IF(AND($C84&gt;userRetirementAge, SUM($E84, swpLTCGExemption, swpOtherTaxExemptions) &lt; 0), (-SUM($E84, swpLTCGExemption, swpOtherTaxExemptions))*swpLTCGTaxPercentage, 0)</f>
        <v>0</v>
      </c>
      <c r="I84" s="5">
        <f t="shared" ca="1" si="7"/>
        <v>-1546418</v>
      </c>
      <c r="J84" s="5">
        <f ca="1">ROUND(IF($C84&gt;=userRetirementAge, IF($I84&gt;0, $I84*annualEffectivePostRetirementROI, 0), IF($I84&gt;0, $I84*annualEffectiveROI, 0)), 0)</f>
        <v>0</v>
      </c>
      <c r="K84" s="6">
        <f ca="1">ROUND(I84+J84, 0)</f>
        <v>-1546418</v>
      </c>
    </row>
    <row r="85" spans="2:11" x14ac:dyDescent="0.25">
      <c r="B85" s="3">
        <f t="shared" ca="1" si="5"/>
        <v>2100</v>
      </c>
      <c r="C85" s="4">
        <f t="shared" ca="1" si="6"/>
        <v>133</v>
      </c>
      <c r="D85" s="5">
        <f ca="1">ROUND(K84, 0)</f>
        <v>-1546418</v>
      </c>
      <c r="E85" s="14">
        <f ca="1">ROUND(IF($C85&gt;userRetirementAge, IF($D85&gt;0,-FV(annualChangeInSWP, $C85-userRetirementAge-1, 0, -annualWithdrawalSWP_FV, 1), 0), E84+E84*(annualIncreaseInSavings)), 0)</f>
        <v>0</v>
      </c>
      <c r="F85" s="5">
        <f ca="1">-SUMIFS('Input-Events'!H$4:H$106, 'Input-Events'!E$4:E$106, $C85)</f>
        <v>0</v>
      </c>
      <c r="G85" s="4" t="str" cm="1">
        <f t="array" aca="1" ref="G85" ca="1">_xlfn.TEXTJOIN(", ", TRUE, IF('Input-Events'!E$4:E$106=$C85, 'Input-Events'!D$4:D$106, ""))</f>
        <v/>
      </c>
      <c r="H85" s="5">
        <f ca="1">IF(AND($C85&gt;userRetirementAge, SUM($E85, swpLTCGExemption, swpOtherTaxExemptions) &lt; 0), (-SUM($E85, swpLTCGExemption, swpOtherTaxExemptions))*swpLTCGTaxPercentage, 0)</f>
        <v>0</v>
      </c>
      <c r="I85" s="5">
        <f t="shared" ca="1" si="7"/>
        <v>-1546418</v>
      </c>
      <c r="J85" s="5">
        <f ca="1">ROUND(IF($C85&gt;=userRetirementAge, IF($I85&gt;0, $I85*annualEffectivePostRetirementROI, 0), IF($I85&gt;0, $I85*annualEffectiveROI, 0)), 0)</f>
        <v>0</v>
      </c>
      <c r="K85" s="6">
        <f ca="1">ROUND(I85+J85, 0)</f>
        <v>-1546418</v>
      </c>
    </row>
    <row r="86" spans="2:11" x14ac:dyDescent="0.25">
      <c r="B86" s="3">
        <f t="shared" ca="1" si="5"/>
        <v>2101</v>
      </c>
      <c r="C86" s="4">
        <f t="shared" ca="1" si="6"/>
        <v>134</v>
      </c>
      <c r="D86" s="5">
        <f ca="1">ROUND(K85, 0)</f>
        <v>-1546418</v>
      </c>
      <c r="E86" s="14">
        <f ca="1">ROUND(IF($C86&gt;userRetirementAge, IF($D86&gt;0,-FV(annualChangeInSWP, $C86-userRetirementAge-1, 0, -annualWithdrawalSWP_FV, 1), 0), E85+E85*(annualIncreaseInSavings)), 0)</f>
        <v>0</v>
      </c>
      <c r="F86" s="5">
        <f ca="1">-SUMIFS('Input-Events'!H$4:H$106, 'Input-Events'!E$4:E$106, $C86)</f>
        <v>0</v>
      </c>
      <c r="G86" s="4" t="str" cm="1">
        <f t="array" aca="1" ref="G86" ca="1">_xlfn.TEXTJOIN(", ", TRUE, IF('Input-Events'!E$4:E$106=$C86, 'Input-Events'!D$4:D$106, ""))</f>
        <v/>
      </c>
      <c r="H86" s="5">
        <f ca="1">IF(AND($C86&gt;userRetirementAge, SUM($E86, swpLTCGExemption, swpOtherTaxExemptions) &lt; 0), (-SUM($E86, swpLTCGExemption, swpOtherTaxExemptions))*swpLTCGTaxPercentage, 0)</f>
        <v>0</v>
      </c>
      <c r="I86" s="5">
        <f t="shared" ca="1" si="7"/>
        <v>-1546418</v>
      </c>
      <c r="J86" s="5">
        <f ca="1">ROUND(IF($C86&gt;=userRetirementAge, IF($I86&gt;0, $I86*annualEffectivePostRetirementROI, 0), IF($I86&gt;0, $I86*annualEffectiveROI, 0)), 0)</f>
        <v>0</v>
      </c>
      <c r="K86" s="6">
        <f ca="1">ROUND(I86+J86, 0)</f>
        <v>-1546418</v>
      </c>
    </row>
    <row r="87" spans="2:11" x14ac:dyDescent="0.25">
      <c r="B87" s="3">
        <f t="shared" ca="1" si="5"/>
        <v>2102</v>
      </c>
      <c r="C87" s="4">
        <f t="shared" ca="1" si="6"/>
        <v>135</v>
      </c>
      <c r="D87" s="5">
        <f ca="1">ROUND(K86, 0)</f>
        <v>-1546418</v>
      </c>
      <c r="E87" s="14">
        <f ca="1">ROUND(IF($C87&gt;userRetirementAge, IF($D87&gt;0,-FV(annualChangeInSWP, $C87-userRetirementAge-1, 0, -annualWithdrawalSWP_FV, 1), 0), E86+E86*(annualIncreaseInSavings)), 0)</f>
        <v>0</v>
      </c>
      <c r="F87" s="5">
        <f ca="1">-SUMIFS('Input-Events'!H$4:H$106, 'Input-Events'!E$4:E$106, $C87)</f>
        <v>0</v>
      </c>
      <c r="G87" s="4" t="str" cm="1">
        <f t="array" aca="1" ref="G87" ca="1">_xlfn.TEXTJOIN(", ", TRUE, IF('Input-Events'!E$4:E$106=$C87, 'Input-Events'!D$4:D$106, ""))</f>
        <v/>
      </c>
      <c r="H87" s="5">
        <f ca="1">IF(AND($C87&gt;userRetirementAge, SUM($E87, swpLTCGExemption, swpOtherTaxExemptions) &lt; 0), (-SUM($E87, swpLTCGExemption, swpOtherTaxExemptions))*swpLTCGTaxPercentage, 0)</f>
        <v>0</v>
      </c>
      <c r="I87" s="5">
        <f t="shared" ca="1" si="7"/>
        <v>-1546418</v>
      </c>
      <c r="J87" s="5">
        <f ca="1">ROUND(IF($C87&gt;=userRetirementAge, IF($I87&gt;0, $I87*annualEffectivePostRetirementROI, 0), IF($I87&gt;0, $I87*annualEffectiveROI, 0)), 0)</f>
        <v>0</v>
      </c>
      <c r="K87" s="6">
        <f ca="1">ROUND(I87+J87, 0)</f>
        <v>-1546418</v>
      </c>
    </row>
    <row r="88" spans="2:11" x14ac:dyDescent="0.25">
      <c r="B88" s="3">
        <f t="shared" ca="1" si="5"/>
        <v>2103</v>
      </c>
      <c r="C88" s="4">
        <f t="shared" ca="1" si="6"/>
        <v>136</v>
      </c>
      <c r="D88" s="5">
        <f ca="1">ROUND(K87, 0)</f>
        <v>-1546418</v>
      </c>
      <c r="E88" s="14">
        <f ca="1">ROUND(IF($C88&gt;userRetirementAge, IF($D88&gt;0,-FV(annualChangeInSWP, $C88-userRetirementAge-1, 0, -annualWithdrawalSWP_FV, 1), 0), E87+E87*(annualIncreaseInSavings)), 0)</f>
        <v>0</v>
      </c>
      <c r="F88" s="5">
        <f ca="1">-SUMIFS('Input-Events'!H$4:H$106, 'Input-Events'!E$4:E$106, $C88)</f>
        <v>0</v>
      </c>
      <c r="G88" s="4" t="str" cm="1">
        <f t="array" aca="1" ref="G88" ca="1">_xlfn.TEXTJOIN(", ", TRUE, IF('Input-Events'!E$4:E$106=$C88, 'Input-Events'!D$4:D$106, ""))</f>
        <v/>
      </c>
      <c r="H88" s="5">
        <f ca="1">IF(AND($C88&gt;userRetirementAge, SUM($E88, swpLTCGExemption, swpOtherTaxExemptions) &lt; 0), (-SUM($E88, swpLTCGExemption, swpOtherTaxExemptions))*swpLTCGTaxPercentage, 0)</f>
        <v>0</v>
      </c>
      <c r="I88" s="5">
        <f t="shared" ca="1" si="7"/>
        <v>-1546418</v>
      </c>
      <c r="J88" s="5">
        <f ca="1">ROUND(IF($C88&gt;=userRetirementAge, IF($I88&gt;0, $I88*annualEffectivePostRetirementROI, 0), IF($I88&gt;0, $I88*annualEffectiveROI, 0)), 0)</f>
        <v>0</v>
      </c>
      <c r="K88" s="6">
        <f ca="1">ROUND(I88+J88, 0)</f>
        <v>-1546418</v>
      </c>
    </row>
    <row r="89" spans="2:11" x14ac:dyDescent="0.25">
      <c r="B89" s="3">
        <f t="shared" ca="1" si="5"/>
        <v>2104</v>
      </c>
      <c r="C89" s="4">
        <f t="shared" ca="1" si="6"/>
        <v>137</v>
      </c>
      <c r="D89" s="5">
        <f ca="1">ROUND(K88, 0)</f>
        <v>-1546418</v>
      </c>
      <c r="E89" s="14">
        <f ca="1">ROUND(IF($C89&gt;userRetirementAge, IF($D89&gt;0,-FV(annualChangeInSWP, $C89-userRetirementAge-1, 0, -annualWithdrawalSWP_FV, 1), 0), E88+E88*(annualIncreaseInSavings)), 0)</f>
        <v>0</v>
      </c>
      <c r="F89" s="5">
        <f ca="1">-SUMIFS('Input-Events'!H$4:H$106, 'Input-Events'!E$4:E$106, $C89)</f>
        <v>0</v>
      </c>
      <c r="G89" s="4" t="str" cm="1">
        <f t="array" aca="1" ref="G89" ca="1">_xlfn.TEXTJOIN(", ", TRUE, IF('Input-Events'!E$4:E$106=$C89, 'Input-Events'!D$4:D$106, ""))</f>
        <v/>
      </c>
      <c r="H89" s="5">
        <f ca="1">IF(AND($C89&gt;userRetirementAge, SUM($E89, swpLTCGExemption, swpOtherTaxExemptions) &lt; 0), (-SUM($E89, swpLTCGExemption, swpOtherTaxExemptions))*swpLTCGTaxPercentage, 0)</f>
        <v>0</v>
      </c>
      <c r="I89" s="5">
        <f t="shared" ca="1" si="7"/>
        <v>-1546418</v>
      </c>
      <c r="J89" s="5">
        <f ca="1">ROUND(IF($C89&gt;=userRetirementAge, IF($I89&gt;0, $I89*annualEffectivePostRetirementROI, 0), IF($I89&gt;0, $I89*annualEffectiveROI, 0)), 0)</f>
        <v>0</v>
      </c>
      <c r="K89" s="6">
        <f ca="1">ROUND(I89+J89, 0)</f>
        <v>-1546418</v>
      </c>
    </row>
    <row r="90" spans="2:11" x14ac:dyDescent="0.25">
      <c r="B90" s="3">
        <f t="shared" ca="1" si="5"/>
        <v>2105</v>
      </c>
      <c r="C90" s="4">
        <f t="shared" ca="1" si="6"/>
        <v>138</v>
      </c>
      <c r="D90" s="5">
        <f ca="1">ROUND(K89, 0)</f>
        <v>-1546418</v>
      </c>
      <c r="E90" s="14">
        <f ca="1">ROUND(IF($C90&gt;userRetirementAge, IF($D90&gt;0,-FV(annualChangeInSWP, $C90-userRetirementAge-1, 0, -annualWithdrawalSWP_FV, 1), 0), E89+E89*(annualIncreaseInSavings)), 0)</f>
        <v>0</v>
      </c>
      <c r="F90" s="5">
        <f ca="1">-SUMIFS('Input-Events'!H$4:H$106, 'Input-Events'!E$4:E$106, $C90)</f>
        <v>0</v>
      </c>
      <c r="G90" s="4" t="str" cm="1">
        <f t="array" aca="1" ref="G90" ca="1">_xlfn.TEXTJOIN(", ", TRUE, IF('Input-Events'!E$4:E$106=$C90, 'Input-Events'!D$4:D$106, ""))</f>
        <v/>
      </c>
      <c r="H90" s="5">
        <f ca="1">IF(AND($C90&gt;userRetirementAge, SUM($E90, swpLTCGExemption, swpOtherTaxExemptions) &lt; 0), (-SUM($E90, swpLTCGExemption, swpOtherTaxExemptions))*swpLTCGTaxPercentage, 0)</f>
        <v>0</v>
      </c>
      <c r="I90" s="5">
        <f t="shared" ca="1" si="7"/>
        <v>-1546418</v>
      </c>
      <c r="J90" s="5">
        <f ca="1">ROUND(IF($C90&gt;=userRetirementAge, IF($I90&gt;0, $I90*annualEffectivePostRetirementROI, 0), IF($I90&gt;0, $I90*annualEffectiveROI, 0)), 0)</f>
        <v>0</v>
      </c>
      <c r="K90" s="6">
        <f ca="1">ROUND(I90+J90, 0)</f>
        <v>-1546418</v>
      </c>
    </row>
    <row r="91" spans="2:11" x14ac:dyDescent="0.25">
      <c r="B91" s="3">
        <f t="shared" ca="1" si="5"/>
        <v>2106</v>
      </c>
      <c r="C91" s="4">
        <f t="shared" ca="1" si="6"/>
        <v>139</v>
      </c>
      <c r="D91" s="5">
        <f ca="1">ROUND(K90, 0)</f>
        <v>-1546418</v>
      </c>
      <c r="E91" s="14">
        <f ca="1">ROUND(IF($C91&gt;userRetirementAge, IF($D91&gt;0,-FV(annualChangeInSWP, $C91-userRetirementAge-1, 0, -annualWithdrawalSWP_FV, 1), 0), E90+E90*(annualIncreaseInSavings)), 0)</f>
        <v>0</v>
      </c>
      <c r="F91" s="5">
        <f ca="1">-SUMIFS('Input-Events'!H$4:H$106, 'Input-Events'!E$4:E$106, $C91)</f>
        <v>0</v>
      </c>
      <c r="G91" s="4" t="str" cm="1">
        <f t="array" aca="1" ref="G91" ca="1">_xlfn.TEXTJOIN(", ", TRUE, IF('Input-Events'!E$4:E$106=$C91, 'Input-Events'!D$4:D$106, ""))</f>
        <v/>
      </c>
      <c r="H91" s="5">
        <f ca="1">IF(AND($C91&gt;userRetirementAge, SUM($E91, swpLTCGExemption, swpOtherTaxExemptions) &lt; 0), (-SUM($E91, swpLTCGExemption, swpOtherTaxExemptions))*swpLTCGTaxPercentage, 0)</f>
        <v>0</v>
      </c>
      <c r="I91" s="5">
        <f t="shared" ca="1" si="7"/>
        <v>-1546418</v>
      </c>
      <c r="J91" s="5">
        <f ca="1">ROUND(IF($C91&gt;=userRetirementAge, IF($I91&gt;0, $I91*annualEffectivePostRetirementROI, 0), IF($I91&gt;0, $I91*annualEffectiveROI, 0)), 0)</f>
        <v>0</v>
      </c>
      <c r="K91" s="6">
        <f ca="1">ROUND(I91+J91, 0)</f>
        <v>-1546418</v>
      </c>
    </row>
    <row r="92" spans="2:11" x14ac:dyDescent="0.25">
      <c r="B92" s="3">
        <f t="shared" ca="1" si="5"/>
        <v>2107</v>
      </c>
      <c r="C92" s="4">
        <f t="shared" ca="1" si="6"/>
        <v>140</v>
      </c>
      <c r="D92" s="5">
        <f ca="1">ROUND(K91, 0)</f>
        <v>-1546418</v>
      </c>
      <c r="E92" s="14">
        <f ca="1">ROUND(IF($C92&gt;userRetirementAge, IF($D92&gt;0,-FV(annualChangeInSWP, $C92-userRetirementAge-1, 0, -annualWithdrawalSWP_FV, 1), 0), E91+E91*(annualIncreaseInSavings)), 0)</f>
        <v>0</v>
      </c>
      <c r="F92" s="5">
        <f ca="1">-SUMIFS('Input-Events'!H$4:H$106, 'Input-Events'!E$4:E$106, $C92)</f>
        <v>0</v>
      </c>
      <c r="G92" s="4" t="str" cm="1">
        <f t="array" aca="1" ref="G92" ca="1">_xlfn.TEXTJOIN(", ", TRUE, IF('Input-Events'!E$4:E$106=$C92, 'Input-Events'!D$4:D$106, ""))</f>
        <v/>
      </c>
      <c r="H92" s="5">
        <f ca="1">IF(AND($C92&gt;userRetirementAge, SUM($E92, swpLTCGExemption, swpOtherTaxExemptions) &lt; 0), (-SUM($E92, swpLTCGExemption, swpOtherTaxExemptions))*swpLTCGTaxPercentage, 0)</f>
        <v>0</v>
      </c>
      <c r="I92" s="5">
        <f t="shared" ca="1" si="7"/>
        <v>-1546418</v>
      </c>
      <c r="J92" s="5">
        <f ca="1">ROUND(IF($C92&gt;=userRetirementAge, IF($I92&gt;0, $I92*annualEffectivePostRetirementROI, 0), IF($I92&gt;0, $I92*annualEffectiveROI, 0)), 0)</f>
        <v>0</v>
      </c>
      <c r="K92" s="6">
        <f ca="1">ROUND(I92+J92, 0)</f>
        <v>-1546418</v>
      </c>
    </row>
    <row r="93" spans="2:11" x14ac:dyDescent="0.25">
      <c r="B93" s="3">
        <f t="shared" ca="1" si="5"/>
        <v>2108</v>
      </c>
      <c r="C93" s="4">
        <f t="shared" ca="1" si="6"/>
        <v>141</v>
      </c>
      <c r="D93" s="5">
        <f ca="1">ROUND(K92, 0)</f>
        <v>-1546418</v>
      </c>
      <c r="E93" s="14">
        <f ca="1">ROUND(IF($C93&gt;userRetirementAge, IF($D93&gt;0,-FV(annualChangeInSWP, $C93-userRetirementAge-1, 0, -annualWithdrawalSWP_FV, 1), 0), E92+E92*(annualIncreaseInSavings)), 0)</f>
        <v>0</v>
      </c>
      <c r="F93" s="5">
        <f ca="1">-SUMIFS('Input-Events'!H$4:H$106, 'Input-Events'!E$4:E$106, $C93)</f>
        <v>0</v>
      </c>
      <c r="G93" s="4" t="str" cm="1">
        <f t="array" aca="1" ref="G93" ca="1">_xlfn.TEXTJOIN(", ", TRUE, IF('Input-Events'!E$4:E$106=$C93, 'Input-Events'!D$4:D$106, ""))</f>
        <v/>
      </c>
      <c r="H93" s="5">
        <f ca="1">IF(AND($C93&gt;userRetirementAge, SUM($E93, swpLTCGExemption, swpOtherTaxExemptions) &lt; 0), (-SUM($E93, swpLTCGExemption, swpOtherTaxExemptions))*swpLTCGTaxPercentage, 0)</f>
        <v>0</v>
      </c>
      <c r="I93" s="5">
        <f t="shared" ca="1" si="7"/>
        <v>-1546418</v>
      </c>
      <c r="J93" s="5">
        <f ca="1">ROUND(IF($C93&gt;=userRetirementAge, IF($I93&gt;0, $I93*annualEffectivePostRetirementROI, 0), IF($I93&gt;0, $I93*annualEffectiveROI, 0)), 0)</f>
        <v>0</v>
      </c>
      <c r="K93" s="6">
        <f ca="1">ROUND(I93+J93, 0)</f>
        <v>-1546418</v>
      </c>
    </row>
    <row r="94" spans="2:11" x14ac:dyDescent="0.25">
      <c r="B94" s="3">
        <f t="shared" ca="1" si="5"/>
        <v>2109</v>
      </c>
      <c r="C94" s="4">
        <f t="shared" ca="1" si="6"/>
        <v>142</v>
      </c>
      <c r="D94" s="5">
        <f ca="1">ROUND(K93, 0)</f>
        <v>-1546418</v>
      </c>
      <c r="E94" s="14">
        <f ca="1">ROUND(IF($C94&gt;userRetirementAge, IF($D94&gt;0,-FV(annualChangeInSWP, $C94-userRetirementAge-1, 0, -annualWithdrawalSWP_FV, 1), 0), E93+E93*(annualIncreaseInSavings)), 0)</f>
        <v>0</v>
      </c>
      <c r="F94" s="5">
        <f ca="1">-SUMIFS('Input-Events'!H$4:H$106, 'Input-Events'!E$4:E$106, $C94)</f>
        <v>0</v>
      </c>
      <c r="G94" s="4" t="str" cm="1">
        <f t="array" aca="1" ref="G94" ca="1">_xlfn.TEXTJOIN(", ", TRUE, IF('Input-Events'!E$4:E$106=$C94, 'Input-Events'!D$4:D$106, ""))</f>
        <v/>
      </c>
      <c r="H94" s="5">
        <f ca="1">IF(AND($C94&gt;userRetirementAge, SUM($E94, swpLTCGExemption, swpOtherTaxExemptions) &lt; 0), (-SUM($E94, swpLTCGExemption, swpOtherTaxExemptions))*swpLTCGTaxPercentage, 0)</f>
        <v>0</v>
      </c>
      <c r="I94" s="5">
        <f t="shared" ca="1" si="7"/>
        <v>-1546418</v>
      </c>
      <c r="J94" s="5">
        <f ca="1">ROUND(IF($C94&gt;=userRetirementAge, IF($I94&gt;0, $I94*annualEffectivePostRetirementROI, 0), IF($I94&gt;0, $I94*annualEffectiveROI, 0)), 0)</f>
        <v>0</v>
      </c>
      <c r="K94" s="6">
        <f ca="1">ROUND(I94+J94, 0)</f>
        <v>-1546418</v>
      </c>
    </row>
    <row r="95" spans="2:11" x14ac:dyDescent="0.25">
      <c r="B95" s="3">
        <f t="shared" ca="1" si="5"/>
        <v>2110</v>
      </c>
      <c r="C95" s="4">
        <f t="shared" ca="1" si="6"/>
        <v>143</v>
      </c>
      <c r="D95" s="5">
        <f ca="1">ROUND(K94, 0)</f>
        <v>-1546418</v>
      </c>
      <c r="E95" s="14">
        <f ca="1">ROUND(IF($C95&gt;userRetirementAge, IF($D95&gt;0,-FV(annualChangeInSWP, $C95-userRetirementAge-1, 0, -annualWithdrawalSWP_FV, 1), 0), E94+E94*(annualIncreaseInSavings)), 0)</f>
        <v>0</v>
      </c>
      <c r="F95" s="5">
        <f ca="1">-SUMIFS('Input-Events'!H$4:H$106, 'Input-Events'!E$4:E$106, $C95)</f>
        <v>0</v>
      </c>
      <c r="G95" s="4" t="str" cm="1">
        <f t="array" aca="1" ref="G95" ca="1">_xlfn.TEXTJOIN(", ", TRUE, IF('Input-Events'!E$4:E$106=$C95, 'Input-Events'!D$4:D$106, ""))</f>
        <v/>
      </c>
      <c r="H95" s="5">
        <f ca="1">IF(AND($C95&gt;userRetirementAge, SUM($E95, swpLTCGExemption, swpOtherTaxExemptions) &lt; 0), (-SUM($E95, swpLTCGExemption, swpOtherTaxExemptions))*swpLTCGTaxPercentage, 0)</f>
        <v>0</v>
      </c>
      <c r="I95" s="5">
        <f t="shared" ca="1" si="7"/>
        <v>-1546418</v>
      </c>
      <c r="J95" s="5">
        <f ca="1">ROUND(IF($C95&gt;=userRetirementAge, IF($I95&gt;0, $I95*annualEffectivePostRetirementROI, 0), IF($I95&gt;0, $I95*annualEffectiveROI, 0)), 0)</f>
        <v>0</v>
      </c>
      <c r="K95" s="6">
        <f ca="1">ROUND(I95+J95, 0)</f>
        <v>-1546418</v>
      </c>
    </row>
    <row r="96" spans="2:11" x14ac:dyDescent="0.25">
      <c r="B96" s="3">
        <f t="shared" ca="1" si="5"/>
        <v>2111</v>
      </c>
      <c r="C96" s="4">
        <f t="shared" ca="1" si="6"/>
        <v>144</v>
      </c>
      <c r="D96" s="5">
        <f ca="1">ROUND(K95, 0)</f>
        <v>-1546418</v>
      </c>
      <c r="E96" s="14">
        <f ca="1">ROUND(IF($C96&gt;userRetirementAge, IF($D96&gt;0,-FV(annualChangeInSWP, $C96-userRetirementAge-1, 0, -annualWithdrawalSWP_FV, 1), 0), E95+E95*(annualIncreaseInSavings)), 0)</f>
        <v>0</v>
      </c>
      <c r="F96" s="5">
        <f ca="1">-SUMIFS('Input-Events'!H$4:H$106, 'Input-Events'!E$4:E$106, $C96)</f>
        <v>0</v>
      </c>
      <c r="G96" s="4" t="str" cm="1">
        <f t="array" aca="1" ref="G96" ca="1">_xlfn.TEXTJOIN(", ", TRUE, IF('Input-Events'!E$4:E$106=$C96, 'Input-Events'!D$4:D$106, ""))</f>
        <v/>
      </c>
      <c r="H96" s="5">
        <f ca="1">IF(AND($C96&gt;userRetirementAge, SUM($E96, swpLTCGExemption, swpOtherTaxExemptions) &lt; 0), (-SUM($E96, swpLTCGExemption, swpOtherTaxExemptions))*swpLTCGTaxPercentage, 0)</f>
        <v>0</v>
      </c>
      <c r="I96" s="5">
        <f t="shared" ca="1" si="7"/>
        <v>-1546418</v>
      </c>
      <c r="J96" s="5">
        <f ca="1">ROUND(IF($C96&gt;=userRetirementAge, IF($I96&gt;0, $I96*annualEffectivePostRetirementROI, 0), IF($I96&gt;0, $I96*annualEffectiveROI, 0)), 0)</f>
        <v>0</v>
      </c>
      <c r="K96" s="6">
        <f ca="1">ROUND(I96+J96, 0)</f>
        <v>-1546418</v>
      </c>
    </row>
    <row r="97" spans="2:11" x14ac:dyDescent="0.25">
      <c r="B97" s="3">
        <f t="shared" ca="1" si="5"/>
        <v>2112</v>
      </c>
      <c r="C97" s="4">
        <f t="shared" ca="1" si="6"/>
        <v>145</v>
      </c>
      <c r="D97" s="5">
        <f ca="1">ROUND(K96, 0)</f>
        <v>-1546418</v>
      </c>
      <c r="E97" s="14">
        <f ca="1">ROUND(IF($C97&gt;userRetirementAge, IF($D97&gt;0,-FV(annualChangeInSWP, $C97-userRetirementAge-1, 0, -annualWithdrawalSWP_FV, 1), 0), E96+E96*(annualIncreaseInSavings)), 0)</f>
        <v>0</v>
      </c>
      <c r="F97" s="5">
        <f ca="1">-SUMIFS('Input-Events'!H$4:H$106, 'Input-Events'!E$4:E$106, $C97)</f>
        <v>0</v>
      </c>
      <c r="G97" s="4" t="str" cm="1">
        <f t="array" aca="1" ref="G97" ca="1">_xlfn.TEXTJOIN(", ", TRUE, IF('Input-Events'!E$4:E$106=$C97, 'Input-Events'!D$4:D$106, ""))</f>
        <v/>
      </c>
      <c r="H97" s="5">
        <f ca="1">IF(AND($C97&gt;userRetirementAge, SUM($E97, swpLTCGExemption, swpOtherTaxExemptions) &lt; 0), (-SUM($E97, swpLTCGExemption, swpOtherTaxExemptions))*swpLTCGTaxPercentage, 0)</f>
        <v>0</v>
      </c>
      <c r="I97" s="5">
        <f t="shared" ca="1" si="7"/>
        <v>-1546418</v>
      </c>
      <c r="J97" s="5">
        <f ca="1">ROUND(IF($C97&gt;=userRetirementAge, IF($I97&gt;0, $I97*annualEffectivePostRetirementROI, 0), IF($I97&gt;0, $I97*annualEffectiveROI, 0)), 0)</f>
        <v>0</v>
      </c>
      <c r="K97" s="6">
        <f ca="1">ROUND(I97+J97, 0)</f>
        <v>-1546418</v>
      </c>
    </row>
    <row r="98" spans="2:11" x14ac:dyDescent="0.25">
      <c r="B98" s="3">
        <f t="shared" ca="1" si="5"/>
        <v>2113</v>
      </c>
      <c r="C98" s="4">
        <f t="shared" ca="1" si="6"/>
        <v>146</v>
      </c>
      <c r="D98" s="5">
        <f ca="1">ROUND(K97, 0)</f>
        <v>-1546418</v>
      </c>
      <c r="E98" s="14">
        <f ca="1">ROUND(IF($C98&gt;userRetirementAge, IF($D98&gt;0,-FV(annualChangeInSWP, $C98-userRetirementAge-1, 0, -annualWithdrawalSWP_FV, 1), 0), E97+E97*(annualIncreaseInSavings)), 0)</f>
        <v>0</v>
      </c>
      <c r="F98" s="5">
        <f ca="1">-SUMIFS('Input-Events'!H$4:H$106, 'Input-Events'!E$4:E$106, $C98)</f>
        <v>0</v>
      </c>
      <c r="G98" s="4" t="str" cm="1">
        <f t="array" aca="1" ref="G98" ca="1">_xlfn.TEXTJOIN(", ", TRUE, IF('Input-Events'!E$4:E$106=$C98, 'Input-Events'!D$4:D$106, ""))</f>
        <v/>
      </c>
      <c r="H98" s="5">
        <f ca="1">IF(AND($C98&gt;userRetirementAge, SUM($E98, swpLTCGExemption, swpOtherTaxExemptions) &lt; 0), (-SUM($E98, swpLTCGExemption, swpOtherTaxExemptions))*swpLTCGTaxPercentage, 0)</f>
        <v>0</v>
      </c>
      <c r="I98" s="5">
        <f t="shared" ca="1" si="7"/>
        <v>-1546418</v>
      </c>
      <c r="J98" s="5">
        <f ca="1">ROUND(IF($C98&gt;=userRetirementAge, IF($I98&gt;0, $I98*annualEffectivePostRetirementROI, 0), IF($I98&gt;0, $I98*annualEffectiveROI, 0)), 0)</f>
        <v>0</v>
      </c>
      <c r="K98" s="6">
        <f ca="1">ROUND(I98+J98, 0)</f>
        <v>-1546418</v>
      </c>
    </row>
    <row r="99" spans="2:11" x14ac:dyDescent="0.25">
      <c r="B99" s="3">
        <f t="shared" ca="1" si="5"/>
        <v>2114</v>
      </c>
      <c r="C99" s="4">
        <f t="shared" ca="1" si="6"/>
        <v>147</v>
      </c>
      <c r="D99" s="5">
        <f ca="1">ROUND(K98, 0)</f>
        <v>-1546418</v>
      </c>
      <c r="E99" s="14">
        <f ca="1">ROUND(IF($C99&gt;userRetirementAge, IF($D99&gt;0,-FV(annualChangeInSWP, $C99-userRetirementAge-1, 0, -annualWithdrawalSWP_FV, 1), 0), E98+E98*(annualIncreaseInSavings)), 0)</f>
        <v>0</v>
      </c>
      <c r="F99" s="5">
        <f ca="1">-SUMIFS('Input-Events'!H$4:H$106, 'Input-Events'!E$4:E$106, $C99)</f>
        <v>0</v>
      </c>
      <c r="G99" s="4" t="str" cm="1">
        <f t="array" aca="1" ref="G99" ca="1">_xlfn.TEXTJOIN(", ", TRUE, IF('Input-Events'!E$4:E$106=$C99, 'Input-Events'!D$4:D$106, ""))</f>
        <v/>
      </c>
      <c r="H99" s="5">
        <f ca="1">IF(AND($C99&gt;userRetirementAge, SUM($E99, swpLTCGExemption, swpOtherTaxExemptions) &lt; 0), (-SUM($E99, swpLTCGExemption, swpOtherTaxExemptions))*swpLTCGTaxPercentage, 0)</f>
        <v>0</v>
      </c>
      <c r="I99" s="5">
        <f t="shared" ca="1" si="7"/>
        <v>-1546418</v>
      </c>
      <c r="J99" s="5">
        <f ca="1">ROUND(IF($C99&gt;=userRetirementAge, IF($I99&gt;0, $I99*annualEffectivePostRetirementROI, 0), IF($I99&gt;0, $I99*annualEffectiveROI, 0)), 0)</f>
        <v>0</v>
      </c>
      <c r="K99" s="6">
        <f ca="1">ROUND(I99+J99, 0)</f>
        <v>-1546418</v>
      </c>
    </row>
    <row r="100" spans="2:11" x14ac:dyDescent="0.25">
      <c r="B100" s="3">
        <f t="shared" ca="1" si="5"/>
        <v>2115</v>
      </c>
      <c r="C100" s="4">
        <f t="shared" ca="1" si="6"/>
        <v>148</v>
      </c>
      <c r="D100" s="5">
        <f ca="1">ROUND(K99, 0)</f>
        <v>-1546418</v>
      </c>
      <c r="E100" s="14">
        <f ca="1">ROUND(IF($C100&gt;userRetirementAge, IF($D100&gt;0,-FV(annualChangeInSWP, $C100-userRetirementAge-1, 0, -annualWithdrawalSWP_FV, 1), 0), E99+E99*(annualIncreaseInSavings)), 0)</f>
        <v>0</v>
      </c>
      <c r="F100" s="5">
        <f ca="1">-SUMIFS('Input-Events'!H$4:H$106, 'Input-Events'!E$4:E$106, $C100)</f>
        <v>0</v>
      </c>
      <c r="G100" s="4" t="str" cm="1">
        <f t="array" aca="1" ref="G100" ca="1">_xlfn.TEXTJOIN(", ", TRUE, IF('Input-Events'!E$4:E$106=$C100, 'Input-Events'!D$4:D$106, ""))</f>
        <v/>
      </c>
      <c r="H100" s="5">
        <f ca="1">IF(AND($C100&gt;userRetirementAge, SUM($E100, swpLTCGExemption, swpOtherTaxExemptions) &lt; 0), (-SUM($E100, swpLTCGExemption, swpOtherTaxExemptions))*swpLTCGTaxPercentage, 0)</f>
        <v>0</v>
      </c>
      <c r="I100" s="5">
        <f t="shared" ca="1" si="7"/>
        <v>-1546418</v>
      </c>
      <c r="J100" s="5">
        <f ca="1">ROUND(IF($C100&gt;=userRetirementAge, IF($I100&gt;0, $I100*annualEffectivePostRetirementROI, 0), IF($I100&gt;0, $I100*annualEffectiveROI, 0)), 0)</f>
        <v>0</v>
      </c>
      <c r="K100" s="6">
        <f ca="1">ROUND(I100+J100, 0)</f>
        <v>-1546418</v>
      </c>
    </row>
    <row r="101" spans="2:11" x14ac:dyDescent="0.25">
      <c r="B101" s="3">
        <f t="shared" ca="1" si="5"/>
        <v>2116</v>
      </c>
      <c r="C101" s="4">
        <f t="shared" ca="1" si="6"/>
        <v>149</v>
      </c>
      <c r="D101" s="5">
        <f ca="1">ROUND(K100, 0)</f>
        <v>-1546418</v>
      </c>
      <c r="E101" s="14">
        <f ca="1">ROUND(IF($C101&gt;userRetirementAge, IF($D101&gt;0,-FV(annualChangeInSWP, $C101-userRetirementAge-1, 0, -annualWithdrawalSWP_FV, 1), 0), E100+E100*(annualIncreaseInSavings)), 0)</f>
        <v>0</v>
      </c>
      <c r="F101" s="5">
        <f ca="1">-SUMIFS('Input-Events'!H$4:H$106, 'Input-Events'!E$4:E$106, $C101)</f>
        <v>0</v>
      </c>
      <c r="G101" s="4" t="str" cm="1">
        <f t="array" aca="1" ref="G101" ca="1">_xlfn.TEXTJOIN(", ", TRUE, IF('Input-Events'!E$4:E$106=$C101, 'Input-Events'!D$4:D$106, ""))</f>
        <v/>
      </c>
      <c r="H101" s="5">
        <f ca="1">IF(AND($C101&gt;userRetirementAge, SUM($E101, swpLTCGExemption, swpOtherTaxExemptions) &lt; 0), (-SUM($E101, swpLTCGExemption, swpOtherTaxExemptions))*swpLTCGTaxPercentage, 0)</f>
        <v>0</v>
      </c>
      <c r="I101" s="5">
        <f t="shared" ca="1" si="7"/>
        <v>-1546418</v>
      </c>
      <c r="J101" s="5">
        <f ca="1">ROUND(IF($C101&gt;=userRetirementAge, IF($I101&gt;0, $I101*annualEffectivePostRetirementROI, 0), IF($I101&gt;0, $I101*annualEffectiveROI, 0)), 0)</f>
        <v>0</v>
      </c>
      <c r="K101" s="6">
        <f ca="1">ROUND(I101+J101, 0)</f>
        <v>-1546418</v>
      </c>
    </row>
    <row r="102" spans="2:11" x14ac:dyDescent="0.25">
      <c r="B102" s="3">
        <f t="shared" ca="1" si="5"/>
        <v>2117</v>
      </c>
      <c r="C102" s="4">
        <f t="shared" ca="1" si="6"/>
        <v>150</v>
      </c>
      <c r="D102" s="5">
        <f ca="1">ROUND(K101, 0)</f>
        <v>-1546418</v>
      </c>
      <c r="E102" s="14">
        <f ca="1">ROUND(IF($C102&gt;userRetirementAge, IF($D102&gt;0,-FV(annualChangeInSWP, $C102-userRetirementAge-1, 0, -annualWithdrawalSWP_FV, 1), 0), E101+E101*(annualIncreaseInSavings)), 0)</f>
        <v>0</v>
      </c>
      <c r="F102" s="5">
        <f ca="1">-SUMIFS('Input-Events'!H$4:H$106, 'Input-Events'!E$4:E$106, $C102)</f>
        <v>0</v>
      </c>
      <c r="G102" s="4" t="str" cm="1">
        <f t="array" aca="1" ref="G102" ca="1">_xlfn.TEXTJOIN(", ", TRUE, IF('Input-Events'!E$4:E$106=$C102, 'Input-Events'!D$4:D$106, ""))</f>
        <v/>
      </c>
      <c r="H102" s="5">
        <f ca="1">IF(AND($C102&gt;userRetirementAge, SUM($E102, swpLTCGExemption, swpOtherTaxExemptions) &lt; 0), (-SUM($E102, swpLTCGExemption, swpOtherTaxExemptions))*swpLTCGTaxPercentage, 0)</f>
        <v>0</v>
      </c>
      <c r="I102" s="5">
        <f t="shared" ca="1" si="7"/>
        <v>-1546418</v>
      </c>
      <c r="J102" s="5">
        <f ca="1">ROUND(IF($C102&gt;=userRetirementAge, IF($I102&gt;0, $I102*annualEffectivePostRetirementROI, 0), IF($I102&gt;0, $I102*annualEffectiveROI, 0)), 0)</f>
        <v>0</v>
      </c>
      <c r="K102" s="6">
        <f ca="1">ROUND(I102+J102, 0)</f>
        <v>-1546418</v>
      </c>
    </row>
    <row r="103" spans="2:11" x14ac:dyDescent="0.25">
      <c r="B103" s="3">
        <f t="shared" ca="1" si="5"/>
        <v>2118</v>
      </c>
      <c r="C103" s="4">
        <f t="shared" ca="1" si="6"/>
        <v>151</v>
      </c>
      <c r="D103" s="5">
        <f ca="1">ROUND(K102, 0)</f>
        <v>-1546418</v>
      </c>
      <c r="E103" s="14">
        <f ca="1">ROUND(IF($C103&gt;userRetirementAge, IF($D103&gt;0,-FV(annualChangeInSWP, $C103-userRetirementAge-1, 0, -annualWithdrawalSWP_FV, 1), 0), E102+E102*(annualIncreaseInSavings)), 0)</f>
        <v>0</v>
      </c>
      <c r="F103" s="5">
        <f ca="1">-SUMIFS('Input-Events'!H$4:H$106, 'Input-Events'!E$4:E$106, $C103)</f>
        <v>0</v>
      </c>
      <c r="G103" s="4" t="str" cm="1">
        <f t="array" aca="1" ref="G103" ca="1">_xlfn.TEXTJOIN(", ", TRUE, IF('Input-Events'!E$4:E$106=$C103, 'Input-Events'!D$4:D$106, ""))</f>
        <v/>
      </c>
      <c r="H103" s="5">
        <f ca="1">IF(AND($C103&gt;userRetirementAge, SUM($E103, swpLTCGExemption, swpOtherTaxExemptions) &lt; 0), (-SUM($E103, swpLTCGExemption, swpOtherTaxExemptions))*swpLTCGTaxPercentage, 0)</f>
        <v>0</v>
      </c>
      <c r="I103" s="5">
        <f t="shared" ca="1" si="7"/>
        <v>-1546418</v>
      </c>
      <c r="J103" s="5">
        <f ca="1">ROUND(IF($C103&gt;=userRetirementAge, IF($I103&gt;0, $I103*annualEffectivePostRetirementROI, 0), IF($I103&gt;0, $I103*annualEffectiveROI, 0)), 0)</f>
        <v>0</v>
      </c>
      <c r="K103" s="6">
        <f ca="1">ROUND(I103+J103, 0)</f>
        <v>-1546418</v>
      </c>
    </row>
    <row r="104" spans="2:11" x14ac:dyDescent="0.25">
      <c r="B104" s="3">
        <f t="shared" ca="1" si="5"/>
        <v>2119</v>
      </c>
      <c r="C104" s="4">
        <f t="shared" ca="1" si="6"/>
        <v>152</v>
      </c>
      <c r="D104" s="5">
        <f ca="1">ROUND(K103, 0)</f>
        <v>-1546418</v>
      </c>
      <c r="E104" s="14">
        <f ca="1">ROUND(IF($C104&gt;userRetirementAge, IF($D104&gt;0,-FV(annualChangeInSWP, $C104-userRetirementAge-1, 0, -annualWithdrawalSWP_FV, 1), 0), E103+E103*(annualIncreaseInSavings)), 0)</f>
        <v>0</v>
      </c>
      <c r="F104" s="5">
        <f ca="1">-SUMIFS('Input-Events'!H$4:H$106, 'Input-Events'!E$4:E$106, $C104)</f>
        <v>0</v>
      </c>
      <c r="G104" s="4" t="str" cm="1">
        <f t="array" aca="1" ref="G104" ca="1">_xlfn.TEXTJOIN(", ", TRUE, IF('Input-Events'!E$4:E$106=$C104, 'Input-Events'!D$4:D$106, ""))</f>
        <v/>
      </c>
      <c r="H104" s="5">
        <f ca="1">IF(AND($C104&gt;userRetirementAge, SUM($E104, swpLTCGExemption, swpOtherTaxExemptions) &lt; 0), (-SUM($E104, swpLTCGExemption, swpOtherTaxExemptions))*swpLTCGTaxPercentage, 0)</f>
        <v>0</v>
      </c>
      <c r="I104" s="5">
        <f t="shared" ca="1" si="7"/>
        <v>-1546418</v>
      </c>
      <c r="J104" s="5">
        <f ca="1">ROUND(IF($C104&gt;=userRetirementAge, IF($I104&gt;0, $I104*annualEffectivePostRetirementROI, 0), IF($I104&gt;0, $I104*annualEffectiveROI, 0)), 0)</f>
        <v>0</v>
      </c>
      <c r="K104" s="6">
        <f ca="1">ROUND(I104+J104, 0)</f>
        <v>-1546418</v>
      </c>
    </row>
    <row r="105" spans="2:11" x14ac:dyDescent="0.25">
      <c r="B105" s="3">
        <f t="shared" ca="1" si="5"/>
        <v>2120</v>
      </c>
      <c r="C105" s="4">
        <f t="shared" ca="1" si="6"/>
        <v>153</v>
      </c>
      <c r="D105" s="5">
        <f ca="1">ROUND(K104, 0)</f>
        <v>-1546418</v>
      </c>
      <c r="E105" s="14">
        <f ca="1">ROUND(IF($C105&gt;userRetirementAge, IF($D105&gt;0,-FV(annualChangeInSWP, $C105-userRetirementAge-1, 0, -annualWithdrawalSWP_FV, 1), 0), E104+E104*(annualIncreaseInSavings)), 0)</f>
        <v>0</v>
      </c>
      <c r="F105" s="5">
        <f ca="1">-SUMIFS('Input-Events'!H$4:H$106, 'Input-Events'!E$4:E$106, $C105)</f>
        <v>0</v>
      </c>
      <c r="G105" s="4" t="str" cm="1">
        <f t="array" aca="1" ref="G105" ca="1">_xlfn.TEXTJOIN(", ", TRUE, IF('Input-Events'!E$4:E$106=$C105, 'Input-Events'!D$4:D$106, ""))</f>
        <v/>
      </c>
      <c r="H105" s="5">
        <f ca="1">IF(AND($C105&gt;userRetirementAge, SUM($E105, swpLTCGExemption, swpOtherTaxExemptions) &lt; 0), (-SUM($E105, swpLTCGExemption, swpOtherTaxExemptions))*swpLTCGTaxPercentage, 0)</f>
        <v>0</v>
      </c>
      <c r="I105" s="5">
        <f t="shared" ca="1" si="7"/>
        <v>-1546418</v>
      </c>
      <c r="J105" s="5">
        <f ca="1">ROUND(IF($C105&gt;=userRetirementAge, IF($I105&gt;0, $I105*annualEffectivePostRetirementROI, 0), IF($I105&gt;0, $I105*annualEffectiveROI, 0)), 0)</f>
        <v>0</v>
      </c>
      <c r="K105" s="6">
        <f ca="1">ROUND(I105+J105, 0)</f>
        <v>-1546418</v>
      </c>
    </row>
    <row r="106" spans="2:11" x14ac:dyDescent="0.25">
      <c r="B106" s="3">
        <f t="shared" ca="1" si="5"/>
        <v>2121</v>
      </c>
      <c r="C106" s="4">
        <f t="shared" ca="1" si="6"/>
        <v>154</v>
      </c>
      <c r="D106" s="5">
        <f ca="1">ROUND(K105, 0)</f>
        <v>-1546418</v>
      </c>
      <c r="E106" s="14">
        <f ca="1">ROUND(IF($C106&gt;userRetirementAge, IF($D106&gt;0,-FV(annualChangeInSWP, $C106-userRetirementAge-1, 0, -annualWithdrawalSWP_FV, 1), 0), E105+E105*(annualIncreaseInSavings)), 0)</f>
        <v>0</v>
      </c>
      <c r="F106" s="5">
        <f ca="1">-SUMIFS('Input-Events'!H$4:H$106, 'Input-Events'!E$4:E$106, $C106)</f>
        <v>0</v>
      </c>
      <c r="G106" s="4" t="str" cm="1">
        <f t="array" aca="1" ref="G106" ca="1">_xlfn.TEXTJOIN(", ", TRUE, IF('Input-Events'!E$4:E$106=$C106, 'Input-Events'!D$4:D$106, ""))</f>
        <v/>
      </c>
      <c r="H106" s="5">
        <f ca="1">IF(AND($C106&gt;userRetirementAge, SUM($E106, swpLTCGExemption, swpOtherTaxExemptions) &lt; 0), (-SUM($E106, swpLTCGExemption, swpOtherTaxExemptions))*swpLTCGTaxPercentage, 0)</f>
        <v>0</v>
      </c>
      <c r="I106" s="5">
        <f t="shared" ca="1" si="7"/>
        <v>-1546418</v>
      </c>
      <c r="J106" s="5">
        <f ca="1">ROUND(IF($C106&gt;=userRetirementAge, IF($I106&gt;0, $I106*annualEffectivePostRetirementROI, 0), IF($I106&gt;0, $I106*annualEffectiveROI, 0)), 0)</f>
        <v>0</v>
      </c>
      <c r="K106" s="6">
        <f ca="1">ROUND(I106+J106, 0)</f>
        <v>-1546418</v>
      </c>
    </row>
    <row r="107" spans="2:11" x14ac:dyDescent="0.25">
      <c r="B107" s="3">
        <f t="shared" ca="1" si="5"/>
        <v>2122</v>
      </c>
      <c r="C107" s="4">
        <f t="shared" ca="1" si="6"/>
        <v>155</v>
      </c>
      <c r="D107" s="5">
        <f ca="1">ROUND(K106, 0)</f>
        <v>-1546418</v>
      </c>
      <c r="E107" s="14">
        <f ca="1">ROUND(IF($C107&gt;userRetirementAge, IF($D107&gt;0,-FV(annualChangeInSWP, $C107-userRetirementAge-1, 0, -annualWithdrawalSWP_FV, 1), 0), E106+E106*(annualIncreaseInSavings)), 0)</f>
        <v>0</v>
      </c>
      <c r="F107" s="5">
        <f ca="1">-SUMIFS('Input-Events'!H$4:H$106, 'Input-Events'!E$4:E$106, $C107)</f>
        <v>0</v>
      </c>
      <c r="G107" s="4" t="str" cm="1">
        <f t="array" aca="1" ref="G107" ca="1">_xlfn.TEXTJOIN(", ", TRUE, IF('Input-Events'!E$4:E$106=$C107, 'Input-Events'!D$4:D$106, ""))</f>
        <v/>
      </c>
      <c r="H107" s="5">
        <f ca="1">IF(AND($C107&gt;userRetirementAge, SUM($E107, swpLTCGExemption, swpOtherTaxExemptions) &lt; 0), (-SUM($E107, swpLTCGExemption, swpOtherTaxExemptions))*swpLTCGTaxPercentage, 0)</f>
        <v>0</v>
      </c>
      <c r="I107" s="5">
        <f t="shared" ca="1" si="7"/>
        <v>-1546418</v>
      </c>
      <c r="J107" s="5">
        <f ca="1">ROUND(IF($C107&gt;=userRetirementAge, IF($I107&gt;0, $I107*annualEffectivePostRetirementROI, 0), IF($I107&gt;0, $I107*annualEffectiveROI, 0)), 0)</f>
        <v>0</v>
      </c>
      <c r="K107" s="6">
        <f ca="1">ROUND(I107+J107, 0)</f>
        <v>-1546418</v>
      </c>
    </row>
    <row r="108" spans="2:11" x14ac:dyDescent="0.25">
      <c r="B108" s="3">
        <f t="shared" ca="1" si="5"/>
        <v>2123</v>
      </c>
      <c r="C108" s="4">
        <f t="shared" ca="1" si="6"/>
        <v>156</v>
      </c>
      <c r="D108" s="5">
        <f ca="1">ROUND(K107, 0)</f>
        <v>-1546418</v>
      </c>
      <c r="E108" s="14">
        <f ca="1">ROUND(IF($C108&gt;userRetirementAge, IF($D108&gt;0,-FV(annualChangeInSWP, $C108-userRetirementAge-1, 0, -annualWithdrawalSWP_FV, 1), 0), E107+E107*(annualIncreaseInSavings)), 0)</f>
        <v>0</v>
      </c>
      <c r="F108" s="5">
        <f ca="1">-SUMIFS('Input-Events'!H$4:H$106, 'Input-Events'!E$4:E$106, $C108)</f>
        <v>0</v>
      </c>
      <c r="G108" s="4" t="str" cm="1">
        <f t="array" aca="1" ref="G108" ca="1">_xlfn.TEXTJOIN(", ", TRUE, IF('Input-Events'!E$4:E$106=$C108, 'Input-Events'!D$4:D$106, ""))</f>
        <v/>
      </c>
      <c r="H108" s="5">
        <f ca="1">IF(AND($C108&gt;userRetirementAge, SUM($E108, swpLTCGExemption, swpOtherTaxExemptions) &lt; 0), (-SUM($E108, swpLTCGExemption, swpOtherTaxExemptions))*swpLTCGTaxPercentage, 0)</f>
        <v>0</v>
      </c>
      <c r="I108" s="5">
        <f t="shared" ca="1" si="7"/>
        <v>-1546418</v>
      </c>
      <c r="J108" s="5">
        <f ca="1">ROUND(IF($C108&gt;=userRetirementAge, IF($I108&gt;0, $I108*annualEffectivePostRetirementROI, 0), IF($I108&gt;0, $I108*annualEffectiveROI, 0)), 0)</f>
        <v>0</v>
      </c>
      <c r="K108" s="6">
        <f ca="1">ROUND(I108+J108, 0)</f>
        <v>-1546418</v>
      </c>
    </row>
    <row r="109" spans="2:11" ht="15.75" thickBot="1" x14ac:dyDescent="0.3">
      <c r="B109" s="7">
        <f t="shared" ca="1" si="5"/>
        <v>2124</v>
      </c>
      <c r="C109" s="8">
        <f t="shared" ca="1" si="6"/>
        <v>157</v>
      </c>
      <c r="D109" s="9">
        <f ca="1">ROUND(K108, 0)</f>
        <v>-1546418</v>
      </c>
      <c r="E109" s="37">
        <f ca="1">ROUND(IF($C109&gt;userRetirementAge, IF($D109&gt;0,-FV(annualChangeInSWP, $C109-userRetirementAge-1, 0, -annualWithdrawalSWP_FV, 1), 0), E108+E108*(annualIncreaseInSavings)), 0)</f>
        <v>0</v>
      </c>
      <c r="F109" s="9">
        <f ca="1">-SUMIFS('Input-Events'!H$4:H$106, 'Input-Events'!E$4:E$106, $C109)</f>
        <v>0</v>
      </c>
      <c r="G109" s="8" t="str" cm="1">
        <f t="array" aca="1" ref="G109" ca="1">_xlfn.TEXTJOIN(", ", TRUE, IF('Input-Events'!E$4:E$106=$C109, 'Input-Events'!D$4:D$106, ""))</f>
        <v/>
      </c>
      <c r="H109" s="9">
        <f ca="1">IF(AND($C109&gt;userRetirementAge, SUM($E109, swpLTCGExemption, swpOtherTaxExemptions) &lt; 0), (-SUM($E109, swpLTCGExemption, swpOtherTaxExemptions))*swpLTCGTaxPercentage, 0)</f>
        <v>0</v>
      </c>
      <c r="I109" s="9">
        <f t="shared" ca="1" si="7"/>
        <v>-1546418</v>
      </c>
      <c r="J109" s="9">
        <f ca="1">ROUND(IF($C109&gt;=userRetirementAge, IF($I109&gt;0, $I109*annualEffectivePostRetirementROI, 0), IF($I109&gt;0, $I109*annualEffectiveROI, 0)), 0)</f>
        <v>0</v>
      </c>
      <c r="K109" s="10">
        <f ca="1">ROUND(I109+J109, 0)</f>
        <v>-1546418</v>
      </c>
    </row>
  </sheetData>
  <sheetProtection formatCells="0" formatColumns="0" formatRows="0"/>
  <conditionalFormatting sqref="I9:K109 B9:G109">
    <cfRule type="expression" dxfId="10" priority="6">
      <formula>$C9&gt;userLifeExpectancyAge</formula>
    </cfRule>
    <cfRule type="expression" dxfId="9" priority="7">
      <formula>$C9=userLifeExpectancyAge</formula>
    </cfRule>
    <cfRule type="expression" dxfId="8" priority="10">
      <formula>$C9=userRetirementAge</formula>
    </cfRule>
    <cfRule type="expression" dxfId="7" priority="11">
      <formula>IF($C9&gt;userRetirementAge, $C9&lt;userLifeExpectancyAge)</formula>
    </cfRule>
  </conditionalFormatting>
  <conditionalFormatting sqref="I9:I109 D9:F109">
    <cfRule type="cellIs" dxfId="6" priority="15" operator="lessThan">
      <formula>0</formula>
    </cfRule>
  </conditionalFormatting>
  <conditionalFormatting sqref="J9:K109">
    <cfRule type="cellIs" dxfId="5" priority="14" operator="lessThan">
      <formula>0</formula>
    </cfRule>
  </conditionalFormatting>
  <conditionalFormatting sqref="H9:H109">
    <cfRule type="expression" dxfId="4" priority="1">
      <formula>$C9&gt;userLifeExpectancyAge</formula>
    </cfRule>
    <cfRule type="expression" dxfId="3" priority="2">
      <formula>$C9=userLifeExpectancyAge</formula>
    </cfRule>
    <cfRule type="expression" dxfId="2" priority="3">
      <formula>$C9=userRetirementAge</formula>
    </cfRule>
    <cfRule type="expression" dxfId="1" priority="4">
      <formula>IF($C9&gt;userRetirementAge, $C9&lt;userLifeExpectancyAge)</formula>
    </cfRule>
  </conditionalFormatting>
  <conditionalFormatting sqref="H9:H109">
    <cfRule type="cellIs" dxfId="0" priority="5" operator="lessThan">
      <formula>0</formula>
    </cfRule>
  </conditionalFormatting>
  <pageMargins left="0.7" right="0.7" top="0.75" bottom="0.75" header="0.3" footer="0.3"/>
  <pageSetup paperSize="9" scale="8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Sheet2.PrintPreviewDashboard">
                <anchor moveWithCells="1" sizeWithCells="1">
                  <from>
                    <xdr:col>0</xdr:col>
                    <xdr:colOff>3676650</xdr:colOff>
                    <xdr:row>110</xdr:row>
                    <xdr:rowOff>161925</xdr:rowOff>
                  </from>
                  <to>
                    <xdr:col>10</xdr:col>
                    <xdr:colOff>9525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75B6-952D-4F5A-A6D3-C8680062EE1E}">
  <sheetPr codeName="Sheet1"/>
  <dimension ref="A1:N38"/>
  <sheetViews>
    <sheetView tabSelected="1" zoomScale="103" zoomScaleNormal="103" workbookViewId="0">
      <selection activeCell="C29" sqref="C29"/>
    </sheetView>
  </sheetViews>
  <sheetFormatPr defaultRowHeight="15" x14ac:dyDescent="0.25"/>
  <cols>
    <col min="1" max="1" width="8.5703125" customWidth="1"/>
    <col min="2" max="2" width="39.85546875" bestFit="1" customWidth="1"/>
    <col min="3" max="3" width="12.28515625" bestFit="1" customWidth="1"/>
    <col min="4" max="4" width="29.140625" customWidth="1"/>
    <col min="5" max="5" width="28.28515625" bestFit="1" customWidth="1"/>
    <col min="6" max="6" width="11.42578125" bestFit="1" customWidth="1"/>
    <col min="9" max="9" width="39.140625" bestFit="1" customWidth="1"/>
    <col min="12" max="13" width="34.5703125" bestFit="1" customWidth="1"/>
    <col min="14" max="14" width="10.7109375" bestFit="1" customWidth="1"/>
  </cols>
  <sheetData>
    <row r="1" spans="1:14" x14ac:dyDescent="0.25">
      <c r="A1" s="40"/>
      <c r="B1" t="s">
        <v>2</v>
      </c>
      <c r="I1" s="27" t="s">
        <v>53</v>
      </c>
    </row>
    <row r="2" spans="1:14" x14ac:dyDescent="0.25">
      <c r="A2" s="41"/>
      <c r="B2" t="s">
        <v>77</v>
      </c>
    </row>
    <row r="3" spans="1:14" x14ac:dyDescent="0.25">
      <c r="A3" s="42"/>
      <c r="B3" t="s">
        <v>12</v>
      </c>
    </row>
    <row r="4" spans="1:14" x14ac:dyDescent="0.25">
      <c r="J4" s="4"/>
      <c r="K4" s="43"/>
    </row>
    <row r="5" spans="1:14" x14ac:dyDescent="0.25">
      <c r="J5" s="4"/>
      <c r="K5" s="44"/>
    </row>
    <row r="6" spans="1:14" ht="15.75" thickBot="1" x14ac:dyDescent="0.3"/>
    <row r="7" spans="1:14" ht="15.75" thickBot="1" x14ac:dyDescent="0.3">
      <c r="B7" s="73" t="s">
        <v>36</v>
      </c>
      <c r="C7" s="74"/>
      <c r="E7" s="73" t="s">
        <v>52</v>
      </c>
      <c r="F7" s="74"/>
    </row>
    <row r="8" spans="1:14" x14ac:dyDescent="0.25">
      <c r="B8" s="38" t="s">
        <v>99</v>
      </c>
      <c r="C8" s="55"/>
      <c r="E8" s="1"/>
      <c r="F8" s="15"/>
      <c r="M8" s="45"/>
      <c r="N8" s="20"/>
    </row>
    <row r="9" spans="1:14" x14ac:dyDescent="0.25">
      <c r="B9" s="26" t="s">
        <v>0</v>
      </c>
      <c r="C9" s="52" t="s">
        <v>25</v>
      </c>
      <c r="E9" s="26" t="s">
        <v>1</v>
      </c>
      <c r="F9" s="46">
        <f ca="1">DATEDIF(C10, TODAY(), "y")</f>
        <v>56</v>
      </c>
      <c r="M9" s="45"/>
      <c r="N9" s="21"/>
    </row>
    <row r="10" spans="1:14" x14ac:dyDescent="0.25">
      <c r="B10" s="26" t="s">
        <v>3</v>
      </c>
      <c r="C10" s="53">
        <v>24838</v>
      </c>
      <c r="E10" s="26" t="s">
        <v>18</v>
      </c>
      <c r="F10" s="47">
        <f>userMonthlyExpenses</f>
        <v>20000</v>
      </c>
      <c r="M10" s="45"/>
      <c r="N10" s="22"/>
    </row>
    <row r="11" spans="1:14" x14ac:dyDescent="0.25">
      <c r="B11" s="26" t="s">
        <v>88</v>
      </c>
      <c r="C11" s="54">
        <v>120000</v>
      </c>
      <c r="E11" s="26"/>
      <c r="F11" s="32"/>
      <c r="M11" s="45"/>
      <c r="N11" s="22"/>
    </row>
    <row r="12" spans="1:14" x14ac:dyDescent="0.25">
      <c r="B12" s="26" t="s">
        <v>5</v>
      </c>
      <c r="C12" s="54">
        <v>5000000</v>
      </c>
      <c r="E12" s="26" t="s">
        <v>19</v>
      </c>
      <c r="F12" s="47">
        <f>ROUND(12*(userIncome-userMonthlyExpenses),0)</f>
        <v>1200000</v>
      </c>
      <c r="M12" s="45"/>
      <c r="N12" s="20"/>
    </row>
    <row r="13" spans="1:14" x14ac:dyDescent="0.25">
      <c r="B13" s="26" t="s">
        <v>83</v>
      </c>
      <c r="C13" s="54">
        <v>0</v>
      </c>
      <c r="E13" s="26" t="s">
        <v>34</v>
      </c>
      <c r="F13" s="48">
        <f>$C$16-SUM($C$17:$C$19)</f>
        <v>0.1</v>
      </c>
    </row>
    <row r="14" spans="1:14" ht="15.75" thickBot="1" x14ac:dyDescent="0.3">
      <c r="B14" s="31"/>
      <c r="C14" s="86"/>
      <c r="E14" s="26" t="s">
        <v>73</v>
      </c>
      <c r="F14" s="48">
        <f>$C$24-SUM($C$25:$C$27)</f>
        <v>7.9999999999999988E-2</v>
      </c>
      <c r="M14" s="45"/>
      <c r="N14" s="23"/>
    </row>
    <row r="15" spans="1:14" x14ac:dyDescent="0.25">
      <c r="B15" s="38" t="s">
        <v>80</v>
      </c>
      <c r="C15" s="55"/>
      <c r="E15" s="26"/>
      <c r="F15" s="32"/>
      <c r="M15" s="45"/>
      <c r="N15" s="23"/>
    </row>
    <row r="16" spans="1:14" x14ac:dyDescent="0.25">
      <c r="B16" s="26" t="s">
        <v>74</v>
      </c>
      <c r="C16" s="82">
        <v>0.1</v>
      </c>
      <c r="E16" s="26" t="s">
        <v>98</v>
      </c>
      <c r="F16" s="47">
        <f ca="1">ROUND(FV($C$25, userRetirementAge-userAge, 0, -annualAmountSWP, 1), 0)</f>
        <v>1373880</v>
      </c>
      <c r="M16" s="45"/>
      <c r="N16" s="23"/>
    </row>
    <row r="17" spans="1:14" x14ac:dyDescent="0.25">
      <c r="B17" s="26" t="s">
        <v>37</v>
      </c>
      <c r="C17" s="82">
        <v>0</v>
      </c>
      <c r="E17" s="26"/>
      <c r="F17" s="32"/>
      <c r="M17" s="45"/>
      <c r="N17" s="23"/>
    </row>
    <row r="18" spans="1:14" x14ac:dyDescent="0.25">
      <c r="B18" s="26" t="s">
        <v>38</v>
      </c>
      <c r="C18" s="82">
        <v>0</v>
      </c>
      <c r="E18" s="26"/>
      <c r="F18" s="32"/>
      <c r="M18" s="45"/>
      <c r="N18" s="23"/>
    </row>
    <row r="19" spans="1:14" x14ac:dyDescent="0.25">
      <c r="B19" s="26" t="s">
        <v>39</v>
      </c>
      <c r="C19" s="82">
        <v>0</v>
      </c>
      <c r="E19" s="26"/>
      <c r="F19" s="32"/>
    </row>
    <row r="20" spans="1:14" x14ac:dyDescent="0.25">
      <c r="B20" s="26"/>
      <c r="C20" s="55"/>
      <c r="E20" s="26"/>
      <c r="F20" s="32"/>
    </row>
    <row r="21" spans="1:14" x14ac:dyDescent="0.25">
      <c r="B21" s="26" t="s">
        <v>72</v>
      </c>
      <c r="C21" s="82">
        <v>0.05</v>
      </c>
      <c r="E21" s="26"/>
      <c r="F21" s="32"/>
    </row>
    <row r="22" spans="1:14" ht="15.75" thickBot="1" x14ac:dyDescent="0.3">
      <c r="B22" s="31"/>
      <c r="C22" s="86"/>
      <c r="E22" s="26"/>
      <c r="F22" s="32"/>
    </row>
    <row r="23" spans="1:14" x14ac:dyDescent="0.25">
      <c r="B23" s="38" t="s">
        <v>81</v>
      </c>
      <c r="C23" s="55"/>
      <c r="D23" s="4"/>
      <c r="E23" s="26"/>
      <c r="F23" s="32"/>
    </row>
    <row r="24" spans="1:14" ht="15.75" thickBot="1" x14ac:dyDescent="0.3">
      <c r="A24" s="4"/>
      <c r="B24" s="26" t="s">
        <v>71</v>
      </c>
      <c r="C24" s="82">
        <v>0.15</v>
      </c>
      <c r="E24" s="31"/>
      <c r="F24" s="49"/>
    </row>
    <row r="25" spans="1:14" x14ac:dyDescent="0.25">
      <c r="A25" s="4"/>
      <c r="B25" s="26" t="s">
        <v>75</v>
      </c>
      <c r="C25" s="82">
        <v>7.0000000000000007E-2</v>
      </c>
    </row>
    <row r="26" spans="1:14" x14ac:dyDescent="0.25">
      <c r="A26" s="4"/>
      <c r="B26" s="26" t="s">
        <v>76</v>
      </c>
      <c r="C26" s="82">
        <v>0</v>
      </c>
      <c r="M26" s="45"/>
      <c r="N26" s="50"/>
    </row>
    <row r="27" spans="1:14" x14ac:dyDescent="0.25">
      <c r="A27" s="4"/>
      <c r="B27" s="26" t="s">
        <v>39</v>
      </c>
      <c r="C27" s="82">
        <v>0</v>
      </c>
      <c r="M27" s="45"/>
      <c r="N27" s="51"/>
    </row>
    <row r="28" spans="1:14" x14ac:dyDescent="0.25">
      <c r="A28" s="4"/>
      <c r="B28" s="26"/>
      <c r="C28" s="55"/>
      <c r="M28" s="45"/>
      <c r="N28" s="23"/>
    </row>
    <row r="29" spans="1:14" x14ac:dyDescent="0.25">
      <c r="A29" s="4"/>
      <c r="B29" s="26" t="s">
        <v>78</v>
      </c>
      <c r="C29" s="54">
        <v>1200000</v>
      </c>
      <c r="M29" s="45"/>
      <c r="N29" s="24"/>
    </row>
    <row r="30" spans="1:14" x14ac:dyDescent="0.25">
      <c r="A30" s="4"/>
      <c r="B30" s="26" t="s">
        <v>79</v>
      </c>
      <c r="C30" s="82">
        <v>0.01</v>
      </c>
    </row>
    <row r="31" spans="1:14" ht="15.75" thickBot="1" x14ac:dyDescent="0.3">
      <c r="A31" s="4"/>
      <c r="B31" s="31"/>
      <c r="C31" s="86"/>
    </row>
    <row r="32" spans="1:14" x14ac:dyDescent="0.25">
      <c r="A32" s="4"/>
      <c r="B32" s="38" t="s">
        <v>82</v>
      </c>
      <c r="C32" s="55"/>
    </row>
    <row r="33" spans="2:3" x14ac:dyDescent="0.25">
      <c r="B33" s="26" t="s">
        <v>55</v>
      </c>
      <c r="C33" s="56">
        <v>58</v>
      </c>
    </row>
    <row r="34" spans="2:3" ht="15.75" thickBot="1" x14ac:dyDescent="0.3">
      <c r="B34" s="31" t="s">
        <v>48</v>
      </c>
      <c r="C34" s="57">
        <v>80</v>
      </c>
    </row>
    <row r="35" spans="2:3" x14ac:dyDescent="0.25">
      <c r="B35" s="83" t="s">
        <v>91</v>
      </c>
      <c r="C35" s="84"/>
    </row>
    <row r="36" spans="2:3" x14ac:dyDescent="0.25">
      <c r="B36" s="26" t="s">
        <v>92</v>
      </c>
      <c r="C36" s="54">
        <v>700000</v>
      </c>
    </row>
    <row r="37" spans="2:3" x14ac:dyDescent="0.25">
      <c r="B37" s="26" t="s">
        <v>90</v>
      </c>
      <c r="C37" s="54">
        <v>125000</v>
      </c>
    </row>
    <row r="38" spans="2:3" ht="15.75" thickBot="1" x14ac:dyDescent="0.3">
      <c r="B38" s="31" t="s">
        <v>89</v>
      </c>
      <c r="C38" s="85">
        <v>0.125</v>
      </c>
    </row>
  </sheetData>
  <sheetProtection formatCells="0" formatColumns="0" formatRows="0"/>
  <mergeCells count="2">
    <mergeCell ref="B7:C7"/>
    <mergeCell ref="E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4F3A-47F6-484C-B4AE-23BD1F0218A0}">
  <sheetPr codeName="Sheet5"/>
  <dimension ref="A1:N45"/>
  <sheetViews>
    <sheetView zoomScale="94" zoomScaleNormal="49" workbookViewId="0">
      <selection activeCell="H17" sqref="H17"/>
    </sheetView>
  </sheetViews>
  <sheetFormatPr defaultColWidth="10.7109375" defaultRowHeight="15" x14ac:dyDescent="0.25"/>
  <cols>
    <col min="1" max="1" width="23.140625" bestFit="1" customWidth="1"/>
    <col min="2" max="2" width="8.5703125" bestFit="1" customWidth="1"/>
    <col min="4" max="4" width="11.7109375" bestFit="1" customWidth="1"/>
    <col min="5" max="5" width="8.5703125" bestFit="1" customWidth="1"/>
    <col min="9" max="9" width="63" bestFit="1" customWidth="1"/>
    <col min="12" max="12" width="10.85546875" bestFit="1" customWidth="1"/>
    <col min="13" max="13" width="8.5703125" bestFit="1" customWidth="1"/>
    <col min="14" max="14" width="7.42578125" bestFit="1" customWidth="1"/>
  </cols>
  <sheetData>
    <row r="1" spans="1:14" x14ac:dyDescent="0.25">
      <c r="I1" s="58" t="str">
        <f>CONCATENATE("*Make sure total expense doesn't exceed monthly income of ", userMonthlyIncome )</f>
        <v>*Make sure total expense doesn't exceed monthly income of 120000</v>
      </c>
      <c r="L1" s="75" t="s">
        <v>62</v>
      </c>
      <c r="M1" s="75"/>
      <c r="N1" s="75"/>
    </row>
    <row r="2" spans="1:14" ht="15.75" thickBot="1" x14ac:dyDescent="0.3">
      <c r="L2" s="59"/>
      <c r="M2" s="59"/>
      <c r="N2" s="59"/>
    </row>
    <row r="3" spans="1:14" ht="15.75" thickBot="1" x14ac:dyDescent="0.3">
      <c r="A3" s="60" t="s">
        <v>46</v>
      </c>
      <c r="B3" s="61">
        <f>SUM(E4:E45)</f>
        <v>20000</v>
      </c>
      <c r="D3" s="39" t="s">
        <v>40</v>
      </c>
      <c r="E3" s="62" t="s">
        <v>14</v>
      </c>
      <c r="L3" s="59" t="s">
        <v>63</v>
      </c>
      <c r="M3" s="72">
        <v>12000</v>
      </c>
      <c r="N3" s="61">
        <f>ROUND(M3/12, 0)</f>
        <v>1000</v>
      </c>
    </row>
    <row r="4" spans="1:14" x14ac:dyDescent="0.25">
      <c r="D4" s="11" t="s">
        <v>41</v>
      </c>
      <c r="E4" s="13">
        <v>10000</v>
      </c>
      <c r="L4" s="59" t="s">
        <v>64</v>
      </c>
      <c r="M4" s="72">
        <v>6000</v>
      </c>
      <c r="N4" s="61">
        <f>ROUND(M4/6, 0)</f>
        <v>1000</v>
      </c>
    </row>
    <row r="5" spans="1:14" x14ac:dyDescent="0.25">
      <c r="D5" s="11" t="s">
        <v>42</v>
      </c>
      <c r="E5" s="13">
        <v>3000</v>
      </c>
      <c r="L5" s="59" t="s">
        <v>65</v>
      </c>
      <c r="M5" s="72">
        <v>3000</v>
      </c>
      <c r="N5" s="61">
        <f>ROUND(M5/3, 0)</f>
        <v>1000</v>
      </c>
    </row>
    <row r="6" spans="1:14" x14ac:dyDescent="0.25">
      <c r="D6" s="11" t="s">
        <v>43</v>
      </c>
      <c r="E6" s="13">
        <v>3000</v>
      </c>
      <c r="L6" s="59" t="s">
        <v>68</v>
      </c>
      <c r="M6" s="72">
        <v>2000</v>
      </c>
      <c r="N6" s="61">
        <f>ROUND(M6/2, 0)</f>
        <v>1000</v>
      </c>
    </row>
    <row r="7" spans="1:14" x14ac:dyDescent="0.25">
      <c r="D7" s="11" t="s">
        <v>44</v>
      </c>
      <c r="E7" s="13">
        <v>2000</v>
      </c>
      <c r="L7" s="59" t="s">
        <v>66</v>
      </c>
      <c r="M7" s="72">
        <v>250</v>
      </c>
      <c r="N7" s="61">
        <f>ROUND(M7*4, 0)</f>
        <v>1000</v>
      </c>
    </row>
    <row r="8" spans="1:14" x14ac:dyDescent="0.25">
      <c r="D8" s="11" t="s">
        <v>45</v>
      </c>
      <c r="E8" s="13">
        <v>1000</v>
      </c>
      <c r="L8" s="59" t="s">
        <v>67</v>
      </c>
      <c r="M8" s="72">
        <v>100</v>
      </c>
      <c r="N8" s="61">
        <f>ROUND(M8*30, 0)</f>
        <v>3000</v>
      </c>
    </row>
    <row r="9" spans="1:14" x14ac:dyDescent="0.25">
      <c r="D9" s="11" t="s">
        <v>47</v>
      </c>
      <c r="E9" s="13">
        <v>1000</v>
      </c>
    </row>
    <row r="10" spans="1:14" x14ac:dyDescent="0.25">
      <c r="D10" s="11"/>
      <c r="E10" s="13"/>
    </row>
    <row r="11" spans="1:14" x14ac:dyDescent="0.25">
      <c r="D11" s="11"/>
      <c r="E11" s="13"/>
    </row>
    <row r="12" spans="1:14" x14ac:dyDescent="0.25">
      <c r="D12" s="11"/>
      <c r="E12" s="13"/>
    </row>
    <row r="13" spans="1:14" x14ac:dyDescent="0.25">
      <c r="D13" s="11"/>
      <c r="E13" s="13"/>
    </row>
    <row r="14" spans="1:14" x14ac:dyDescent="0.25">
      <c r="D14" s="11"/>
      <c r="E14" s="13"/>
    </row>
    <row r="15" spans="1:14" x14ac:dyDescent="0.25">
      <c r="D15" s="11"/>
      <c r="E15" s="13"/>
    </row>
    <row r="16" spans="1:14" x14ac:dyDescent="0.25">
      <c r="D16" s="11"/>
      <c r="E16" s="13"/>
    </row>
    <row r="17" spans="4:5" x14ac:dyDescent="0.25">
      <c r="D17" s="11"/>
      <c r="E17" s="13"/>
    </row>
    <row r="18" spans="4:5" x14ac:dyDescent="0.25">
      <c r="D18" s="11"/>
      <c r="E18" s="13"/>
    </row>
    <row r="19" spans="4:5" x14ac:dyDescent="0.25">
      <c r="D19" s="11"/>
      <c r="E19" s="13"/>
    </row>
    <row r="20" spans="4:5" x14ac:dyDescent="0.25">
      <c r="D20" s="11"/>
      <c r="E20" s="13"/>
    </row>
    <row r="21" spans="4:5" x14ac:dyDescent="0.25">
      <c r="D21" s="11"/>
      <c r="E21" s="13"/>
    </row>
    <row r="22" spans="4:5" x14ac:dyDescent="0.25">
      <c r="D22" s="11"/>
      <c r="E22" s="13"/>
    </row>
    <row r="23" spans="4:5" x14ac:dyDescent="0.25">
      <c r="D23" s="11"/>
      <c r="E23" s="13"/>
    </row>
    <row r="24" spans="4:5" x14ac:dyDescent="0.25">
      <c r="D24" s="11"/>
      <c r="E24" s="13"/>
    </row>
    <row r="25" spans="4:5" x14ac:dyDescent="0.25">
      <c r="D25" s="11"/>
      <c r="E25" s="13"/>
    </row>
    <row r="26" spans="4:5" x14ac:dyDescent="0.25">
      <c r="D26" s="11"/>
      <c r="E26" s="13"/>
    </row>
    <row r="27" spans="4:5" x14ac:dyDescent="0.25">
      <c r="D27" s="11"/>
      <c r="E27" s="13"/>
    </row>
    <row r="28" spans="4:5" x14ac:dyDescent="0.25">
      <c r="D28" s="11"/>
      <c r="E28" s="13"/>
    </row>
    <row r="29" spans="4:5" x14ac:dyDescent="0.25">
      <c r="D29" s="11"/>
      <c r="E29" s="13"/>
    </row>
    <row r="30" spans="4:5" x14ac:dyDescent="0.25">
      <c r="D30" s="11"/>
      <c r="E30" s="13"/>
    </row>
    <row r="31" spans="4:5" x14ac:dyDescent="0.25">
      <c r="D31" s="11"/>
      <c r="E31" s="13"/>
    </row>
    <row r="32" spans="4:5" x14ac:dyDescent="0.25">
      <c r="D32" s="11"/>
      <c r="E32" s="13"/>
    </row>
    <row r="33" spans="4:5" x14ac:dyDescent="0.25">
      <c r="D33" s="11"/>
      <c r="E33" s="13"/>
    </row>
    <row r="34" spans="4:5" x14ac:dyDescent="0.25">
      <c r="D34" s="11"/>
      <c r="E34" s="13"/>
    </row>
    <row r="35" spans="4:5" x14ac:dyDescent="0.25">
      <c r="D35" s="11"/>
      <c r="E35" s="13"/>
    </row>
    <row r="36" spans="4:5" x14ac:dyDescent="0.25">
      <c r="D36" s="11"/>
      <c r="E36" s="13"/>
    </row>
    <row r="37" spans="4:5" x14ac:dyDescent="0.25">
      <c r="D37" s="11"/>
      <c r="E37" s="13"/>
    </row>
    <row r="38" spans="4:5" x14ac:dyDescent="0.25">
      <c r="D38" s="11"/>
      <c r="E38" s="13"/>
    </row>
    <row r="39" spans="4:5" x14ac:dyDescent="0.25">
      <c r="D39" s="11"/>
      <c r="E39" s="13"/>
    </row>
    <row r="40" spans="4:5" x14ac:dyDescent="0.25">
      <c r="D40" s="11"/>
      <c r="E40" s="13"/>
    </row>
    <row r="41" spans="4:5" x14ac:dyDescent="0.25">
      <c r="D41" s="11"/>
      <c r="E41" s="13"/>
    </row>
    <row r="42" spans="4:5" x14ac:dyDescent="0.25">
      <c r="D42" s="11"/>
      <c r="E42" s="13"/>
    </row>
    <row r="43" spans="4:5" x14ac:dyDescent="0.25">
      <c r="D43" s="11"/>
      <c r="E43" s="13"/>
    </row>
    <row r="44" spans="4:5" x14ac:dyDescent="0.25">
      <c r="D44" s="11"/>
      <c r="E44" s="13"/>
    </row>
    <row r="45" spans="4:5" ht="15.75" thickBot="1" x14ac:dyDescent="0.3">
      <c r="D45" s="66"/>
      <c r="E45" s="25"/>
    </row>
  </sheetData>
  <sheetProtection algorithmName="SHA-512" hashValue="Qf+7FVYqiwdM2l7fmiUsRjU3fKuU3lgfSrEW4QcMfr7PfZvqImK9aI62flSH1w/W+zDioQyK1/huD+6NYMUD6g==" saltValue="0y6OmB+b1+nwE7LvqpcxQQ==" spinCount="100000" sheet="1" formatCells="0" formatColumns="0" formatRows="0"/>
  <mergeCells count="1"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7F13-BEBA-471D-9757-82C79F542480}">
  <sheetPr codeName="Sheet3"/>
  <dimension ref="A1:I106"/>
  <sheetViews>
    <sheetView workbookViewId="0">
      <selection activeCell="C10" sqref="C10"/>
    </sheetView>
  </sheetViews>
  <sheetFormatPr defaultColWidth="25.7109375" defaultRowHeight="15" x14ac:dyDescent="0.25"/>
  <cols>
    <col min="1" max="1" width="19.85546875" bestFit="1" customWidth="1"/>
    <col min="2" max="2" width="14.7109375" customWidth="1"/>
    <col min="4" max="4" width="18" bestFit="1" customWidth="1"/>
    <col min="5" max="5" width="4.42578125" bestFit="1" customWidth="1"/>
    <col min="6" max="6" width="13.140625" bestFit="1" customWidth="1"/>
    <col min="7" max="7" width="15.42578125" bestFit="1" customWidth="1"/>
    <col min="8" max="8" width="22.28515625" bestFit="1" customWidth="1"/>
    <col min="9" max="9" width="66.28515625" bestFit="1" customWidth="1"/>
  </cols>
  <sheetData>
    <row r="1" spans="1:9" x14ac:dyDescent="0.25">
      <c r="I1" s="58" t="s">
        <v>49</v>
      </c>
    </row>
    <row r="2" spans="1:9" ht="15.75" thickBot="1" x14ac:dyDescent="0.3">
      <c r="I2" s="58" t="s">
        <v>97</v>
      </c>
    </row>
    <row r="3" spans="1:9" ht="15.75" thickBot="1" x14ac:dyDescent="0.3">
      <c r="A3" s="60" t="s">
        <v>50</v>
      </c>
      <c r="B3" s="61">
        <f>SUMIF($F$4:$F$106, "&gt;=0")</f>
        <v>7100000</v>
      </c>
      <c r="D3" s="39" t="s">
        <v>10</v>
      </c>
      <c r="E3" s="62" t="s">
        <v>1</v>
      </c>
      <c r="F3" s="62" t="s">
        <v>94</v>
      </c>
      <c r="G3" s="62" t="s">
        <v>95</v>
      </c>
      <c r="H3" s="62" t="s">
        <v>96</v>
      </c>
    </row>
    <row r="4" spans="1:9" x14ac:dyDescent="0.25">
      <c r="A4" s="60" t="s">
        <v>51</v>
      </c>
      <c r="B4" s="61">
        <f>-SUMIF($F$4:$F$106, "&lt;0")</f>
        <v>12100000</v>
      </c>
      <c r="D4" s="11" t="s">
        <v>7</v>
      </c>
      <c r="E4" s="12"/>
      <c r="F4" s="13"/>
      <c r="G4" s="76">
        <v>0</v>
      </c>
      <c r="H4" s="77">
        <f>IF(AND($G4 &gt; 0, $E4 &gt; 0), CEILING(FV($G4, $E4-userAge, 0, -$F4, 1), 1000), $F4)</f>
        <v>0</v>
      </c>
    </row>
    <row r="5" spans="1:9" x14ac:dyDescent="0.25">
      <c r="D5" s="11" t="s">
        <v>26</v>
      </c>
      <c r="E5" s="12"/>
      <c r="F5" s="13"/>
      <c r="G5" s="76">
        <v>0.1</v>
      </c>
      <c r="H5" s="77">
        <f>IF(AND($G5 &gt; 0, $E5 &gt; 0), CEILING(FV($G5, $E5-userAge, 0, -$F5, 1), 1000), $F5)</f>
        <v>0</v>
      </c>
    </row>
    <row r="6" spans="1:9" x14ac:dyDescent="0.25">
      <c r="D6" s="11" t="s">
        <v>27</v>
      </c>
      <c r="E6" s="12"/>
      <c r="F6" s="13"/>
      <c r="G6" s="76">
        <v>0</v>
      </c>
      <c r="H6" s="77">
        <f>IF(AND($G6 &gt; 0, $E6 &gt; 0), CEILING(FV($G6, $E6-userAge, 0, -$F6, 1), 1000), $F6)</f>
        <v>0</v>
      </c>
    </row>
    <row r="7" spans="1:9" x14ac:dyDescent="0.25">
      <c r="D7" s="11" t="s">
        <v>8</v>
      </c>
      <c r="E7" s="12">
        <v>35</v>
      </c>
      <c r="F7" s="13">
        <v>1000000</v>
      </c>
      <c r="G7" s="76">
        <v>0.05</v>
      </c>
      <c r="H7" s="77">
        <f ca="1">IF(AND($G7 &gt; 0, $E7 &gt; 0), CEILING(FV($G7, $E7-userAge, 0, -$F7, 1), 1000), $F7)</f>
        <v>359000</v>
      </c>
    </row>
    <row r="8" spans="1:9" x14ac:dyDescent="0.25">
      <c r="D8" s="11" t="s">
        <v>28</v>
      </c>
      <c r="E8" s="12">
        <v>34</v>
      </c>
      <c r="F8" s="13">
        <v>100000</v>
      </c>
      <c r="G8" s="76">
        <v>0</v>
      </c>
      <c r="H8" s="77">
        <f>IF(AND($G8 &gt; 0, $E8 &gt; 0), CEILING(FV($G8, $E8-userAge, 0, -$F8, 1), 1000), $F8)</f>
        <v>100000</v>
      </c>
    </row>
    <row r="9" spans="1:9" x14ac:dyDescent="0.25">
      <c r="D9" s="11" t="s">
        <v>29</v>
      </c>
      <c r="E9" s="12">
        <v>33</v>
      </c>
      <c r="F9" s="13">
        <v>500000</v>
      </c>
      <c r="G9" s="76">
        <v>0</v>
      </c>
      <c r="H9" s="77">
        <f>IF(AND($G9 &gt; 0, $E9 &gt; 0), CEILING(FV($G9, $E9-userAge, 0, -$F9, 1), 1000), $F9)</f>
        <v>500000</v>
      </c>
    </row>
    <row r="10" spans="1:9" x14ac:dyDescent="0.25">
      <c r="D10" s="11" t="s">
        <v>6</v>
      </c>
      <c r="E10" s="12"/>
      <c r="F10" s="13"/>
      <c r="G10" s="76">
        <v>0</v>
      </c>
      <c r="H10" s="77">
        <f>IF(AND($G10 &gt; 0, $E10 &gt; 0), CEILING(FV($G10, $E10-userAge, 0, -$F10, 1), 1000), $F10)</f>
        <v>0</v>
      </c>
    </row>
    <row r="11" spans="1:9" x14ac:dyDescent="0.25">
      <c r="D11" s="11" t="s">
        <v>9</v>
      </c>
      <c r="E11" s="12">
        <v>40</v>
      </c>
      <c r="F11" s="13">
        <v>5000000</v>
      </c>
      <c r="G11" s="76">
        <v>0.05</v>
      </c>
      <c r="H11" s="77">
        <f ca="1">IF(AND($G11 &gt; 0, $E11 &gt; 0), CEILING(FV($G11, $E11-userAge, 0, -$F11, 1), 1000), $F11)</f>
        <v>2291000</v>
      </c>
    </row>
    <row r="12" spans="1:9" x14ac:dyDescent="0.25">
      <c r="D12" s="11" t="s">
        <v>24</v>
      </c>
      <c r="E12" s="12">
        <v>37</v>
      </c>
      <c r="F12" s="13">
        <v>500000</v>
      </c>
      <c r="G12" s="76">
        <v>0</v>
      </c>
      <c r="H12" s="77">
        <f>IF(AND($G12 &gt; 0, $E12 &gt; 0), CEILING(FV($G12, $E12-userAge, 0, -$F12, 1), 1000), $F12)</f>
        <v>500000</v>
      </c>
    </row>
    <row r="13" spans="1:9" x14ac:dyDescent="0.25">
      <c r="D13" s="11" t="s">
        <v>23</v>
      </c>
      <c r="E13" s="12"/>
      <c r="F13" s="13"/>
      <c r="G13" s="76">
        <v>0</v>
      </c>
      <c r="H13" s="77">
        <f>IF(AND($G13 &gt; 0, $E13 &gt; 0), CEILING(FV($G13, $E13-userAge, 0, -$F13, 1), 1000), $F13)</f>
        <v>0</v>
      </c>
    </row>
    <row r="14" spans="1:9" x14ac:dyDescent="0.25">
      <c r="D14" s="11" t="s">
        <v>30</v>
      </c>
      <c r="E14" s="12"/>
      <c r="F14" s="13"/>
      <c r="G14" s="76">
        <v>0</v>
      </c>
      <c r="H14" s="77">
        <f>IF(AND($G14 &gt; 0, $E14 &gt; 0), CEILING(FV($G14, $E14-userAge, 0, -$F14, 1), 1000), $F14)</f>
        <v>0</v>
      </c>
    </row>
    <row r="15" spans="1:9" x14ac:dyDescent="0.25">
      <c r="D15" s="11" t="s">
        <v>31</v>
      </c>
      <c r="E15" s="12"/>
      <c r="F15" s="13"/>
      <c r="G15" s="76">
        <v>0</v>
      </c>
      <c r="H15" s="77">
        <f>IF(AND($G15 &gt; 0, $E15 &gt; 0), CEILING(FV($G15, $E15-userAge, 0, -$F15, 1), 1000), $F15)</f>
        <v>0</v>
      </c>
    </row>
    <row r="16" spans="1:9" x14ac:dyDescent="0.25">
      <c r="D16" s="11" t="s">
        <v>32</v>
      </c>
      <c r="E16" s="12"/>
      <c r="F16" s="13"/>
      <c r="G16" s="76">
        <v>0</v>
      </c>
      <c r="H16" s="77">
        <f>IF(AND($G16 &gt; 0, $E16 &gt; 0), CEILING(FV($G16, $E16-userAge, 0, -$F16, 1), 1000), $F16)</f>
        <v>0</v>
      </c>
    </row>
    <row r="17" spans="4:8" x14ac:dyDescent="0.25">
      <c r="D17" s="11" t="s">
        <v>20</v>
      </c>
      <c r="E17" s="12"/>
      <c r="F17" s="13"/>
      <c r="G17" s="76">
        <v>0</v>
      </c>
      <c r="H17" s="77">
        <f>IF(AND($G17 &gt; 0, $E17 &gt; 0), CEILING(FV($G17, $E17-userAge, 0, -$F17, 1), 1000), $F17)</f>
        <v>0</v>
      </c>
    </row>
    <row r="18" spans="4:8" x14ac:dyDescent="0.25">
      <c r="D18" s="11" t="s">
        <v>21</v>
      </c>
      <c r="E18" s="12"/>
      <c r="F18" s="13"/>
      <c r="G18" s="76">
        <v>0</v>
      </c>
      <c r="H18" s="77">
        <f>IF(AND($G18 &gt; 0, $E18 &gt; 0), CEILING(FV($G18, $E18-userAge, 0, -$F18, 1), 1000), $F18)</f>
        <v>0</v>
      </c>
    </row>
    <row r="19" spans="4:8" x14ac:dyDescent="0.25">
      <c r="D19" s="11" t="s">
        <v>22</v>
      </c>
      <c r="E19" s="12"/>
      <c r="F19" s="13"/>
      <c r="G19" s="76">
        <v>0</v>
      </c>
      <c r="H19" s="77">
        <f>IF(AND($G19 &gt; 0, $E19 &gt; 0), CEILING(FV($G19, $E19-userAge, 0, -$F19, 1), 1000), $F19)</f>
        <v>0</v>
      </c>
    </row>
    <row r="20" spans="4:8" x14ac:dyDescent="0.25">
      <c r="D20" s="11"/>
      <c r="E20" s="12"/>
      <c r="F20" s="13"/>
      <c r="G20" s="76">
        <v>0</v>
      </c>
      <c r="H20" s="77">
        <f>IF(AND($G20 &gt; 0, $E20 &gt; 0), CEILING(FV($G20, $E20-userAge, 0, -$F20, 1), 1000), $F20)</f>
        <v>0</v>
      </c>
    </row>
    <row r="21" spans="4:8" x14ac:dyDescent="0.25">
      <c r="D21" s="11"/>
      <c r="E21" s="12"/>
      <c r="F21" s="13"/>
      <c r="G21" s="76">
        <v>0</v>
      </c>
      <c r="H21" s="77">
        <f>IF(AND($G21 &gt; 0, $E21 &gt; 0), CEILING(FV($G21, $E21-userAge, 0, -$F21, 1), 1000), $F21)</f>
        <v>0</v>
      </c>
    </row>
    <row r="22" spans="4:8" x14ac:dyDescent="0.25">
      <c r="D22" s="11"/>
      <c r="E22" s="12"/>
      <c r="F22" s="13"/>
      <c r="G22" s="76">
        <v>0</v>
      </c>
      <c r="H22" s="77">
        <f>IF(AND($G22 &gt; 0, $E22 &gt; 0), CEILING(FV($G22, $E22-userAge, 0, -$F22, 1), 1000), $F22)</f>
        <v>0</v>
      </c>
    </row>
    <row r="23" spans="4:8" x14ac:dyDescent="0.25">
      <c r="D23" s="11"/>
      <c r="E23" s="12"/>
      <c r="F23" s="13"/>
      <c r="G23" s="76">
        <v>0</v>
      </c>
      <c r="H23" s="77">
        <f>IF(AND($G23 &gt; 0, $E23 &gt; 0), CEILING(FV($G23, $E23-userAge, 0, -$F23, 1), 1000), $F23)</f>
        <v>0</v>
      </c>
    </row>
    <row r="24" spans="4:8" x14ac:dyDescent="0.25">
      <c r="D24" s="11"/>
      <c r="E24" s="12"/>
      <c r="F24" s="13"/>
      <c r="G24" s="76">
        <v>0</v>
      </c>
      <c r="H24" s="77">
        <f>IF(AND($G24 &gt; 0, $E24 &gt; 0), CEILING(FV($G24, $E24-userAge, 0, -$F24, 1), 1000), $F24)</f>
        <v>0</v>
      </c>
    </row>
    <row r="25" spans="4:8" x14ac:dyDescent="0.25">
      <c r="D25" s="11"/>
      <c r="E25" s="12"/>
      <c r="F25" s="13"/>
      <c r="G25" s="76">
        <v>0</v>
      </c>
      <c r="H25" s="77">
        <f>IF(AND($G25 &gt; 0, $E25 &gt; 0), CEILING(FV($G25, $E25-userAge, 0, -$F25, 1), 1000), $F25)</f>
        <v>0</v>
      </c>
    </row>
    <row r="26" spans="4:8" x14ac:dyDescent="0.25">
      <c r="D26" s="11"/>
      <c r="E26" s="12"/>
      <c r="F26" s="13"/>
      <c r="G26" s="76">
        <v>0</v>
      </c>
      <c r="H26" s="77">
        <f>IF(AND($G26 &gt; 0, $E26 &gt; 0), CEILING(FV($G26, $E26-userAge, 0, -$F26, 1), 1000), $F26)</f>
        <v>0</v>
      </c>
    </row>
    <row r="27" spans="4:8" x14ac:dyDescent="0.25">
      <c r="D27" s="11"/>
      <c r="E27" s="12"/>
      <c r="F27" s="13"/>
      <c r="G27" s="76">
        <v>0</v>
      </c>
      <c r="H27" s="77">
        <f>IF(AND($G27 &gt; 0, $E27 &gt; 0), CEILING(FV($G27, $E27-userAge, 0, -$F27, 1), 1000), $F27)</f>
        <v>0</v>
      </c>
    </row>
    <row r="28" spans="4:8" x14ac:dyDescent="0.25">
      <c r="D28" s="11"/>
      <c r="E28" s="12"/>
      <c r="F28" s="13"/>
      <c r="G28" s="76">
        <v>0</v>
      </c>
      <c r="H28" s="77">
        <f>IF(AND($G28 &gt; 0, $E28 &gt; 0), CEILING(FV($G28, $E28-userAge, 0, -$F28, 1), 1000), $F28)</f>
        <v>0</v>
      </c>
    </row>
    <row r="29" spans="4:8" x14ac:dyDescent="0.25">
      <c r="D29" s="11"/>
      <c r="E29" s="12"/>
      <c r="F29" s="13"/>
      <c r="G29" s="76">
        <v>0</v>
      </c>
      <c r="H29" s="77">
        <f>IF(AND($G29 &gt; 0, $E29 &gt; 0), CEILING(FV($G29, $E29-userAge, 0, -$F29, 1), 1000), $F29)</f>
        <v>0</v>
      </c>
    </row>
    <row r="30" spans="4:8" x14ac:dyDescent="0.25">
      <c r="D30" s="11"/>
      <c r="E30" s="12"/>
      <c r="F30" s="13"/>
      <c r="G30" s="76">
        <v>0</v>
      </c>
      <c r="H30" s="77">
        <f>IF(AND($G30 &gt; 0, $E30 &gt; 0), CEILING(FV($G30, $E30-userAge, 0, -$F30, 1), 1000), $F30)</f>
        <v>0</v>
      </c>
    </row>
    <row r="31" spans="4:8" x14ac:dyDescent="0.25">
      <c r="D31" s="11"/>
      <c r="E31" s="12"/>
      <c r="F31" s="13"/>
      <c r="G31" s="76">
        <v>0</v>
      </c>
      <c r="H31" s="77">
        <f>IF(AND($G31 &gt; 0, $E31 &gt; 0), CEILING(FV($G31, $E31-userAge, 0, -$F31, 1), 1000), $F31)</f>
        <v>0</v>
      </c>
    </row>
    <row r="32" spans="4:8" x14ac:dyDescent="0.25">
      <c r="D32" s="11"/>
      <c r="E32" s="12"/>
      <c r="F32" s="13"/>
      <c r="G32" s="76">
        <v>0</v>
      </c>
      <c r="H32" s="77">
        <f>IF(AND($G32 &gt; 0, $E32 &gt; 0), CEILING(FV($G32, $E32-userAge, 0, -$F32, 1), 1000), $F32)</f>
        <v>0</v>
      </c>
    </row>
    <row r="33" spans="4:8" x14ac:dyDescent="0.25">
      <c r="D33" s="11"/>
      <c r="E33" s="12"/>
      <c r="F33" s="13"/>
      <c r="G33" s="76">
        <v>0</v>
      </c>
      <c r="H33" s="77">
        <f>IF(AND($G33 &gt; 0, $E33 &gt; 0), CEILING(FV($G33, $E33-userAge, 0, -$F33, 1), 1000), $F33)</f>
        <v>0</v>
      </c>
    </row>
    <row r="34" spans="4:8" x14ac:dyDescent="0.25">
      <c r="D34" s="11"/>
      <c r="E34" s="12"/>
      <c r="F34" s="13"/>
      <c r="G34" s="76">
        <v>0</v>
      </c>
      <c r="H34" s="77">
        <f>IF(AND($G34 &gt; 0, $E34 &gt; 0), CEILING(FV($G34, $E34-userAge, 0, -$F34, 1), 1000), $F34)</f>
        <v>0</v>
      </c>
    </row>
    <row r="35" spans="4:8" x14ac:dyDescent="0.25">
      <c r="D35" s="11"/>
      <c r="E35" s="12"/>
      <c r="F35" s="13"/>
      <c r="G35" s="76">
        <v>0</v>
      </c>
      <c r="H35" s="77">
        <f>IF(AND($G35 &gt; 0, $E35 &gt; 0), CEILING(FV($G35, $E35-userAge, 0, -$F35, 1), 1000), $F35)</f>
        <v>0</v>
      </c>
    </row>
    <row r="36" spans="4:8" x14ac:dyDescent="0.25">
      <c r="D36" s="11"/>
      <c r="E36" s="12"/>
      <c r="F36" s="13"/>
      <c r="G36" s="76">
        <v>0</v>
      </c>
      <c r="H36" s="77">
        <f>IF(AND($G36 &gt; 0, $E36 &gt; 0), CEILING(FV($G36, $E36-userAge, 0, -$F36, 1), 1000), $F36)</f>
        <v>0</v>
      </c>
    </row>
    <row r="37" spans="4:8" x14ac:dyDescent="0.25">
      <c r="D37" s="11"/>
      <c r="E37" s="12"/>
      <c r="F37" s="13"/>
      <c r="G37" s="76">
        <v>0</v>
      </c>
      <c r="H37" s="77">
        <f>IF(AND($G37 &gt; 0, $E37 &gt; 0), CEILING(FV($G37, $E37-userAge, 0, -$F37, 1), 1000), $F37)</f>
        <v>0</v>
      </c>
    </row>
    <row r="38" spans="4:8" x14ac:dyDescent="0.25">
      <c r="D38" s="11"/>
      <c r="E38" s="12"/>
      <c r="F38" s="13"/>
      <c r="G38" s="76">
        <v>0</v>
      </c>
      <c r="H38" s="77">
        <f>IF(AND($G38 &gt; 0, $E38 &gt; 0), CEILING(FV($G38, $E38-userAge, 0, -$F38, 1), 1000), $F38)</f>
        <v>0</v>
      </c>
    </row>
    <row r="39" spans="4:8" x14ac:dyDescent="0.25">
      <c r="D39" s="11"/>
      <c r="E39" s="12"/>
      <c r="F39" s="13"/>
      <c r="G39" s="76">
        <v>0</v>
      </c>
      <c r="H39" s="77">
        <f>IF(AND($G39 &gt; 0, $E39 &gt; 0), CEILING(FV($G39, $E39-userAge, 0, -$F39, 1), 1000), $F39)</f>
        <v>0</v>
      </c>
    </row>
    <row r="40" spans="4:8" x14ac:dyDescent="0.25">
      <c r="D40" s="11"/>
      <c r="E40" s="12"/>
      <c r="F40" s="13"/>
      <c r="G40" s="76">
        <v>0</v>
      </c>
      <c r="H40" s="77">
        <f>IF(AND($G40 &gt; 0, $E40 &gt; 0), CEILING(FV($G40, $E40-userAge, 0, -$F40, 1), 1000), $F40)</f>
        <v>0</v>
      </c>
    </row>
    <row r="41" spans="4:8" x14ac:dyDescent="0.25">
      <c r="D41" s="11"/>
      <c r="E41" s="12"/>
      <c r="F41" s="13"/>
      <c r="G41" s="76">
        <v>0</v>
      </c>
      <c r="H41" s="77">
        <f>IF(AND($G41 &gt; 0, $E41 &gt; 0), CEILING(FV($G41, $E41-userAge, 0, -$F41, 1), 1000), $F41)</f>
        <v>0</v>
      </c>
    </row>
    <row r="42" spans="4:8" x14ac:dyDescent="0.25">
      <c r="D42" s="11"/>
      <c r="E42" s="12"/>
      <c r="F42" s="13"/>
      <c r="G42" s="76">
        <v>0</v>
      </c>
      <c r="H42" s="77">
        <f>IF(AND($G42 &gt; 0, $E42 &gt; 0), CEILING(FV($G42, $E42-userAge, 0, -$F42, 1), 1000), $F42)</f>
        <v>0</v>
      </c>
    </row>
    <row r="43" spans="4:8" x14ac:dyDescent="0.25">
      <c r="D43" s="11"/>
      <c r="E43" s="12"/>
      <c r="F43" s="13"/>
      <c r="G43" s="76">
        <v>0</v>
      </c>
      <c r="H43" s="77">
        <f>IF(AND($G43 &gt; 0, $E43 &gt; 0), CEILING(FV($G43, $E43-userAge, 0, -$F43, 1), 1000), $F43)</f>
        <v>0</v>
      </c>
    </row>
    <row r="44" spans="4:8" x14ac:dyDescent="0.25">
      <c r="D44" s="11"/>
      <c r="E44" s="12"/>
      <c r="F44" s="13"/>
      <c r="G44" s="76">
        <v>0</v>
      </c>
      <c r="H44" s="77">
        <f>IF(AND($G44 &gt; 0, $E44 &gt; 0), CEILING(FV($G44, $E44-userAge, 0, -$F44, 1), 1000), $F44)</f>
        <v>0</v>
      </c>
    </row>
    <row r="45" spans="4:8" x14ac:dyDescent="0.25">
      <c r="D45" s="11"/>
      <c r="E45" s="12"/>
      <c r="F45" s="13"/>
      <c r="G45" s="76">
        <v>0</v>
      </c>
      <c r="H45" s="77">
        <f>IF(AND($G45 &gt; 0, $E45 &gt; 0), CEILING(FV($G45, $E45-userAge, 0, -$F45, 1), 1000), $F45)</f>
        <v>0</v>
      </c>
    </row>
    <row r="46" spans="4:8" x14ac:dyDescent="0.25">
      <c r="D46" s="11"/>
      <c r="E46" s="12"/>
      <c r="F46" s="13"/>
      <c r="G46" s="76">
        <v>0</v>
      </c>
      <c r="H46" s="77">
        <f>IF(AND($G46 &gt; 0, $E46 &gt; 0), CEILING(FV($G46, $E46-userAge, 0, -$F46, 1), 1000), $F46)</f>
        <v>0</v>
      </c>
    </row>
    <row r="47" spans="4:8" x14ac:dyDescent="0.25">
      <c r="D47" s="11"/>
      <c r="E47" s="12"/>
      <c r="F47" s="13"/>
      <c r="G47" s="76">
        <v>0</v>
      </c>
      <c r="H47" s="77">
        <f>IF(AND($G47 &gt; 0, $E47 &gt; 0), CEILING(FV($G47, $E47-userAge, 0, -$F47, 1), 1000), $F47)</f>
        <v>0</v>
      </c>
    </row>
    <row r="48" spans="4:8" x14ac:dyDescent="0.25">
      <c r="D48" s="11"/>
      <c r="E48" s="12"/>
      <c r="F48" s="13"/>
      <c r="G48" s="76">
        <v>0</v>
      </c>
      <c r="H48" s="77">
        <f>IF(AND($G48 &gt; 0, $E48 &gt; 0), CEILING(FV($G48, $E48-userAge, 0, -$F48, 1), 1000), $F48)</f>
        <v>0</v>
      </c>
    </row>
    <row r="49" spans="4:8" x14ac:dyDescent="0.25">
      <c r="D49" s="11"/>
      <c r="E49" s="12"/>
      <c r="F49" s="13"/>
      <c r="G49" s="76">
        <v>0</v>
      </c>
      <c r="H49" s="77">
        <f>IF(AND($G49 &gt; 0, $E49 &gt; 0), CEILING(FV($G49, $E49-userAge, 0, -$F49, 1), 1000), $F49)</f>
        <v>0</v>
      </c>
    </row>
    <row r="50" spans="4:8" x14ac:dyDescent="0.25">
      <c r="D50" s="11"/>
      <c r="E50" s="12"/>
      <c r="F50" s="13"/>
      <c r="G50" s="76">
        <v>0</v>
      </c>
      <c r="H50" s="77">
        <f>IF(AND($G50 &gt; 0, $E50 &gt; 0), CEILING(FV($G50, $E50-userAge, 0, -$F50, 1), 1000), $F50)</f>
        <v>0</v>
      </c>
    </row>
    <row r="51" spans="4:8" x14ac:dyDescent="0.25">
      <c r="D51" s="11"/>
      <c r="E51" s="12"/>
      <c r="F51" s="13"/>
      <c r="G51" s="76">
        <v>0</v>
      </c>
      <c r="H51" s="77">
        <f>IF(AND($G51 &gt; 0, $E51 &gt; 0), CEILING(FV($G51, $E51-userAge, 0, -$F51, 1), 1000), $F51)</f>
        <v>0</v>
      </c>
    </row>
    <row r="52" spans="4:8" x14ac:dyDescent="0.25">
      <c r="D52" s="11"/>
      <c r="E52" s="12"/>
      <c r="F52" s="13"/>
      <c r="G52" s="76">
        <v>0</v>
      </c>
      <c r="H52" s="77">
        <f>IF(AND($G52 &gt; 0, $E52 &gt; 0), CEILING(FV($G52, $E52-userAge, 0, -$F52, 1), 1000), $F52)</f>
        <v>0</v>
      </c>
    </row>
    <row r="53" spans="4:8" x14ac:dyDescent="0.25">
      <c r="D53" s="11"/>
      <c r="E53" s="12"/>
      <c r="F53" s="13"/>
      <c r="G53" s="76">
        <v>0</v>
      </c>
      <c r="H53" s="77">
        <f>IF(AND($G53 &gt; 0, $E53 &gt; 0), CEILING(FV($G53, $E53-userAge, 0, -$F53, 1), 1000), $F53)</f>
        <v>0</v>
      </c>
    </row>
    <row r="54" spans="4:8" x14ac:dyDescent="0.25">
      <c r="D54" s="11"/>
      <c r="E54" s="12"/>
      <c r="F54" s="13"/>
      <c r="G54" s="76">
        <v>0</v>
      </c>
      <c r="H54" s="77">
        <f>IF(AND($G54 &gt; 0, $E54 &gt; 0), CEILING(FV($G54, $E54-userAge, 0, -$F54, 1), 1000), $F54)</f>
        <v>0</v>
      </c>
    </row>
    <row r="55" spans="4:8" x14ac:dyDescent="0.25">
      <c r="D55" s="11"/>
      <c r="E55" s="12"/>
      <c r="F55" s="13"/>
      <c r="G55" s="76">
        <v>0</v>
      </c>
      <c r="H55" s="77">
        <f>IF(AND($G55 &gt; 0, $E55 &gt; 0), CEILING(FV($G55, $E55-userAge, 0, -$F55, 1), 1000), $F55)</f>
        <v>0</v>
      </c>
    </row>
    <row r="56" spans="4:8" x14ac:dyDescent="0.25">
      <c r="D56" s="11"/>
      <c r="E56" s="12"/>
      <c r="F56" s="13"/>
      <c r="G56" s="76">
        <v>0</v>
      </c>
      <c r="H56" s="77">
        <f>IF(AND($G56 &gt; 0, $E56 &gt; 0), CEILING(FV($G56, $E56-userAge, 0, -$F56, 1), 1000), $F56)</f>
        <v>0</v>
      </c>
    </row>
    <row r="57" spans="4:8" x14ac:dyDescent="0.25">
      <c r="D57" s="11"/>
      <c r="E57" s="12"/>
      <c r="F57" s="13"/>
      <c r="G57" s="76">
        <v>0</v>
      </c>
      <c r="H57" s="77">
        <f>IF(AND($G57 &gt; 0, $E57 &gt; 0), CEILING(FV($G57, $E57-userAge, 0, -$F57, 1), 1000), $F57)</f>
        <v>0</v>
      </c>
    </row>
    <row r="58" spans="4:8" x14ac:dyDescent="0.25">
      <c r="D58" s="11"/>
      <c r="E58" s="12"/>
      <c r="F58" s="13"/>
      <c r="G58" s="76">
        <v>0</v>
      </c>
      <c r="H58" s="77">
        <f>IF(AND($G58 &gt; 0, $E58 &gt; 0), CEILING(FV($G58, $E58-userAge, 0, -$F58, 1), 1000), $F58)</f>
        <v>0</v>
      </c>
    </row>
    <row r="59" spans="4:8" x14ac:dyDescent="0.25">
      <c r="D59" s="11"/>
      <c r="E59" s="12"/>
      <c r="F59" s="13"/>
      <c r="G59" s="76">
        <v>0</v>
      </c>
      <c r="H59" s="77">
        <f>IF(AND($G59 &gt; 0, $E59 &gt; 0), CEILING(FV($G59, $E59-userAge, 0, -$F59, 1), 1000), $F59)</f>
        <v>0</v>
      </c>
    </row>
    <row r="60" spans="4:8" x14ac:dyDescent="0.25">
      <c r="D60" s="11"/>
      <c r="E60" s="12"/>
      <c r="F60" s="13"/>
      <c r="G60" s="76">
        <v>0</v>
      </c>
      <c r="H60" s="77">
        <f>IF(AND($G60 &gt; 0, $E60 &gt; 0), CEILING(FV($G60, $E60-userAge, 0, -$F60, 1), 1000), $F60)</f>
        <v>0</v>
      </c>
    </row>
    <row r="61" spans="4:8" x14ac:dyDescent="0.25">
      <c r="D61" s="11"/>
      <c r="E61" s="12"/>
      <c r="F61" s="13"/>
      <c r="G61" s="76">
        <v>0</v>
      </c>
      <c r="H61" s="77">
        <f>IF(AND($G61 &gt; 0, $E61 &gt; 0), CEILING(FV($G61, $E61-userAge, 0, -$F61, 1), 1000), $F61)</f>
        <v>0</v>
      </c>
    </row>
    <row r="62" spans="4:8" x14ac:dyDescent="0.25">
      <c r="D62" s="11"/>
      <c r="E62" s="12"/>
      <c r="F62" s="13"/>
      <c r="G62" s="76">
        <v>0</v>
      </c>
      <c r="H62" s="77">
        <f>IF(AND($G62 &gt; 0, $E62 &gt; 0), CEILING(FV($G62, $E62-userAge, 0, -$F62, 1), 1000), $F62)</f>
        <v>0</v>
      </c>
    </row>
    <row r="63" spans="4:8" x14ac:dyDescent="0.25">
      <c r="D63" s="11"/>
      <c r="E63" s="12"/>
      <c r="F63" s="13"/>
      <c r="G63" s="76">
        <v>0</v>
      </c>
      <c r="H63" s="77">
        <f>IF(AND($G63 &gt; 0, $E63 &gt; 0), CEILING(FV($G63, $E63-userAge, 0, -$F63, 1), 1000), $F63)</f>
        <v>0</v>
      </c>
    </row>
    <row r="64" spans="4:8" x14ac:dyDescent="0.25">
      <c r="D64" s="11"/>
      <c r="E64" s="12"/>
      <c r="F64" s="13"/>
      <c r="G64" s="76">
        <v>0</v>
      </c>
      <c r="H64" s="77">
        <f>IF(AND($G64 &gt; 0, $E64 &gt; 0), CEILING(FV($G64, $E64-userAge, 0, -$F64, 1), 1000), $F64)</f>
        <v>0</v>
      </c>
    </row>
    <row r="65" spans="4:8" x14ac:dyDescent="0.25">
      <c r="D65" s="11"/>
      <c r="E65" s="12"/>
      <c r="F65" s="13"/>
      <c r="G65" s="76">
        <v>0</v>
      </c>
      <c r="H65" s="77">
        <f>IF(AND($G65 &gt; 0, $E65 &gt; 0), CEILING(FV($G65, $E65-userAge, 0, -$F65, 1), 1000), $F65)</f>
        <v>0</v>
      </c>
    </row>
    <row r="66" spans="4:8" x14ac:dyDescent="0.25">
      <c r="D66" s="11"/>
      <c r="E66" s="12"/>
      <c r="F66" s="13"/>
      <c r="G66" s="76">
        <v>0</v>
      </c>
      <c r="H66" s="77">
        <f>IF(AND($G66 &gt; 0, $E66 &gt; 0), CEILING(FV($G66, $E66-userAge, 0, -$F66, 1), 1000), $F66)</f>
        <v>0</v>
      </c>
    </row>
    <row r="67" spans="4:8" x14ac:dyDescent="0.25">
      <c r="D67" s="11"/>
      <c r="E67" s="12"/>
      <c r="F67" s="13"/>
      <c r="G67" s="76">
        <v>0</v>
      </c>
      <c r="H67" s="77">
        <f>IF(AND($G67 &gt; 0, $E67 &gt; 0), CEILING(FV($G67, $E67-userAge, 0, -$F67, 1), 1000), $F67)</f>
        <v>0</v>
      </c>
    </row>
    <row r="68" spans="4:8" x14ac:dyDescent="0.25">
      <c r="D68" s="11"/>
      <c r="E68" s="12"/>
      <c r="F68" s="13"/>
      <c r="G68" s="76">
        <v>0</v>
      </c>
      <c r="H68" s="77">
        <f>IF(AND($G68 &gt; 0, $E68 &gt; 0), CEILING(FV($G68, $E68-userAge, 0, -$F68, 1), 1000), $F68)</f>
        <v>0</v>
      </c>
    </row>
    <row r="69" spans="4:8" x14ac:dyDescent="0.25">
      <c r="D69" s="11"/>
      <c r="E69" s="12"/>
      <c r="F69" s="13"/>
      <c r="G69" s="76">
        <v>0</v>
      </c>
      <c r="H69" s="77">
        <f>IF(AND($G69 &gt; 0, $E69 &gt; 0), CEILING(FV($G69, $E69-userAge, 0, -$F69, 1), 1000), $F69)</f>
        <v>0</v>
      </c>
    </row>
    <row r="70" spans="4:8" x14ac:dyDescent="0.25">
      <c r="D70" s="11"/>
      <c r="E70" s="12"/>
      <c r="F70" s="13"/>
      <c r="G70" s="76">
        <v>0</v>
      </c>
      <c r="H70" s="77">
        <f>IF(AND($G70 &gt; 0, $E70 &gt; 0), CEILING(FV($G70, $E70-userAge, 0, -$F70, 1), 1000), $F70)</f>
        <v>0</v>
      </c>
    </row>
    <row r="71" spans="4:8" x14ac:dyDescent="0.25">
      <c r="D71" s="11"/>
      <c r="E71" s="12"/>
      <c r="F71" s="13"/>
      <c r="G71" s="76">
        <v>0</v>
      </c>
      <c r="H71" s="77">
        <f>IF(AND($G71 &gt; 0, $E71 &gt; 0), CEILING(FV($G71, $E71-userAge, 0, -$F71, 1), 1000), $F71)</f>
        <v>0</v>
      </c>
    </row>
    <row r="72" spans="4:8" x14ac:dyDescent="0.25">
      <c r="D72" s="11"/>
      <c r="E72" s="12"/>
      <c r="F72" s="13"/>
      <c r="G72" s="76">
        <v>0</v>
      </c>
      <c r="H72" s="77">
        <f>IF(AND($G72 &gt; 0, $E72 &gt; 0), CEILING(FV($G72, $E72-userAge, 0, -$F72, 1), 1000), $F72)</f>
        <v>0</v>
      </c>
    </row>
    <row r="73" spans="4:8" x14ac:dyDescent="0.25">
      <c r="D73" s="11"/>
      <c r="E73" s="12"/>
      <c r="F73" s="13"/>
      <c r="G73" s="76">
        <v>0</v>
      </c>
      <c r="H73" s="77">
        <f>IF(AND($G73 &gt; 0, $E73 &gt; 0), CEILING(FV($G73, $E73-userAge, 0, -$F73, 1), 1000), $F73)</f>
        <v>0</v>
      </c>
    </row>
    <row r="74" spans="4:8" x14ac:dyDescent="0.25">
      <c r="D74" s="11"/>
      <c r="E74" s="12"/>
      <c r="F74" s="13"/>
      <c r="G74" s="76">
        <v>0</v>
      </c>
      <c r="H74" s="77">
        <f>IF(AND($G74 &gt; 0, $E74 &gt; 0), CEILING(FV($G74, $E74-userAge, 0, -$F74, 1), 1000), $F74)</f>
        <v>0</v>
      </c>
    </row>
    <row r="75" spans="4:8" x14ac:dyDescent="0.25">
      <c r="D75" s="11"/>
      <c r="E75" s="12"/>
      <c r="F75" s="13"/>
      <c r="G75" s="76">
        <v>0</v>
      </c>
      <c r="H75" s="77">
        <f>IF(AND($G75 &gt; 0, $E75 &gt; 0), CEILING(FV($G75, $E75-userAge, 0, -$F75, 1), 1000), $F75)</f>
        <v>0</v>
      </c>
    </row>
    <row r="76" spans="4:8" x14ac:dyDescent="0.25">
      <c r="D76" s="11"/>
      <c r="E76" s="12"/>
      <c r="F76" s="13"/>
      <c r="G76" s="76">
        <v>0</v>
      </c>
      <c r="H76" s="77">
        <f>IF(AND($G76 &gt; 0, $E76 &gt; 0), CEILING(FV($G76, $E76-userAge, 0, -$F76, 1), 1000), $F76)</f>
        <v>0</v>
      </c>
    </row>
    <row r="77" spans="4:8" x14ac:dyDescent="0.25">
      <c r="D77" s="11"/>
      <c r="E77" s="12"/>
      <c r="F77" s="13"/>
      <c r="G77" s="76">
        <v>0</v>
      </c>
      <c r="H77" s="77">
        <f>IF(AND($G77 &gt; 0, $E77 &gt; 0), CEILING(FV($G77, $E77-userAge, 0, -$F77, 1), 1000), $F77)</f>
        <v>0</v>
      </c>
    </row>
    <row r="78" spans="4:8" x14ac:dyDescent="0.25">
      <c r="D78" s="11"/>
      <c r="E78" s="12"/>
      <c r="F78" s="13"/>
      <c r="G78" s="76">
        <v>0</v>
      </c>
      <c r="H78" s="77">
        <f>IF(AND($G78 &gt; 0, $E78 &gt; 0), CEILING(FV($G78, $E78-userAge, 0, -$F78, 1), 1000), $F78)</f>
        <v>0</v>
      </c>
    </row>
    <row r="79" spans="4:8" x14ac:dyDescent="0.25">
      <c r="D79" s="11"/>
      <c r="E79" s="12"/>
      <c r="F79" s="13"/>
      <c r="G79" s="76">
        <v>0</v>
      </c>
      <c r="H79" s="77">
        <f>IF(AND($G79 &gt; 0, $E79 &gt; 0), CEILING(FV($G79, $E79-userAge, 0, -$F79, 1), 1000), $F79)</f>
        <v>0</v>
      </c>
    </row>
    <row r="80" spans="4:8" x14ac:dyDescent="0.25">
      <c r="D80" s="11"/>
      <c r="E80" s="12"/>
      <c r="F80" s="13"/>
      <c r="G80" s="76">
        <v>0</v>
      </c>
      <c r="H80" s="77">
        <f>IF(AND($G80 &gt; 0, $E80 &gt; 0), CEILING(FV($G80, $E80-userAge, 0, -$F80, 1), 1000), $F80)</f>
        <v>0</v>
      </c>
    </row>
    <row r="81" spans="4:8" x14ac:dyDescent="0.25">
      <c r="D81" s="11"/>
      <c r="E81" s="12"/>
      <c r="F81" s="13"/>
      <c r="G81" s="76">
        <v>0</v>
      </c>
      <c r="H81" s="77">
        <f>IF(AND($G81 &gt; 0, $E81 &gt; 0), CEILING(FV($G81, $E81-userAge, 0, -$F81, 1), 1000), $F81)</f>
        <v>0</v>
      </c>
    </row>
    <row r="82" spans="4:8" x14ac:dyDescent="0.25">
      <c r="D82" s="11"/>
      <c r="E82" s="12"/>
      <c r="F82" s="13"/>
      <c r="G82" s="76">
        <v>0</v>
      </c>
      <c r="H82" s="77">
        <f>IF(AND($G82 &gt; 0, $E82 &gt; 0), CEILING(FV($G82, $E82-userAge, 0, -$F82, 1), 1000), $F82)</f>
        <v>0</v>
      </c>
    </row>
    <row r="83" spans="4:8" x14ac:dyDescent="0.25">
      <c r="D83" s="11"/>
      <c r="E83" s="12"/>
      <c r="F83" s="13"/>
      <c r="G83" s="76">
        <v>0</v>
      </c>
      <c r="H83" s="77">
        <f>IF(AND($G83 &gt; 0, $E83 &gt; 0), CEILING(FV($G83, $E83-userAge, 0, -$F83, 1), 1000), $F83)</f>
        <v>0</v>
      </c>
    </row>
    <row r="84" spans="4:8" x14ac:dyDescent="0.25">
      <c r="D84" s="11"/>
      <c r="E84" s="12"/>
      <c r="F84" s="13"/>
      <c r="G84" s="76">
        <v>0</v>
      </c>
      <c r="H84" s="77">
        <f>IF(AND($G84 &gt; 0, $E84 &gt; 0), CEILING(FV($G84, $E84-userAge, 0, -$F84, 1), 1000), $F84)</f>
        <v>0</v>
      </c>
    </row>
    <row r="85" spans="4:8" x14ac:dyDescent="0.25">
      <c r="D85" s="11"/>
      <c r="E85" s="12"/>
      <c r="F85" s="13"/>
      <c r="G85" s="76">
        <v>0</v>
      </c>
      <c r="H85" s="77">
        <f>IF(AND($G85 &gt; 0, $E85 &gt; 0), CEILING(FV($G85, $E85-userAge, 0, -$F85, 1), 1000), $F85)</f>
        <v>0</v>
      </c>
    </row>
    <row r="86" spans="4:8" x14ac:dyDescent="0.25">
      <c r="D86" s="11"/>
      <c r="E86" s="12"/>
      <c r="F86" s="13"/>
      <c r="G86" s="76">
        <v>0</v>
      </c>
      <c r="H86" s="77">
        <f>IF(AND($G86 &gt; 0, $E86 &gt; 0), CEILING(FV($G86, $E86-userAge, 0, -$F86, 1), 1000), $F86)</f>
        <v>0</v>
      </c>
    </row>
    <row r="87" spans="4:8" x14ac:dyDescent="0.25">
      <c r="D87" s="11"/>
      <c r="E87" s="12"/>
      <c r="F87" s="13"/>
      <c r="G87" s="76">
        <v>0</v>
      </c>
      <c r="H87" s="77">
        <f>IF(AND($G87 &gt; 0, $E87 &gt; 0), CEILING(FV($G87, $E87-userAge, 0, -$F87, 1), 1000), $F87)</f>
        <v>0</v>
      </c>
    </row>
    <row r="88" spans="4:8" x14ac:dyDescent="0.25">
      <c r="D88" s="11"/>
      <c r="E88" s="12"/>
      <c r="F88" s="13"/>
      <c r="G88" s="76">
        <v>0</v>
      </c>
      <c r="H88" s="77">
        <f>IF(AND($G88 &gt; 0, $E88 &gt; 0), CEILING(FV($G88, $E88-userAge, 0, -$F88, 1), 1000), $F88)</f>
        <v>0</v>
      </c>
    </row>
    <row r="89" spans="4:8" x14ac:dyDescent="0.25">
      <c r="D89" s="11"/>
      <c r="E89" s="12"/>
      <c r="F89" s="13"/>
      <c r="G89" s="76">
        <v>0</v>
      </c>
      <c r="H89" s="77">
        <f>IF(AND($G89 &gt; 0, $E89 &gt; 0), CEILING(FV($G89, $E89-userAge, 0, -$F89, 1), 1000), $F89)</f>
        <v>0</v>
      </c>
    </row>
    <row r="90" spans="4:8" x14ac:dyDescent="0.25">
      <c r="D90" s="11"/>
      <c r="E90" s="12"/>
      <c r="F90" s="13"/>
      <c r="G90" s="76">
        <v>0</v>
      </c>
      <c r="H90" s="77">
        <f>IF(AND($G90 &gt; 0, $E90 &gt; 0), CEILING(FV($G90, $E90-userAge, 0, -$F90, 1), 1000), $F90)</f>
        <v>0</v>
      </c>
    </row>
    <row r="91" spans="4:8" x14ac:dyDescent="0.25">
      <c r="D91" s="11"/>
      <c r="E91" s="12"/>
      <c r="F91" s="13"/>
      <c r="G91" s="76">
        <v>0</v>
      </c>
      <c r="H91" s="77">
        <f>IF(AND($G91 &gt; 0, $E91 &gt; 0), CEILING(FV($G91, $E91-userAge, 0, -$F91, 1), 1000), $F91)</f>
        <v>0</v>
      </c>
    </row>
    <row r="92" spans="4:8" x14ac:dyDescent="0.25">
      <c r="D92" s="11"/>
      <c r="E92" s="12"/>
      <c r="F92" s="13"/>
      <c r="G92" s="76">
        <v>0</v>
      </c>
      <c r="H92" s="77">
        <f>IF(AND($G92 &gt; 0, $E92 &gt; 0), CEILING(FV($G92, $E92-userAge, 0, -$F92, 1), 1000), $F92)</f>
        <v>0</v>
      </c>
    </row>
    <row r="93" spans="4:8" x14ac:dyDescent="0.25">
      <c r="D93" s="11"/>
      <c r="E93" s="12"/>
      <c r="F93" s="13"/>
      <c r="G93" s="76">
        <v>0</v>
      </c>
      <c r="H93" s="77">
        <f>IF(AND($G93 &gt; 0, $E93 &gt; 0), CEILING(FV($G93, $E93-userAge, 0, -$F93, 1), 1000), $F93)</f>
        <v>0</v>
      </c>
    </row>
    <row r="94" spans="4:8" x14ac:dyDescent="0.25">
      <c r="D94" s="11"/>
      <c r="E94" s="12"/>
      <c r="F94" s="13"/>
      <c r="G94" s="76">
        <v>0</v>
      </c>
      <c r="H94" s="77">
        <f>IF(AND($G94 &gt; 0, $E94 &gt; 0), CEILING(FV($G94, $E94-userAge, 0, -$F94, 1), 1000), $F94)</f>
        <v>0</v>
      </c>
    </row>
    <row r="95" spans="4:8" x14ac:dyDescent="0.25">
      <c r="D95" s="11"/>
      <c r="E95" s="12"/>
      <c r="F95" s="13"/>
      <c r="G95" s="76">
        <v>0</v>
      </c>
      <c r="H95" s="77">
        <f>IF(AND($G95 &gt; 0, $E95 &gt; 0), CEILING(FV($G95, $E95-userAge, 0, -$F95, 1), 1000), $F95)</f>
        <v>0</v>
      </c>
    </row>
    <row r="96" spans="4:8" x14ac:dyDescent="0.25">
      <c r="D96" s="11"/>
      <c r="E96" s="12"/>
      <c r="F96" s="13"/>
      <c r="G96" s="76">
        <v>0</v>
      </c>
      <c r="H96" s="77">
        <f>IF(AND($G96 &gt; 0, $E96 &gt; 0), CEILING(FV($G96, $E96-userAge, 0, -$F96, 1), 1000), $F96)</f>
        <v>0</v>
      </c>
    </row>
    <row r="97" spans="4:8" x14ac:dyDescent="0.25">
      <c r="D97" s="11"/>
      <c r="E97" s="12"/>
      <c r="F97" s="13"/>
      <c r="G97" s="76">
        <v>0</v>
      </c>
      <c r="H97" s="77">
        <f>IF(AND($G97 &gt; 0, $E97 &gt; 0), CEILING(FV($G97, $E97-userAge, 0, -$F97, 1), 1000), $F97)</f>
        <v>0</v>
      </c>
    </row>
    <row r="98" spans="4:8" x14ac:dyDescent="0.25">
      <c r="D98" s="11"/>
      <c r="E98" s="12"/>
      <c r="F98" s="13"/>
      <c r="G98" s="76">
        <v>0</v>
      </c>
      <c r="H98" s="77">
        <f>IF(AND($G98 &gt; 0, $E98 &gt; 0), CEILING(FV($G98, $E98-userAge, 0, -$F98, 1), 1000), $F98)</f>
        <v>0</v>
      </c>
    </row>
    <row r="99" spans="4:8" x14ac:dyDescent="0.25">
      <c r="D99" s="11"/>
      <c r="E99" s="12"/>
      <c r="F99" s="13"/>
      <c r="G99" s="76">
        <v>0</v>
      </c>
      <c r="H99" s="77">
        <f>IF(AND($G99 &gt; 0, $E99 &gt; 0), CEILING(FV($G99, $E99-userAge, 0, -$F99, 1), 1000), $F99)</f>
        <v>0</v>
      </c>
    </row>
    <row r="100" spans="4:8" x14ac:dyDescent="0.25">
      <c r="D100" s="11"/>
      <c r="E100" s="12"/>
      <c r="F100" s="13"/>
      <c r="G100" s="76">
        <v>0</v>
      </c>
      <c r="H100" s="77">
        <f>IF(AND($G100 &gt; 0, $E100 &gt; 0), CEILING(FV($G100, $E100-userAge, 0, -$F100, 1), 1000), $F100)</f>
        <v>0</v>
      </c>
    </row>
    <row r="101" spans="4:8" x14ac:dyDescent="0.25">
      <c r="D101" s="11" t="s">
        <v>54</v>
      </c>
      <c r="E101" s="12">
        <v>35</v>
      </c>
      <c r="F101" s="13">
        <v>-100000</v>
      </c>
      <c r="G101" s="76">
        <v>0</v>
      </c>
      <c r="H101" s="77">
        <f>IF(AND($G101 &gt; 0, $E101 &gt; 0), CEILING(FV($G101, $E101-userAge, 0, -$F101, 1), 1000), $F101)</f>
        <v>-100000</v>
      </c>
    </row>
    <row r="102" spans="4:8" x14ac:dyDescent="0.25">
      <c r="D102" s="11" t="s">
        <v>57</v>
      </c>
      <c r="E102" s="12">
        <v>35</v>
      </c>
      <c r="F102" s="13"/>
      <c r="G102" s="76">
        <v>0</v>
      </c>
      <c r="H102" s="77">
        <f>IF(AND($G102 &gt; 0, $E102 &gt; 0), CEILING(FV($G102, $E102-userAge, 0, -$F102, 1), 1000), $F102)</f>
        <v>0</v>
      </c>
    </row>
    <row r="103" spans="4:8" x14ac:dyDescent="0.25">
      <c r="D103" s="11" t="s">
        <v>87</v>
      </c>
      <c r="E103" s="71">
        <f>userRetirementAge</f>
        <v>58</v>
      </c>
      <c r="F103" s="13">
        <v>-2000000</v>
      </c>
      <c r="G103" s="76">
        <v>0</v>
      </c>
      <c r="H103" s="77">
        <f>IF(AND($G103 &gt; 0, $E103 &gt; 0), CEILING(FV($G103, $E103-userAge, 0, -$F103, 1), 1000), $F103)</f>
        <v>-2000000</v>
      </c>
    </row>
    <row r="104" spans="4:8" ht="15.75" thickBot="1" x14ac:dyDescent="0.3">
      <c r="D104" s="63" t="s">
        <v>61</v>
      </c>
      <c r="E104" s="68">
        <f>userLifeExpectancyAge</f>
        <v>80</v>
      </c>
      <c r="F104" s="25">
        <v>-10000000</v>
      </c>
      <c r="G104" s="78">
        <v>0</v>
      </c>
      <c r="H104" s="79">
        <f>IF(AND($G104 &gt; 0, $E104 &gt; 0), CEILING(FV($G104, $E104-userAge, 0, -$F104, 1), 1000), $F104)</f>
        <v>-10000000</v>
      </c>
    </row>
    <row r="105" spans="4:8" ht="15.75" thickBot="1" x14ac:dyDescent="0.3">
      <c r="D105" s="64" t="s">
        <v>11</v>
      </c>
      <c r="E105" s="67">
        <f>userRetirementAge</f>
        <v>58</v>
      </c>
      <c r="F105" s="13"/>
      <c r="G105" s="80">
        <v>0</v>
      </c>
      <c r="H105" s="81">
        <f>IF(AND($G105 &gt; 0, $E105 &gt; 0), CEILING(FV($G105, $E105-userAge, 0, -$F105, 1), 1000), $F105)</f>
        <v>0</v>
      </c>
    </row>
    <row r="106" spans="4:8" ht="15.75" thickBot="1" x14ac:dyDescent="0.3">
      <c r="D106" s="65" t="s">
        <v>16</v>
      </c>
      <c r="E106" s="69">
        <f>userLifeExpectancyAge</f>
        <v>80</v>
      </c>
      <c r="F106" s="70"/>
      <c r="G106" s="78">
        <v>0</v>
      </c>
      <c r="H106" s="79">
        <f>IF(AND($G106 &gt; 0, $E106 &gt; 0), CEILING(FV($G106, $E106-userAge, 0, -$F106, 1), 1000), $F106)</f>
        <v>0</v>
      </c>
    </row>
  </sheetData>
  <sheetProtection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4A1-0342-4CF9-B7A3-0A8E7EC2A886}">
  <sheetPr codeName="Sheet7"/>
  <dimension ref="A1:E32"/>
  <sheetViews>
    <sheetView workbookViewId="0">
      <selection activeCell="E7" sqref="E7"/>
    </sheetView>
  </sheetViews>
  <sheetFormatPr defaultColWidth="26.140625" defaultRowHeight="15" x14ac:dyDescent="0.25"/>
  <cols>
    <col min="1" max="1" width="39.85546875" bestFit="1" customWidth="1"/>
    <col min="2" max="3" width="10.7109375" bestFit="1" customWidth="1"/>
    <col min="4" max="4" width="40.140625" bestFit="1" customWidth="1"/>
    <col min="5" max="6" width="10.7109375" bestFit="1" customWidth="1"/>
    <col min="7" max="7" width="12" customWidth="1"/>
    <col min="8" max="8" width="39.85546875" bestFit="1" customWidth="1"/>
    <col min="9" max="9" width="10.7109375" bestFit="1" customWidth="1"/>
    <col min="10" max="10" width="7.28515625" customWidth="1"/>
    <col min="11" max="11" width="39.85546875" bestFit="1" customWidth="1"/>
    <col min="12" max="12" width="10.7109375" bestFit="1" customWidth="1"/>
    <col min="13" max="13" width="39.85546875" bestFit="1" customWidth="1"/>
    <col min="14" max="14" width="10.7109375" bestFit="1" customWidth="1"/>
  </cols>
  <sheetData>
    <row r="1" spans="1:5" x14ac:dyDescent="0.25">
      <c r="A1" s="27" t="s">
        <v>56</v>
      </c>
    </row>
    <row r="4" spans="1:5" ht="15.75" thickBot="1" x14ac:dyDescent="0.3"/>
    <row r="5" spans="1:5" ht="15.75" thickBot="1" x14ac:dyDescent="0.3">
      <c r="A5" s="73" t="s">
        <v>36</v>
      </c>
      <c r="B5" s="74"/>
      <c r="D5" s="73" t="s">
        <v>36</v>
      </c>
      <c r="E5" s="74"/>
    </row>
    <row r="6" spans="1:5" x14ac:dyDescent="0.25">
      <c r="A6" s="1"/>
      <c r="B6" s="15"/>
      <c r="D6" s="1"/>
      <c r="E6" s="15"/>
    </row>
    <row r="7" spans="1:5" x14ac:dyDescent="0.25">
      <c r="A7" s="26" t="s">
        <v>0</v>
      </c>
      <c r="B7" s="16" t="s">
        <v>25</v>
      </c>
      <c r="D7" s="26" t="s">
        <v>0</v>
      </c>
      <c r="E7" s="16" t="s">
        <v>25</v>
      </c>
    </row>
    <row r="8" spans="1:5" x14ac:dyDescent="0.25">
      <c r="A8" s="26" t="s">
        <v>3</v>
      </c>
      <c r="B8" s="17">
        <v>36526</v>
      </c>
      <c r="D8" s="26" t="s">
        <v>3</v>
      </c>
      <c r="E8" s="17">
        <v>25569</v>
      </c>
    </row>
    <row r="9" spans="1:5" x14ac:dyDescent="0.25">
      <c r="A9" s="26" t="s">
        <v>17</v>
      </c>
      <c r="B9" s="18">
        <v>50000</v>
      </c>
      <c r="D9" s="26" t="s">
        <v>17</v>
      </c>
      <c r="E9" s="18">
        <v>150000</v>
      </c>
    </row>
    <row r="10" spans="1:5" x14ac:dyDescent="0.25">
      <c r="A10" s="26" t="s">
        <v>5</v>
      </c>
      <c r="B10" s="18">
        <v>100000</v>
      </c>
      <c r="D10" s="26" t="s">
        <v>5</v>
      </c>
      <c r="E10" s="18">
        <v>1000000</v>
      </c>
    </row>
    <row r="11" spans="1:5" x14ac:dyDescent="0.25">
      <c r="A11" s="26" t="s">
        <v>83</v>
      </c>
      <c r="B11" s="18">
        <v>50000</v>
      </c>
      <c r="D11" s="26" t="s">
        <v>83</v>
      </c>
      <c r="E11" s="18">
        <v>0</v>
      </c>
    </row>
    <row r="12" spans="1:5" x14ac:dyDescent="0.25">
      <c r="A12" s="26"/>
      <c r="B12" s="32"/>
      <c r="D12" s="26"/>
      <c r="E12" s="32"/>
    </row>
    <row r="13" spans="1:5" x14ac:dyDescent="0.25">
      <c r="A13" s="38" t="s">
        <v>80</v>
      </c>
      <c r="B13" s="32"/>
      <c r="D13" s="38" t="s">
        <v>80</v>
      </c>
      <c r="E13" s="32"/>
    </row>
    <row r="14" spans="1:5" x14ac:dyDescent="0.25">
      <c r="A14" s="26" t="s">
        <v>74</v>
      </c>
      <c r="B14" s="19">
        <v>0.15</v>
      </c>
      <c r="D14" s="26" t="s">
        <v>74</v>
      </c>
      <c r="E14" s="19">
        <v>0.12</v>
      </c>
    </row>
    <row r="15" spans="1:5" x14ac:dyDescent="0.25">
      <c r="A15" s="26" t="s">
        <v>37</v>
      </c>
      <c r="B15" s="28">
        <v>7.0000000000000007E-2</v>
      </c>
      <c r="D15" s="26" t="s">
        <v>37</v>
      </c>
      <c r="E15" s="28">
        <v>7.0000000000000007E-2</v>
      </c>
    </row>
    <row r="16" spans="1:5" x14ac:dyDescent="0.25">
      <c r="A16" s="26" t="s">
        <v>38</v>
      </c>
      <c r="B16" s="28">
        <v>0.03</v>
      </c>
      <c r="D16" s="26" t="s">
        <v>38</v>
      </c>
      <c r="E16" s="28">
        <v>0.03</v>
      </c>
    </row>
    <row r="17" spans="1:5" x14ac:dyDescent="0.25">
      <c r="A17" s="26" t="s">
        <v>39</v>
      </c>
      <c r="B17" s="28">
        <v>0.01</v>
      </c>
      <c r="D17" s="26" t="s">
        <v>39</v>
      </c>
      <c r="E17" s="28">
        <v>0.01</v>
      </c>
    </row>
    <row r="18" spans="1:5" x14ac:dyDescent="0.25">
      <c r="A18" s="26"/>
      <c r="B18" s="32"/>
      <c r="D18" s="26"/>
      <c r="E18" s="32"/>
    </row>
    <row r="19" spans="1:5" x14ac:dyDescent="0.25">
      <c r="A19" s="26" t="s">
        <v>72</v>
      </c>
      <c r="B19" s="19">
        <v>0.05</v>
      </c>
      <c r="D19" s="26" t="s">
        <v>72</v>
      </c>
      <c r="E19" s="19">
        <v>0.05</v>
      </c>
    </row>
    <row r="20" spans="1:5" x14ac:dyDescent="0.25">
      <c r="A20" s="26"/>
      <c r="B20" s="32"/>
      <c r="D20" s="26"/>
      <c r="E20" s="32"/>
    </row>
    <row r="21" spans="1:5" x14ac:dyDescent="0.25">
      <c r="A21" s="38" t="s">
        <v>81</v>
      </c>
      <c r="B21" s="32"/>
      <c r="D21" s="38" t="s">
        <v>81</v>
      </c>
      <c r="E21" s="32"/>
    </row>
    <row r="22" spans="1:5" x14ac:dyDescent="0.25">
      <c r="A22" s="26" t="s">
        <v>71</v>
      </c>
      <c r="B22" s="19">
        <v>0.1</v>
      </c>
      <c r="D22" s="26" t="s">
        <v>71</v>
      </c>
      <c r="E22" s="19">
        <v>0.1</v>
      </c>
    </row>
    <row r="23" spans="1:5" x14ac:dyDescent="0.25">
      <c r="A23" s="26" t="s">
        <v>75</v>
      </c>
      <c r="B23" s="28">
        <v>7.0000000000000007E-2</v>
      </c>
      <c r="D23" s="26" t="s">
        <v>75</v>
      </c>
      <c r="E23" s="28">
        <v>7.0000000000000007E-2</v>
      </c>
    </row>
    <row r="24" spans="1:5" x14ac:dyDescent="0.25">
      <c r="A24" s="26" t="s">
        <v>76</v>
      </c>
      <c r="B24" s="28">
        <v>0.01</v>
      </c>
      <c r="D24" s="26" t="s">
        <v>76</v>
      </c>
      <c r="E24" s="28">
        <v>0.01</v>
      </c>
    </row>
    <row r="25" spans="1:5" x14ac:dyDescent="0.25">
      <c r="A25" s="26" t="s">
        <v>39</v>
      </c>
      <c r="B25" s="28">
        <v>0.01</v>
      </c>
      <c r="D25" s="26" t="s">
        <v>39</v>
      </c>
      <c r="E25" s="28">
        <v>0</v>
      </c>
    </row>
    <row r="26" spans="1:5" x14ac:dyDescent="0.25">
      <c r="A26" s="26"/>
      <c r="B26" s="32"/>
      <c r="D26" s="26"/>
      <c r="E26" s="32"/>
    </row>
    <row r="27" spans="1:5" x14ac:dyDescent="0.25">
      <c r="A27" s="26" t="s">
        <v>78</v>
      </c>
      <c r="B27" s="18">
        <v>1200000</v>
      </c>
      <c r="D27" s="26" t="s">
        <v>78</v>
      </c>
      <c r="E27" s="18">
        <v>1200000</v>
      </c>
    </row>
    <row r="28" spans="1:5" x14ac:dyDescent="0.25">
      <c r="A28" s="26" t="s">
        <v>79</v>
      </c>
      <c r="B28" s="19">
        <v>0.05</v>
      </c>
      <c r="D28" s="26" t="s">
        <v>79</v>
      </c>
      <c r="E28" s="19">
        <v>0.05</v>
      </c>
    </row>
    <row r="29" spans="1:5" x14ac:dyDescent="0.25">
      <c r="A29" s="26"/>
      <c r="B29" s="32"/>
      <c r="D29" s="26"/>
      <c r="E29" s="32"/>
    </row>
    <row r="30" spans="1:5" x14ac:dyDescent="0.25">
      <c r="A30" s="38" t="s">
        <v>82</v>
      </c>
      <c r="B30" s="32"/>
      <c r="D30" s="38" t="s">
        <v>82</v>
      </c>
      <c r="E30" s="32"/>
    </row>
    <row r="31" spans="1:5" x14ac:dyDescent="0.25">
      <c r="A31" s="26" t="s">
        <v>55</v>
      </c>
      <c r="B31" s="29">
        <v>60</v>
      </c>
      <c r="D31" s="26" t="s">
        <v>55</v>
      </c>
      <c r="E31" s="29">
        <v>60</v>
      </c>
    </row>
    <row r="32" spans="1:5" ht="15.75" thickBot="1" x14ac:dyDescent="0.3">
      <c r="A32" s="31" t="s">
        <v>48</v>
      </c>
      <c r="B32" s="30">
        <v>80</v>
      </c>
      <c r="D32" s="31" t="s">
        <v>48</v>
      </c>
      <c r="E32" s="30">
        <v>80</v>
      </c>
    </row>
  </sheetData>
  <mergeCells count="2"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Dashboard</vt:lpstr>
      <vt:lpstr>Input-Basic</vt:lpstr>
      <vt:lpstr>Input-MonthlyExpenses</vt:lpstr>
      <vt:lpstr>Input-Events</vt:lpstr>
      <vt:lpstr>TestCases</vt:lpstr>
      <vt:lpstr>AnnaulROI</vt:lpstr>
      <vt:lpstr>annualAmountSWP</vt:lpstr>
      <vt:lpstr>annualChangeInSWP</vt:lpstr>
      <vt:lpstr>annualEffectivePostRetirementROI</vt:lpstr>
      <vt:lpstr>annualEffectiveROI</vt:lpstr>
      <vt:lpstr>annualIncreaseInSavings</vt:lpstr>
      <vt:lpstr>annualInflation</vt:lpstr>
      <vt:lpstr>annualInflationLifeStyle</vt:lpstr>
      <vt:lpstr>annualInflationOthers</vt:lpstr>
      <vt:lpstr>annualPostRetirementROI</vt:lpstr>
      <vt:lpstr>annualROI</vt:lpstr>
      <vt:lpstr>annualWithdrawalSWP_FV</vt:lpstr>
      <vt:lpstr>InflationCPI</vt:lpstr>
      <vt:lpstr>Dashboard!Print_Area</vt:lpstr>
      <vt:lpstr>swpLTCGExemption</vt:lpstr>
      <vt:lpstr>swpLTCGTaxPercentage</vt:lpstr>
      <vt:lpstr>swpOtherTaxExemptions</vt:lpstr>
      <vt:lpstr>TEsting</vt:lpstr>
      <vt:lpstr>userAge</vt:lpstr>
      <vt:lpstr>userAnnualSavings</vt:lpstr>
      <vt:lpstr>userCurrentLiabilities</vt:lpstr>
      <vt:lpstr>userCurrentSavings</vt:lpstr>
      <vt:lpstr>userDOB</vt:lpstr>
      <vt:lpstr>userIncome</vt:lpstr>
      <vt:lpstr>userLifeExpectancyAge</vt:lpstr>
      <vt:lpstr>userMonthlyExpenses</vt:lpstr>
      <vt:lpstr>userMonthlyIncome</vt:lpstr>
      <vt:lpstr>userName</vt:lpstr>
      <vt:lpstr>userRetirementAge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cp:lastPrinted>2024-08-30T13:50:32Z</cp:lastPrinted>
  <dcterms:created xsi:type="dcterms:W3CDTF">2015-06-05T18:17:20Z</dcterms:created>
  <dcterms:modified xsi:type="dcterms:W3CDTF">2024-09-15T19:41:07Z</dcterms:modified>
</cp:coreProperties>
</file>