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NASD22920\shared\users\rkayo\Unsorted Stuff\"/>
    </mc:Choice>
  </mc:AlternateContent>
  <xr:revisionPtr revIDLastSave="0" documentId="8_{7F96D865-6CFE-AD40-A797-9042B3F280B2}" xr6:coauthVersionLast="45" xr6:coauthVersionMax="45" xr10:uidLastSave="{00000000-0000-0000-0000-000000000000}"/>
  <bookViews>
    <workbookView xWindow="-25320" yWindow="-120" windowWidth="25440" windowHeight="15390" activeTab="1" xr2:uid="{00000000-000D-0000-FFFF-FFFF00000000}"/>
  </bookViews>
  <sheets>
    <sheet name="RADIAL  CHIP THINNING" sheetId="1" r:id="rId1"/>
    <sheet name="Drill  Tap" sheetId="3" r:id="rId2"/>
    <sheet name="Inspection Tools" sheetId="4" r:id="rId3"/>
    <sheet name="Makino Offset Finder" sheetId="5" r:id="rId4"/>
    <sheet name="Milling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" i="3" l="1"/>
  <c r="P6" i="2"/>
  <c r="L24" i="2"/>
  <c r="L26" i="2"/>
  <c r="L27" i="2"/>
  <c r="C31" i="2"/>
  <c r="I26" i="5"/>
  <c r="D30" i="5"/>
  <c r="I25" i="5"/>
  <c r="C30" i="5"/>
  <c r="I24" i="5"/>
  <c r="I20" i="5"/>
  <c r="E30" i="5"/>
  <c r="B31" i="5"/>
  <c r="C31" i="5"/>
  <c r="I9" i="5"/>
  <c r="I10" i="5"/>
  <c r="I8" i="5"/>
  <c r="C6" i="5"/>
  <c r="C7" i="5"/>
  <c r="I4" i="5"/>
  <c r="I5" i="5"/>
  <c r="C32" i="5"/>
  <c r="B32" i="5"/>
  <c r="C8" i="5"/>
  <c r="C9" i="5"/>
  <c r="G23" i="4"/>
  <c r="G26" i="4"/>
  <c r="C24" i="4"/>
  <c r="C16" i="4"/>
  <c r="G18" i="4"/>
  <c r="H18" i="4"/>
  <c r="G17" i="4"/>
  <c r="H17" i="4"/>
  <c r="G11" i="4"/>
  <c r="H11" i="4"/>
  <c r="G10" i="4"/>
  <c r="H10" i="4"/>
  <c r="H9" i="3"/>
  <c r="C9" i="4"/>
  <c r="H24" i="2"/>
  <c r="C24" i="2"/>
  <c r="C7" i="2"/>
  <c r="L15" i="2"/>
  <c r="K32" i="2"/>
  <c r="K33" i="2"/>
  <c r="H32" i="2"/>
  <c r="H33" i="2"/>
  <c r="C34" i="2"/>
  <c r="D30" i="2"/>
  <c r="C33" i="2"/>
  <c r="C24" i="3"/>
  <c r="H23" i="3"/>
  <c r="L16" i="3"/>
  <c r="H16" i="3"/>
  <c r="H17" i="3"/>
  <c r="C16" i="3"/>
  <c r="C17" i="3"/>
  <c r="L9" i="3"/>
  <c r="C9" i="3"/>
  <c r="L8" i="2"/>
  <c r="H17" i="2"/>
  <c r="C16" i="2"/>
  <c r="H8" i="2"/>
  <c r="B16" i="1"/>
  <c r="B13" i="1"/>
  <c r="B15" i="1"/>
  <c r="B18" i="1"/>
  <c r="B14" i="1"/>
  <c r="B17" i="1"/>
  <c r="D7" i="5"/>
  <c r="D9" i="5"/>
  <c r="B7" i="5"/>
  <c r="D6" i="5"/>
  <c r="D8" i="5"/>
  <c r="B9" i="5"/>
  <c r="B6" i="5"/>
  <c r="B8" i="5"/>
  <c r="D31" i="5"/>
  <c r="D32" i="5"/>
  <c r="B30" i="5"/>
</calcChain>
</file>

<file path=xl/sharedStrings.xml><?xml version="1.0" encoding="utf-8"?>
<sst xmlns="http://schemas.openxmlformats.org/spreadsheetml/2006/main" count="206" uniqueCount="126">
  <si>
    <t>TOOL DIA</t>
  </si>
  <si>
    <t>DESIRED CHIP THICKNESS</t>
  </si>
  <si>
    <t>RADIAL CHIP THINNING FORMULA</t>
  </si>
  <si>
    <t>PROGRAM PART FOR THIS CHIP LOAD</t>
  </si>
  <si>
    <t>FLUTES</t>
  </si>
  <si>
    <t>SFM</t>
  </si>
  <si>
    <t>NORMAL IPM</t>
  </si>
  <si>
    <t>ADJUSTED IPM</t>
  </si>
  <si>
    <t>RPM</t>
  </si>
  <si>
    <t>RICK K.</t>
  </si>
  <si>
    <t>AXIAL DOC</t>
  </si>
  <si>
    <t>ADJUSTED MATERIAL REMOVAL RATE</t>
  </si>
  <si>
    <t>NORMAL MATERIAL REMOVAL RATE</t>
  </si>
  <si>
    <t>COMMON MILLING CALCULATIONS</t>
  </si>
  <si>
    <t>RPM:</t>
  </si>
  <si>
    <t>SFM:</t>
  </si>
  <si>
    <t>IPM</t>
  </si>
  <si>
    <t>IPM:</t>
  </si>
  <si>
    <t>FPT:</t>
  </si>
  <si>
    <t>TAPPING</t>
  </si>
  <si>
    <t>% THREAD:</t>
  </si>
  <si>
    <t>TPI:</t>
  </si>
  <si>
    <t>DRILL SIZE:</t>
  </si>
  <si>
    <t>TAP OD:</t>
  </si>
  <si>
    <t>INCH FORM TAP DRILL SIZES</t>
  </si>
  <si>
    <t>INCH CUT TAP DRILL SIZES</t>
  </si>
  <si>
    <t>METRIC FORM TAP DRILL SIZES</t>
  </si>
  <si>
    <t>METRIC CUT TAP DRILL SIZES</t>
  </si>
  <si>
    <t>PITCH (MM):</t>
  </si>
  <si>
    <t>TAP OD (MM):</t>
  </si>
  <si>
    <t>Inch Thread %:</t>
  </si>
  <si>
    <t>Thread %:</t>
  </si>
  <si>
    <t>Major Dia:</t>
  </si>
  <si>
    <t>Minor Dia:</t>
  </si>
  <si>
    <t>Metric Thread %:</t>
  </si>
  <si>
    <t>(all dimensions in MM)</t>
  </si>
  <si>
    <t>Pitch:</t>
  </si>
  <si>
    <t>Drill Decimal:</t>
  </si>
  <si>
    <t>Drill MM:</t>
  </si>
  <si>
    <t>Tip Angle:</t>
  </si>
  <si>
    <t>Drill Diameter:</t>
  </si>
  <si>
    <t>Tip Length:</t>
  </si>
  <si>
    <t>Wire #</t>
  </si>
  <si>
    <t>CALCULATE MAJOR DIA OF WIRE# (6-32, 10-32, ETC)</t>
  </si>
  <si>
    <t>STEPOVER (RADIAL DOC)</t>
  </si>
  <si>
    <t xml:space="preserve"> </t>
  </si>
  <si>
    <t>DRILL PT LENGTH</t>
  </si>
  <si>
    <t>MRR</t>
  </si>
  <si>
    <t>MRR:</t>
  </si>
  <si>
    <t>RDOC:</t>
  </si>
  <si>
    <t>ADOC:</t>
  </si>
  <si>
    <t>Feedrate Adjustment - Outside Arc</t>
  </si>
  <si>
    <t>Tool Diameter:</t>
  </si>
  <si>
    <t>Program For This Feed:</t>
  </si>
  <si>
    <t>Feedrate Adjustment - Inside Arc</t>
  </si>
  <si>
    <t>Ball Nose Effective Dia</t>
  </si>
  <si>
    <t>Effective Dia:</t>
  </si>
  <si>
    <t>Axial DOC:</t>
  </si>
  <si>
    <t>Tool Dia:</t>
  </si>
  <si>
    <t>Adjusted RPM:</t>
  </si>
  <si>
    <t>Drills</t>
  </si>
  <si>
    <t>Taps</t>
  </si>
  <si>
    <t>Desired IPM:</t>
  </si>
  <si>
    <t>Desired SFM:</t>
  </si>
  <si>
    <t>Old  RPM:</t>
  </si>
  <si>
    <t>Helix Angle:</t>
  </si>
  <si>
    <t>Bore Diameter:</t>
  </si>
  <si>
    <t>Helix Diameter:</t>
  </si>
  <si>
    <t>Pitch / Helix Angle</t>
  </si>
  <si>
    <t>Diameter of Arc:</t>
  </si>
  <si>
    <t>Ballmill Deburr</t>
  </si>
  <si>
    <t>FPT</t>
  </si>
  <si>
    <t>Axial Radial DOC:</t>
  </si>
  <si>
    <t># Flutes:</t>
  </si>
  <si>
    <t>Convert Units</t>
  </si>
  <si>
    <t>Inches:</t>
  </si>
  <si>
    <t>MM:</t>
  </si>
  <si>
    <t>Find Nominal</t>
  </si>
  <si>
    <t>Nominal:</t>
  </si>
  <si>
    <t>Low End</t>
  </si>
  <si>
    <t>High End</t>
  </si>
  <si>
    <t>Tolerance +-:</t>
  </si>
  <si>
    <t>Circle Dia:</t>
  </si>
  <si>
    <t>Square</t>
  </si>
  <si>
    <t>Square Inside Circle</t>
  </si>
  <si>
    <t>Rectangle Inside Circle</t>
  </si>
  <si>
    <t>Length:</t>
  </si>
  <si>
    <t>Width:</t>
  </si>
  <si>
    <t>Minimum C</t>
  </si>
  <si>
    <t>Center Tolerance</t>
  </si>
  <si>
    <t>+</t>
  </si>
  <si>
    <t>-</t>
  </si>
  <si>
    <t>Tol +-:</t>
  </si>
  <si>
    <t>True Position Calc</t>
  </si>
  <si>
    <t>Deviation in X</t>
  </si>
  <si>
    <t>Deviation in Y</t>
  </si>
  <si>
    <t>True Position:</t>
  </si>
  <si>
    <t>(mm)</t>
  </si>
  <si>
    <t>Makino Offset Finder</t>
  </si>
  <si>
    <t>G54.1P2</t>
  </si>
  <si>
    <t>G54.1P3</t>
  </si>
  <si>
    <t>G54.1P4</t>
  </si>
  <si>
    <t>X</t>
  </si>
  <si>
    <t>Y</t>
  </si>
  <si>
    <t>Z</t>
  </si>
  <si>
    <t>B</t>
  </si>
  <si>
    <t>G54.1P5</t>
  </si>
  <si>
    <t>G54.1P6</t>
  </si>
  <si>
    <t>Angle from center</t>
  </si>
  <si>
    <t>Hypotenuse</t>
  </si>
  <si>
    <t>Part Offset</t>
  </si>
  <si>
    <t>Only If XYZ Zero Always Same Point</t>
  </si>
  <si>
    <t>If XY Zero Center for B0, At Edge for B90 / B-90</t>
  </si>
  <si>
    <t>Part Width</t>
  </si>
  <si>
    <t>New Offsets!</t>
  </si>
  <si>
    <t>INPUT NOMINAL NUMBERS ( FROM G90 G10 LINES )</t>
  </si>
  <si>
    <t>Input</t>
  </si>
  <si>
    <t>Don't touch</t>
  </si>
  <si>
    <t>Ball Nose Tilt Diameter</t>
  </si>
  <si>
    <t>Tilt Angle</t>
  </si>
  <si>
    <t>M/Min to SFM</t>
  </si>
  <si>
    <t>M/Min</t>
  </si>
  <si>
    <t>Plating Thickness (Per Side)</t>
  </si>
  <si>
    <t>Thread Angle (usually 60 degrees!)</t>
  </si>
  <si>
    <t>Adjust Pitch Dia bigger by this amount:</t>
  </si>
  <si>
    <t>Pitch Dia Adjustment for Plating (inches)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</si>
</sst>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  <xf numFmtId="0" fontId="4" fillId="3" borderId="2" applyNumberFormat="0" applyAlignment="0" applyProtection="0"/>
    <xf numFmtId="0" fontId="6" fillId="4" borderId="4" applyNumberFormat="0" applyFont="0" applyAlignment="0" applyProtection="0"/>
    <xf numFmtId="0" fontId="8" fillId="0" borderId="0" applyNumberFormat="0" applyFill="0" applyBorder="0" applyAlignment="0" applyProtection="0"/>
    <xf numFmtId="0" fontId="10" fillId="0" borderId="6" applyNumberFormat="0" applyFill="0" applyAlignment="0" applyProtection="0"/>
  </cellStyleXfs>
  <cellXfs count="63">
    <xf numFmtId="0" fontId="0" fillId="0" borderId="0" xfId="0"/>
    <xf numFmtId="0" fontId="2" fillId="2" borderId="2" xfId="2"/>
    <xf numFmtId="0" fontId="3" fillId="3" borderId="3" xfId="3"/>
    <xf numFmtId="0" fontId="1" fillId="0" borderId="1" xfId="1"/>
    <xf numFmtId="0" fontId="4" fillId="3" borderId="2" xfId="4" applyAlignment="1">
      <alignment horizontal="center"/>
    </xf>
    <xf numFmtId="0" fontId="0" fillId="0" borderId="0" xfId="0" applyAlignment="1">
      <alignment horizontal="center"/>
    </xf>
    <xf numFmtId="0" fontId="5" fillId="4" borderId="4" xfId="5" applyFont="1" applyAlignment="1">
      <alignment horizontal="center"/>
    </xf>
    <xf numFmtId="0" fontId="5" fillId="4" borderId="4" xfId="5" applyFont="1" applyAlignment="1">
      <alignment horizontal="center" vertical="center"/>
    </xf>
    <xf numFmtId="0" fontId="7" fillId="0" borderId="0" xfId="0" applyFont="1"/>
    <xf numFmtId="0" fontId="5" fillId="4" borderId="0" xfId="5" applyFont="1" applyBorder="1" applyAlignment="1">
      <alignment horizontal="center" vertical="center"/>
    </xf>
    <xf numFmtId="0" fontId="4" fillId="3" borderId="5" xfId="4" applyBorder="1" applyAlignment="1">
      <alignment horizontal="center"/>
    </xf>
    <xf numFmtId="164" fontId="3" fillId="3" borderId="3" xfId="3" applyNumberFormat="1"/>
    <xf numFmtId="165" fontId="3" fillId="3" borderId="3" xfId="3" applyNumberFormat="1"/>
    <xf numFmtId="2" fontId="3" fillId="3" borderId="3" xfId="3" applyNumberFormat="1"/>
    <xf numFmtId="0" fontId="9" fillId="0" borderId="0" xfId="0" applyFont="1"/>
    <xf numFmtId="0" fontId="8" fillId="5" borderId="0" xfId="6" applyFill="1"/>
    <xf numFmtId="0" fontId="10" fillId="0" borderId="6" xfId="7"/>
    <xf numFmtId="0" fontId="11" fillId="0" borderId="0" xfId="0" applyFont="1" applyProtection="1">
      <protection hidden="1"/>
    </xf>
    <xf numFmtId="0" fontId="0" fillId="0" borderId="0" xfId="0" applyProtection="1">
      <protection locked="0"/>
    </xf>
    <xf numFmtId="1" fontId="3" fillId="3" borderId="3" xfId="3" applyNumberFormat="1" applyProtection="1"/>
    <xf numFmtId="164" fontId="3" fillId="3" borderId="3" xfId="3" applyNumberFormat="1" applyProtection="1"/>
    <xf numFmtId="165" fontId="3" fillId="3" borderId="3" xfId="3" applyNumberFormat="1" applyProtection="1"/>
    <xf numFmtId="166" fontId="3" fillId="3" borderId="3" xfId="3" applyNumberFormat="1" applyProtection="1"/>
    <xf numFmtId="0" fontId="3" fillId="3" borderId="3" xfId="3" applyProtection="1"/>
    <xf numFmtId="0" fontId="2" fillId="2" borderId="2" xfId="2" applyProtection="1">
      <protection locked="0"/>
    </xf>
    <xf numFmtId="1" fontId="2" fillId="2" borderId="2" xfId="2" applyNumberFormat="1" applyProtection="1">
      <protection locked="0"/>
    </xf>
    <xf numFmtId="0" fontId="2" fillId="2" borderId="2" xfId="2" applyFont="1" applyProtection="1">
      <protection locked="0"/>
    </xf>
    <xf numFmtId="0" fontId="2" fillId="2" borderId="0" xfId="2" applyBorder="1" applyProtection="1">
      <protection locked="0"/>
    </xf>
    <xf numFmtId="2" fontId="3" fillId="3" borderId="3" xfId="3" applyNumberFormat="1" applyProtection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0" xfId="0" applyBorder="1"/>
    <xf numFmtId="0" fontId="2" fillId="2" borderId="2" xfId="2" applyBorder="1"/>
    <xf numFmtId="0" fontId="2" fillId="2" borderId="12" xfId="2" applyBorder="1"/>
    <xf numFmtId="0" fontId="4" fillId="3" borderId="12" xfId="4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4" fillId="3" borderId="16" xfId="4" applyBorder="1"/>
    <xf numFmtId="0" fontId="2" fillId="2" borderId="17" xfId="2" applyBorder="1"/>
    <xf numFmtId="0" fontId="4" fillId="3" borderId="2" xfId="4" applyBorder="1"/>
    <xf numFmtId="0" fontId="2" fillId="2" borderId="18" xfId="2" applyBorder="1"/>
    <xf numFmtId="0" fontId="0" fillId="0" borderId="0" xfId="0" applyBorder="1" applyProtection="1">
      <protection locked="0"/>
    </xf>
    <xf numFmtId="0" fontId="4" fillId="3" borderId="2" xfId="4" applyProtection="1">
      <protection locked="0"/>
    </xf>
    <xf numFmtId="164" fontId="4" fillId="3" borderId="2" xfId="4" applyNumberFormat="1" applyBorder="1" applyProtection="1"/>
    <xf numFmtId="0" fontId="0" fillId="0" borderId="0" xfId="0" applyBorder="1" applyProtection="1"/>
    <xf numFmtId="0" fontId="4" fillId="3" borderId="2" xfId="4" applyBorder="1" applyProtection="1"/>
    <xf numFmtId="164" fontId="4" fillId="3" borderId="2" xfId="4" applyNumberFormat="1" applyProtection="1"/>
    <xf numFmtId="0" fontId="4" fillId="3" borderId="2" xfId="4" applyProtection="1"/>
    <xf numFmtId="164" fontId="4" fillId="3" borderId="18" xfId="4" applyNumberFormat="1" applyBorder="1" applyProtection="1"/>
    <xf numFmtId="164" fontId="2" fillId="2" borderId="2" xfId="2" applyNumberFormat="1" applyBorder="1" applyProtection="1">
      <protection locked="0"/>
    </xf>
    <xf numFmtId="0" fontId="2" fillId="2" borderId="2" xfId="2" applyBorder="1" applyProtection="1">
      <protection locked="0"/>
    </xf>
    <xf numFmtId="164" fontId="2" fillId="2" borderId="18" xfId="2" applyNumberFormat="1" applyBorder="1" applyProtection="1">
      <protection locked="0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3" borderId="14" xfId="4" applyFont="1" applyBorder="1" applyAlignment="1">
      <alignment horizontal="center"/>
    </xf>
  </cellXfs>
  <cellStyles count="8">
    <cellStyle name="Calculation" xfId="4" builtinId="22"/>
    <cellStyle name="Heading 1" xfId="1" builtinId="16"/>
    <cellStyle name="Heading 2" xfId="7" builtinId="17"/>
    <cellStyle name="Input" xfId="2" builtinId="20"/>
    <cellStyle name="Normal" xfId="0" builtinId="0"/>
    <cellStyle name="Note" xfId="5" builtinId="10"/>
    <cellStyle name="Output" xfId="3" builtinId="21"/>
    <cellStyle name="Title" xfId="6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selection activeCell="B5" sqref="B5"/>
    </sheetView>
  </sheetViews>
  <sheetFormatPr defaultRowHeight="15" x14ac:dyDescent="0.2"/>
  <cols>
    <col min="1" max="1" width="43.1796875" customWidth="1"/>
    <col min="2" max="2" width="20.4453125" customWidth="1"/>
  </cols>
  <sheetData>
    <row r="1" spans="1:2" ht="20.25" thickBot="1" x14ac:dyDescent="0.3">
      <c r="A1" s="3" t="s">
        <v>2</v>
      </c>
      <c r="B1" s="5"/>
    </row>
    <row r="2" spans="1:2" ht="15.75" thickTop="1" x14ac:dyDescent="0.2">
      <c r="A2" s="8" t="s">
        <v>9</v>
      </c>
    </row>
    <row r="5" spans="1:2" x14ac:dyDescent="0.2">
      <c r="A5" s="4" t="s">
        <v>0</v>
      </c>
      <c r="B5" s="24">
        <v>0.75</v>
      </c>
    </row>
    <row r="6" spans="1:2" x14ac:dyDescent="0.2">
      <c r="A6" s="4" t="s">
        <v>44</v>
      </c>
      <c r="B6" s="24">
        <v>3.5000000000000003E-2</v>
      </c>
    </row>
    <row r="7" spans="1:2" x14ac:dyDescent="0.2">
      <c r="A7" s="4" t="s">
        <v>1</v>
      </c>
      <c r="B7" s="24">
        <v>0.01</v>
      </c>
    </row>
    <row r="8" spans="1:2" x14ac:dyDescent="0.2">
      <c r="A8" s="4" t="s">
        <v>5</v>
      </c>
      <c r="B8" s="24">
        <v>1200</v>
      </c>
    </row>
    <row r="9" spans="1:2" x14ac:dyDescent="0.2">
      <c r="A9" s="4" t="s">
        <v>4</v>
      </c>
      <c r="B9" s="27">
        <v>2</v>
      </c>
    </row>
    <row r="10" spans="1:2" x14ac:dyDescent="0.2">
      <c r="A10" s="10" t="s">
        <v>10</v>
      </c>
      <c r="B10" s="27">
        <v>1.25</v>
      </c>
    </row>
    <row r="13" spans="1:2" x14ac:dyDescent="0.2">
      <c r="A13" s="6" t="s">
        <v>3</v>
      </c>
      <c r="B13" s="11">
        <f>(0.5*(B5/B6))/SQRT((B5/B6)-1)*B7</f>
        <v>2.3705232796538023E-2</v>
      </c>
    </row>
    <row r="14" spans="1:2" x14ac:dyDescent="0.2">
      <c r="A14" s="7" t="s">
        <v>6</v>
      </c>
      <c r="B14" s="12">
        <f>B7*B9*B16</f>
        <v>122.24000000000001</v>
      </c>
    </row>
    <row r="15" spans="1:2" x14ac:dyDescent="0.2">
      <c r="A15" s="7" t="s">
        <v>7</v>
      </c>
      <c r="B15" s="12">
        <f>B13*B9*B16</f>
        <v>289.77276570488078</v>
      </c>
    </row>
    <row r="16" spans="1:2" x14ac:dyDescent="0.2">
      <c r="A16" s="7" t="s">
        <v>8</v>
      </c>
      <c r="B16" s="2">
        <f>(B8*3.82)/B5</f>
        <v>6112</v>
      </c>
    </row>
    <row r="17" spans="1:2" x14ac:dyDescent="0.2">
      <c r="A17" s="9" t="s">
        <v>12</v>
      </c>
      <c r="B17" s="13">
        <f>B10*B6*B14</f>
        <v>5.3480000000000008</v>
      </c>
    </row>
    <row r="18" spans="1:2" x14ac:dyDescent="0.2">
      <c r="A18" s="9" t="s">
        <v>11</v>
      </c>
      <c r="B18" s="13">
        <f>B10*B6*B15</f>
        <v>12.677558499588535</v>
      </c>
    </row>
  </sheetData>
  <sheetProtection algorithmName="SHA-512" hashValue="I7v2RBYJbqBo1xUQhU+cMIv0T6CY8TiQX1F/gIcueHSDFWkHO7vYPXp1WN8eeHG56raiJ2KTPASkjraRbPeSJw==" saltValue="NMxIrCQ6WHGxDbu6M8/8gA==" spinCount="100000" sheet="1" objects="1" scenarios="1" selectLockedCells="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tabSelected="1" workbookViewId="0">
      <selection activeCell="O7" sqref="O7"/>
    </sheetView>
  </sheetViews>
  <sheetFormatPr defaultRowHeight="15" x14ac:dyDescent="0.2"/>
  <cols>
    <col min="2" max="2" width="12.5078125" customWidth="1"/>
    <col min="3" max="3" width="14.125" bestFit="1" customWidth="1"/>
    <col min="7" max="7" width="13.5859375" bestFit="1" customWidth="1"/>
    <col min="14" max="14" width="34.70703125" customWidth="1"/>
  </cols>
  <sheetData>
    <row r="1" spans="1:15" ht="20.25" thickBot="1" x14ac:dyDescent="0.3">
      <c r="A1" s="3" t="s">
        <v>19</v>
      </c>
      <c r="C1" t="s">
        <v>45</v>
      </c>
    </row>
    <row r="2" spans="1:15" ht="15.75" thickTop="1" x14ac:dyDescent="0.2"/>
    <row r="4" spans="1:15" ht="18.75" thickBot="1" x14ac:dyDescent="0.3">
      <c r="B4" s="16" t="s">
        <v>24</v>
      </c>
      <c r="F4" s="16" t="s">
        <v>25</v>
      </c>
      <c r="J4" s="16" t="s">
        <v>30</v>
      </c>
      <c r="N4" s="16" t="s">
        <v>125</v>
      </c>
    </row>
    <row r="5" spans="1:15" ht="15.75" thickTop="1" x14ac:dyDescent="0.2"/>
    <row r="6" spans="1:15" x14ac:dyDescent="0.2">
      <c r="B6" s="1" t="s">
        <v>23</v>
      </c>
      <c r="C6" s="24">
        <v>0.3125</v>
      </c>
      <c r="G6" s="1" t="s">
        <v>23</v>
      </c>
      <c r="H6" s="24">
        <v>0.3125</v>
      </c>
      <c r="K6" s="1" t="s">
        <v>32</v>
      </c>
      <c r="L6" s="24">
        <v>0.3125</v>
      </c>
      <c r="N6" s="24" t="s">
        <v>122</v>
      </c>
      <c r="O6" s="24">
        <v>5.0000000000000001E-4</v>
      </c>
    </row>
    <row r="7" spans="1:15" x14ac:dyDescent="0.2">
      <c r="B7" s="1" t="s">
        <v>20</v>
      </c>
      <c r="C7" s="24">
        <v>70</v>
      </c>
      <c r="G7" s="1" t="s">
        <v>20</v>
      </c>
      <c r="H7" s="24">
        <v>77</v>
      </c>
      <c r="K7" s="1" t="s">
        <v>33</v>
      </c>
      <c r="L7" s="24">
        <v>0.25590000000000002</v>
      </c>
      <c r="N7" s="24" t="s">
        <v>123</v>
      </c>
      <c r="O7" s="24">
        <v>55</v>
      </c>
    </row>
    <row r="8" spans="1:15" x14ac:dyDescent="0.2">
      <c r="B8" s="1" t="s">
        <v>21</v>
      </c>
      <c r="C8" s="24">
        <v>2</v>
      </c>
      <c r="G8" s="1" t="s">
        <v>21</v>
      </c>
      <c r="H8" s="24">
        <v>18</v>
      </c>
      <c r="K8" s="1" t="s">
        <v>21</v>
      </c>
      <c r="L8" s="24">
        <v>18</v>
      </c>
      <c r="N8" s="23" t="s">
        <v>124</v>
      </c>
      <c r="O8" s="23">
        <f>(O6/COS(O7*PI()/180))*2</f>
        <v>1.7434467956210979E-3</v>
      </c>
    </row>
    <row r="9" spans="1:15" x14ac:dyDescent="0.2">
      <c r="B9" s="2" t="s">
        <v>22</v>
      </c>
      <c r="C9" s="20">
        <f>C6-((0.0068*C7)/C8)</f>
        <v>7.4500000000000011E-2</v>
      </c>
      <c r="G9" s="2" t="s">
        <v>22</v>
      </c>
      <c r="H9" s="20">
        <f>H6-((0.01299*H7)/H8)</f>
        <v>0.25693166666666667</v>
      </c>
      <c r="K9" s="2" t="s">
        <v>31</v>
      </c>
      <c r="L9" s="19">
        <f>((L6-L7)/0.01299)*L8</f>
        <v>78.429561200923771</v>
      </c>
    </row>
    <row r="11" spans="1:15" ht="18.75" thickBot="1" x14ac:dyDescent="0.3">
      <c r="B11" s="16" t="s">
        <v>26</v>
      </c>
      <c r="F11" s="16" t="s">
        <v>27</v>
      </c>
      <c r="J11" s="16" t="s">
        <v>34</v>
      </c>
      <c r="L11" t="s">
        <v>35</v>
      </c>
    </row>
    <row r="12" spans="1:15" ht="15.75" thickTop="1" x14ac:dyDescent="0.2"/>
    <row r="13" spans="1:15" x14ac:dyDescent="0.2">
      <c r="B13" s="1" t="s">
        <v>29</v>
      </c>
      <c r="C13" s="24">
        <v>5</v>
      </c>
      <c r="G13" s="1" t="s">
        <v>29</v>
      </c>
      <c r="H13" s="24">
        <v>12</v>
      </c>
      <c r="K13" s="1" t="s">
        <v>32</v>
      </c>
      <c r="L13" s="24">
        <v>12</v>
      </c>
    </row>
    <row r="14" spans="1:15" x14ac:dyDescent="0.2">
      <c r="B14" s="1" t="s">
        <v>20</v>
      </c>
      <c r="C14" s="24">
        <v>65</v>
      </c>
      <c r="G14" s="1" t="s">
        <v>20</v>
      </c>
      <c r="H14" s="24">
        <v>66</v>
      </c>
      <c r="K14" s="1" t="s">
        <v>33</v>
      </c>
      <c r="L14" s="24">
        <v>10.85</v>
      </c>
    </row>
    <row r="15" spans="1:15" x14ac:dyDescent="0.2">
      <c r="B15" s="1" t="s">
        <v>28</v>
      </c>
      <c r="C15" s="24">
        <v>0.8</v>
      </c>
      <c r="G15" s="1" t="s">
        <v>28</v>
      </c>
      <c r="H15" s="24">
        <v>1.75</v>
      </c>
      <c r="K15" s="1" t="s">
        <v>36</v>
      </c>
      <c r="L15" s="24">
        <v>1.75</v>
      </c>
    </row>
    <row r="16" spans="1:15" x14ac:dyDescent="0.2">
      <c r="B16" s="2" t="s">
        <v>38</v>
      </c>
      <c r="C16" s="28">
        <f>C13-((C14*C15)/147.06)</f>
        <v>4.6464028287773695</v>
      </c>
      <c r="G16" s="2" t="s">
        <v>38</v>
      </c>
      <c r="H16" s="13">
        <f>H13-((H14*H15)/76.98)</f>
        <v>10.499610288386593</v>
      </c>
      <c r="K16" s="2" t="s">
        <v>31</v>
      </c>
      <c r="L16" s="19">
        <f>((L13-L14)/(0.01299*L15))</f>
        <v>50.588364676124506</v>
      </c>
    </row>
    <row r="17" spans="1:8" x14ac:dyDescent="0.2">
      <c r="B17" s="2" t="s">
        <v>37</v>
      </c>
      <c r="C17" s="20">
        <f>C16/25.4</f>
        <v>0.18292924522745552</v>
      </c>
      <c r="G17" s="2" t="s">
        <v>37</v>
      </c>
      <c r="H17" s="20">
        <f>H16/25.4</f>
        <v>0.41337048379474778</v>
      </c>
    </row>
    <row r="18" spans="1:8" ht="20.25" thickBot="1" x14ac:dyDescent="0.3">
      <c r="A18" s="3" t="s">
        <v>60</v>
      </c>
      <c r="F18" s="3" t="s">
        <v>61</v>
      </c>
    </row>
    <row r="19" spans="1:8" ht="15.75" thickTop="1" x14ac:dyDescent="0.2"/>
    <row r="21" spans="1:8" ht="18.75" thickBot="1" x14ac:dyDescent="0.3">
      <c r="B21" s="16" t="s">
        <v>46</v>
      </c>
      <c r="F21" s="16" t="s">
        <v>43</v>
      </c>
    </row>
    <row r="22" spans="1:8" ht="15.75" thickTop="1" x14ac:dyDescent="0.2">
      <c r="B22" s="1" t="s">
        <v>39</v>
      </c>
      <c r="C22" s="24">
        <v>120</v>
      </c>
      <c r="G22" s="1" t="s">
        <v>42</v>
      </c>
      <c r="H22" s="24">
        <v>5</v>
      </c>
    </row>
    <row r="23" spans="1:8" x14ac:dyDescent="0.2">
      <c r="B23" s="1" t="s">
        <v>40</v>
      </c>
      <c r="C23" s="24">
        <v>0.25</v>
      </c>
      <c r="G23" s="2" t="s">
        <v>32</v>
      </c>
      <c r="H23" s="20">
        <f>(0.013)*H22+0.06</f>
        <v>0.125</v>
      </c>
    </row>
    <row r="24" spans="1:8" x14ac:dyDescent="0.2">
      <c r="B24" s="2" t="s">
        <v>41</v>
      </c>
      <c r="C24" s="20">
        <f>((C23/2)*(1/TAN((C22/2)*PI()/180)))</f>
        <v>7.2168783648703244E-2</v>
      </c>
    </row>
  </sheetData>
  <sheetProtection algorithmName="SHA-512" hashValue="gvNFoR+q63FKrH2fccBfNkR2AjGR5bGFF4cWFufx1UwvHazT+i4Jpf97EO44vBw4u0gSeE/fL5FpdzPdfxoKRg==" saltValue="bmg2ZVu0vHdds1Y8rHvM2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I26"/>
  <sheetViews>
    <sheetView workbookViewId="0">
      <selection activeCell="G7" sqref="G7"/>
    </sheetView>
  </sheetViews>
  <sheetFormatPr defaultRowHeight="15" x14ac:dyDescent="0.2"/>
  <cols>
    <col min="2" max="2" width="13.44921875" bestFit="1" customWidth="1"/>
  </cols>
  <sheetData>
    <row r="5" spans="1:9" ht="20.25" thickBot="1" x14ac:dyDescent="0.3">
      <c r="A5" s="3" t="s">
        <v>93</v>
      </c>
      <c r="E5" s="3" t="s">
        <v>89</v>
      </c>
    </row>
    <row r="6" spans="1:9" ht="15.75" thickTop="1" x14ac:dyDescent="0.2"/>
    <row r="7" spans="1:9" x14ac:dyDescent="0.2">
      <c r="B7" s="1" t="s">
        <v>94</v>
      </c>
      <c r="C7" s="24">
        <v>2E-3</v>
      </c>
      <c r="F7" s="1" t="s">
        <v>78</v>
      </c>
      <c r="G7" s="24">
        <v>1.083</v>
      </c>
    </row>
    <row r="8" spans="1:9" x14ac:dyDescent="0.2">
      <c r="B8" s="1" t="s">
        <v>95</v>
      </c>
      <c r="C8" s="24">
        <v>2E-3</v>
      </c>
      <c r="F8" s="1" t="s">
        <v>90</v>
      </c>
      <c r="G8" s="24">
        <v>1.2E-2</v>
      </c>
    </row>
    <row r="9" spans="1:9" x14ac:dyDescent="0.2">
      <c r="B9" s="2" t="s">
        <v>96</v>
      </c>
      <c r="C9" s="20">
        <f>2*((C7^2+C8^2)^0.5)</f>
        <v>5.6568542494923801E-3</v>
      </c>
      <c r="F9" s="1" t="s">
        <v>91</v>
      </c>
      <c r="G9" s="24">
        <v>1E-3</v>
      </c>
    </row>
    <row r="10" spans="1:9" x14ac:dyDescent="0.2">
      <c r="F10" s="2" t="s">
        <v>78</v>
      </c>
      <c r="G10" s="20">
        <f>((G8-G9))/2+G7</f>
        <v>1.0885</v>
      </c>
      <c r="H10" s="20">
        <f>G10/25.4</f>
        <v>4.2854330708661417E-2</v>
      </c>
      <c r="I10" s="20" t="s">
        <v>97</v>
      </c>
    </row>
    <row r="11" spans="1:9" x14ac:dyDescent="0.2">
      <c r="F11" s="2" t="s">
        <v>92</v>
      </c>
      <c r="G11" s="20">
        <f>((G8+G9))/2</f>
        <v>6.5000000000000006E-3</v>
      </c>
      <c r="H11" s="20">
        <f>G11/25.4</f>
        <v>2.5590551181102364E-4</v>
      </c>
      <c r="I11" s="20" t="s">
        <v>97</v>
      </c>
    </row>
    <row r="13" spans="1:9" ht="20.25" thickBot="1" x14ac:dyDescent="0.3">
      <c r="A13" s="3" t="s">
        <v>84</v>
      </c>
      <c r="E13" s="3" t="s">
        <v>77</v>
      </c>
    </row>
    <row r="14" spans="1:9" ht="15.75" thickTop="1" x14ac:dyDescent="0.2"/>
    <row r="15" spans="1:9" x14ac:dyDescent="0.2">
      <c r="B15" s="1" t="s">
        <v>82</v>
      </c>
      <c r="C15" s="24">
        <v>10</v>
      </c>
      <c r="F15" s="1" t="s">
        <v>80</v>
      </c>
      <c r="G15" s="24">
        <v>8.0500000000000007</v>
      </c>
    </row>
    <row r="16" spans="1:9" x14ac:dyDescent="0.2">
      <c r="B16" s="2" t="s">
        <v>83</v>
      </c>
      <c r="C16" s="22">
        <f>(SQRT((C15*C15)/2))</f>
        <v>7.0710678118654755</v>
      </c>
      <c r="F16" s="1" t="s">
        <v>79</v>
      </c>
      <c r="G16" s="24">
        <v>8.0299999999999994</v>
      </c>
    </row>
    <row r="17" spans="1:9" x14ac:dyDescent="0.2">
      <c r="F17" s="2" t="s">
        <v>78</v>
      </c>
      <c r="G17" s="20">
        <f>(G15+G16)/2</f>
        <v>8.0399999999999991</v>
      </c>
      <c r="H17" s="20">
        <f>G17/25.4</f>
        <v>0.31653543307086612</v>
      </c>
      <c r="I17" s="20" t="s">
        <v>97</v>
      </c>
    </row>
    <row r="18" spans="1:9" x14ac:dyDescent="0.2">
      <c r="F18" s="2" t="s">
        <v>81</v>
      </c>
      <c r="G18" s="20">
        <f>(G15-G16)/2</f>
        <v>1.0000000000000675E-2</v>
      </c>
      <c r="H18" s="20">
        <f>G18/25.4</f>
        <v>3.9370078740160141E-4</v>
      </c>
      <c r="I18" s="20" t="s">
        <v>97</v>
      </c>
    </row>
    <row r="20" spans="1:9" ht="20.25" thickBot="1" x14ac:dyDescent="0.3">
      <c r="A20" s="3" t="s">
        <v>85</v>
      </c>
      <c r="E20" s="3" t="s">
        <v>74</v>
      </c>
    </row>
    <row r="21" spans="1:9" ht="15.75" thickTop="1" x14ac:dyDescent="0.2"/>
    <row r="22" spans="1:9" x14ac:dyDescent="0.2">
      <c r="B22" s="1" t="s">
        <v>86</v>
      </c>
      <c r="C22" s="24">
        <v>10</v>
      </c>
      <c r="F22" s="1" t="s">
        <v>75</v>
      </c>
      <c r="G22" s="24">
        <v>0.125</v>
      </c>
    </row>
    <row r="23" spans="1:9" x14ac:dyDescent="0.2">
      <c r="B23" s="1" t="s">
        <v>87</v>
      </c>
      <c r="C23" s="24">
        <v>5</v>
      </c>
      <c r="F23" s="2" t="s">
        <v>76</v>
      </c>
      <c r="G23" s="20">
        <f>G22*25.4</f>
        <v>3.1749999999999998</v>
      </c>
    </row>
    <row r="24" spans="1:9" x14ac:dyDescent="0.2">
      <c r="B24" s="2" t="s">
        <v>88</v>
      </c>
      <c r="C24" s="22">
        <f>(SQRT((C22*C22)+(C23*C23)))</f>
        <v>11.180339887498949</v>
      </c>
    </row>
    <row r="25" spans="1:9" x14ac:dyDescent="0.2">
      <c r="F25" s="1" t="s">
        <v>76</v>
      </c>
      <c r="G25" s="24">
        <v>8.0449999999999999</v>
      </c>
    </row>
    <row r="26" spans="1:9" x14ac:dyDescent="0.2">
      <c r="F26" s="2" t="s">
        <v>75</v>
      </c>
      <c r="G26" s="20">
        <f>G25/25.4</f>
        <v>0.31673228346456694</v>
      </c>
    </row>
  </sheetData>
  <sheetProtection algorithmName="SHA-512" hashValue="Rt8/3tjf6W8TfLKmn1/hBuOgxSmN+pucYinq53vbijxt4hxfahq52zY4iqW3TFtQpt1l5zXzY+uWeqSua47hcg==" saltValue="Aq3+sj8ADXVt88nDawa2Dg==" spinCount="100000" sheet="1" objects="1" scenarios="1" selectLockedCell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workbookViewId="0">
      <selection activeCell="D5" sqref="D5"/>
    </sheetView>
  </sheetViews>
  <sheetFormatPr defaultRowHeight="15" x14ac:dyDescent="0.2"/>
  <cols>
    <col min="1" max="1" width="11.1640625" customWidth="1"/>
    <col min="8" max="8" width="17.484375" customWidth="1"/>
    <col min="10" max="10" width="13.046875" customWidth="1"/>
  </cols>
  <sheetData>
    <row r="1" spans="1:10" ht="15.75" thickBot="1" x14ac:dyDescent="0.25"/>
    <row r="2" spans="1:10" x14ac:dyDescent="0.2">
      <c r="A2" s="56" t="s">
        <v>98</v>
      </c>
      <c r="B2" s="57"/>
      <c r="C2" s="57"/>
      <c r="D2" s="57"/>
      <c r="E2" s="30"/>
      <c r="F2" s="30"/>
      <c r="G2" s="30"/>
      <c r="H2" s="41" t="s">
        <v>117</v>
      </c>
      <c r="I2" s="30"/>
      <c r="J2" s="42" t="s">
        <v>116</v>
      </c>
    </row>
    <row r="3" spans="1:10" x14ac:dyDescent="0.2">
      <c r="A3" s="58" t="s">
        <v>111</v>
      </c>
      <c r="B3" s="59"/>
      <c r="C3" s="59"/>
      <c r="D3" s="59"/>
      <c r="E3" s="32"/>
      <c r="F3" s="32"/>
      <c r="G3" s="32"/>
      <c r="H3" s="32"/>
      <c r="I3" s="32"/>
      <c r="J3" s="33"/>
    </row>
    <row r="4" spans="1:10" x14ac:dyDescent="0.2">
      <c r="A4" s="34"/>
      <c r="B4" s="35" t="s">
        <v>102</v>
      </c>
      <c r="C4" s="35" t="s">
        <v>103</v>
      </c>
      <c r="D4" s="35" t="s">
        <v>104</v>
      </c>
      <c r="E4" s="35" t="s">
        <v>105</v>
      </c>
      <c r="F4" s="32"/>
      <c r="G4" s="32"/>
      <c r="H4" s="43" t="s">
        <v>108</v>
      </c>
      <c r="I4" s="47">
        <f>DEGREES(ATAN(I8/I10))</f>
        <v>2.9307755480099922</v>
      </c>
      <c r="J4" s="33"/>
    </row>
    <row r="5" spans="1:10" x14ac:dyDescent="0.2">
      <c r="A5" s="36" t="s">
        <v>99</v>
      </c>
      <c r="B5" s="53">
        <v>0.50390000000000001</v>
      </c>
      <c r="C5" s="53">
        <v>-26.036899999999999</v>
      </c>
      <c r="D5" s="53">
        <v>9.8424999999999994</v>
      </c>
      <c r="E5" s="53">
        <v>0</v>
      </c>
      <c r="F5" s="32"/>
      <c r="G5" s="32"/>
      <c r="H5" s="43" t="s">
        <v>109</v>
      </c>
      <c r="I5" s="47">
        <f>I10/COS(RADIANS(I4))</f>
        <v>9.855390477297183</v>
      </c>
      <c r="J5" s="33"/>
    </row>
    <row r="6" spans="1:10" x14ac:dyDescent="0.2">
      <c r="A6" s="37" t="s">
        <v>100</v>
      </c>
      <c r="B6" s="47">
        <f>SIN(RADIANS(I4-E6))*I5</f>
        <v>-9.8424999999999994</v>
      </c>
      <c r="C6" s="47">
        <f>C5</f>
        <v>-26.036899999999999</v>
      </c>
      <c r="D6" s="47">
        <f>COS(RADIANS(I4-E6))*I5</f>
        <v>0.50389999999999957</v>
      </c>
      <c r="E6" s="53">
        <v>90</v>
      </c>
      <c r="F6" s="32"/>
      <c r="G6" s="32"/>
      <c r="H6" s="32"/>
      <c r="I6" s="48"/>
      <c r="J6" s="33"/>
    </row>
    <row r="7" spans="1:10" x14ac:dyDescent="0.2">
      <c r="A7" s="37" t="s">
        <v>101</v>
      </c>
      <c r="B7" s="47">
        <f>SIN(RADIANS(I4-E7))*I5</f>
        <v>9.8424999999999994</v>
      </c>
      <c r="C7" s="47">
        <f>C6</f>
        <v>-26.036899999999999</v>
      </c>
      <c r="D7" s="47">
        <f>COS(RADIANS(I4-E7))*I5</f>
        <v>-0.50390000000000046</v>
      </c>
      <c r="E7" s="53">
        <v>-90</v>
      </c>
      <c r="F7" s="32"/>
      <c r="G7" s="32"/>
      <c r="H7" s="32"/>
      <c r="I7" s="48"/>
      <c r="J7" s="33"/>
    </row>
    <row r="8" spans="1:10" x14ac:dyDescent="0.2">
      <c r="A8" s="37" t="s">
        <v>106</v>
      </c>
      <c r="B8" s="47">
        <f>SIN(RADIANS(I4-E8))*I5</f>
        <v>9.8553832841727136</v>
      </c>
      <c r="C8" s="47">
        <f>C7</f>
        <v>-26.036899999999999</v>
      </c>
      <c r="D8" s="47">
        <f>COS(RADIANS(I4-E8))*I5</f>
        <v>1.1907226758345076E-2</v>
      </c>
      <c r="E8" s="53">
        <v>-87</v>
      </c>
      <c r="F8" s="32"/>
      <c r="G8" s="32"/>
      <c r="H8" s="43" t="s">
        <v>102</v>
      </c>
      <c r="I8" s="49">
        <f>IF(B13&lt;&gt;"0",B5+B13,B5)</f>
        <v>0.50390000000000001</v>
      </c>
      <c r="J8" s="33"/>
    </row>
    <row r="9" spans="1:10" x14ac:dyDescent="0.2">
      <c r="A9" s="37" t="s">
        <v>107</v>
      </c>
      <c r="B9" s="47">
        <f>SIN(RADIANS(I4-E9))*I5</f>
        <v>-8.7758050367483378</v>
      </c>
      <c r="C9" s="47">
        <f>C8</f>
        <v>-26.036899999999999</v>
      </c>
      <c r="D9" s="47">
        <f>COS(RADIANS(I4-E9))*I5</f>
        <v>-4.4848597990330203</v>
      </c>
      <c r="E9" s="53">
        <v>120</v>
      </c>
      <c r="F9" s="32"/>
      <c r="G9" s="32"/>
      <c r="H9" s="43" t="s">
        <v>103</v>
      </c>
      <c r="I9" s="49">
        <f>IF(C13&lt;&gt;"0",C5+C13,C5)</f>
        <v>-26.036899999999999</v>
      </c>
      <c r="J9" s="33"/>
    </row>
    <row r="10" spans="1:10" x14ac:dyDescent="0.2">
      <c r="A10" s="34"/>
      <c r="B10" s="32"/>
      <c r="C10" s="32"/>
      <c r="D10" s="32"/>
      <c r="E10" s="32"/>
      <c r="F10" s="32"/>
      <c r="G10" s="32"/>
      <c r="H10" s="43" t="s">
        <v>104</v>
      </c>
      <c r="I10" s="49">
        <f>IF(D13&lt;&gt;"0",D5+D13,D5)</f>
        <v>9.8424999999999994</v>
      </c>
      <c r="J10" s="33"/>
    </row>
    <row r="11" spans="1:10" x14ac:dyDescent="0.2">
      <c r="A11" s="34"/>
      <c r="B11" s="32"/>
      <c r="C11" s="32"/>
      <c r="D11" s="32"/>
      <c r="E11" s="32"/>
      <c r="F11" s="32"/>
      <c r="G11" s="32"/>
      <c r="H11" s="32"/>
      <c r="I11" s="32"/>
      <c r="J11" s="33"/>
    </row>
    <row r="12" spans="1:10" x14ac:dyDescent="0.2">
      <c r="A12" s="36" t="s">
        <v>110</v>
      </c>
      <c r="B12" s="35" t="s">
        <v>102</v>
      </c>
      <c r="C12" s="35" t="s">
        <v>103</v>
      </c>
      <c r="D12" s="35" t="s">
        <v>104</v>
      </c>
      <c r="E12" s="32"/>
      <c r="F12" s="32"/>
      <c r="G12" s="32"/>
      <c r="H12" s="32"/>
      <c r="I12" s="32"/>
      <c r="J12" s="33"/>
    </row>
    <row r="13" spans="1:10" x14ac:dyDescent="0.2">
      <c r="A13" s="34"/>
      <c r="B13" s="54">
        <v>0</v>
      </c>
      <c r="C13" s="54">
        <v>0</v>
      </c>
      <c r="D13" s="54">
        <v>0</v>
      </c>
      <c r="E13" s="32"/>
      <c r="F13" s="32"/>
      <c r="G13" s="32"/>
      <c r="H13" s="32"/>
      <c r="I13" s="32"/>
      <c r="J13" s="33"/>
    </row>
    <row r="14" spans="1:10" x14ac:dyDescent="0.2">
      <c r="A14" s="34"/>
      <c r="B14" s="32"/>
      <c r="C14" s="32"/>
      <c r="D14" s="32"/>
      <c r="E14" s="32"/>
      <c r="F14" s="32"/>
      <c r="G14" s="32"/>
      <c r="H14" s="32"/>
      <c r="I14" s="32"/>
      <c r="J14" s="33"/>
    </row>
    <row r="15" spans="1:10" ht="15.75" thickBot="1" x14ac:dyDescent="0.25">
      <c r="A15" s="38"/>
      <c r="B15" s="39"/>
      <c r="C15" s="39"/>
      <c r="D15" s="39"/>
      <c r="E15" s="39"/>
      <c r="F15" s="39"/>
      <c r="G15" s="39"/>
      <c r="H15" s="39"/>
      <c r="I15" s="39"/>
      <c r="J15" s="40"/>
    </row>
    <row r="17" spans="1:9" ht="15.75" thickBot="1" x14ac:dyDescent="0.25">
      <c r="A17" s="32"/>
      <c r="B17" s="32"/>
      <c r="C17" s="32"/>
      <c r="D17" s="32"/>
      <c r="E17" s="32"/>
      <c r="F17" s="32"/>
      <c r="G17" s="32"/>
      <c r="H17" s="32"/>
      <c r="I17" s="32"/>
    </row>
    <row r="18" spans="1:9" x14ac:dyDescent="0.2">
      <c r="A18" s="29" t="s">
        <v>115</v>
      </c>
      <c r="B18" s="30"/>
      <c r="C18" s="30"/>
      <c r="D18" s="30"/>
      <c r="E18" s="31"/>
      <c r="G18" s="32"/>
      <c r="H18" s="32"/>
      <c r="I18" s="32"/>
    </row>
    <row r="19" spans="1:9" x14ac:dyDescent="0.2">
      <c r="A19" s="34"/>
      <c r="B19" s="35" t="s">
        <v>102</v>
      </c>
      <c r="C19" s="35" t="s">
        <v>103</v>
      </c>
      <c r="D19" s="35" t="s">
        <v>104</v>
      </c>
      <c r="E19" s="44" t="s">
        <v>105</v>
      </c>
      <c r="G19" s="32"/>
      <c r="H19" s="32"/>
      <c r="I19" s="32"/>
    </row>
    <row r="20" spans="1:9" x14ac:dyDescent="0.2">
      <c r="A20" s="36" t="s">
        <v>99</v>
      </c>
      <c r="B20" s="53">
        <v>0</v>
      </c>
      <c r="C20" s="53">
        <v>-23.380099999999999</v>
      </c>
      <c r="D20" s="53">
        <v>7.7160000000000002</v>
      </c>
      <c r="E20" s="55">
        <v>0</v>
      </c>
      <c r="G20" s="32"/>
      <c r="H20" s="46" t="s">
        <v>113</v>
      </c>
      <c r="I20" s="50">
        <f>D21+D22</f>
        <v>8.5</v>
      </c>
    </row>
    <row r="21" spans="1:9" x14ac:dyDescent="0.2">
      <c r="A21" s="36" t="s">
        <v>100</v>
      </c>
      <c r="B21" s="53">
        <v>-7.7160000000000002</v>
      </c>
      <c r="C21" s="53">
        <v>23.380099999999999</v>
      </c>
      <c r="D21" s="53">
        <v>4.25</v>
      </c>
      <c r="E21" s="55">
        <v>90</v>
      </c>
      <c r="G21" s="32"/>
      <c r="H21" s="45"/>
      <c r="I21" s="48"/>
    </row>
    <row r="22" spans="1:9" x14ac:dyDescent="0.2">
      <c r="A22" s="36" t="s">
        <v>101</v>
      </c>
      <c r="B22" s="53">
        <v>7.7160000000000002</v>
      </c>
      <c r="C22" s="53">
        <v>-23.380099999999999</v>
      </c>
      <c r="D22" s="53">
        <v>4.25</v>
      </c>
      <c r="E22" s="55">
        <v>-90</v>
      </c>
      <c r="G22" s="32"/>
      <c r="H22" s="45"/>
      <c r="I22" s="48"/>
    </row>
    <row r="23" spans="1:9" x14ac:dyDescent="0.2">
      <c r="A23" s="34"/>
      <c r="B23" s="32"/>
      <c r="C23" s="32"/>
      <c r="D23" s="32"/>
      <c r="E23" s="33"/>
      <c r="G23" s="32"/>
      <c r="H23" s="45"/>
      <c r="I23" s="48"/>
    </row>
    <row r="24" spans="1:9" x14ac:dyDescent="0.2">
      <c r="A24" s="36" t="s">
        <v>110</v>
      </c>
      <c r="B24" s="35" t="s">
        <v>102</v>
      </c>
      <c r="C24" s="35" t="s">
        <v>103</v>
      </c>
      <c r="D24" s="35" t="s">
        <v>104</v>
      </c>
      <c r="E24" s="33"/>
      <c r="G24" s="32"/>
      <c r="H24" s="46" t="s">
        <v>102</v>
      </c>
      <c r="I24" s="51">
        <f>IF(B25&lt;&gt;"0",B20+B25,B20)</f>
        <v>0</v>
      </c>
    </row>
    <row r="25" spans="1:9" x14ac:dyDescent="0.2">
      <c r="A25" s="34"/>
      <c r="B25" s="54">
        <v>0</v>
      </c>
      <c r="C25" s="54">
        <v>0</v>
      </c>
      <c r="D25" s="54">
        <v>0</v>
      </c>
      <c r="E25" s="33"/>
      <c r="G25" s="32"/>
      <c r="H25" s="46" t="s">
        <v>103</v>
      </c>
      <c r="I25" s="51">
        <f>IF(C25&lt;&gt;"0",C20+C25,C20)</f>
        <v>-23.380099999999999</v>
      </c>
    </row>
    <row r="26" spans="1:9" x14ac:dyDescent="0.2">
      <c r="A26" s="34"/>
      <c r="B26" s="32"/>
      <c r="C26" s="32"/>
      <c r="D26" s="32"/>
      <c r="E26" s="33"/>
      <c r="F26" s="32"/>
      <c r="G26" s="32"/>
      <c r="H26" s="46" t="s">
        <v>104</v>
      </c>
      <c r="I26" s="51">
        <f>IF(D25&lt;&gt;"0",D20+D25,D20)</f>
        <v>7.7160000000000002</v>
      </c>
    </row>
    <row r="27" spans="1:9" x14ac:dyDescent="0.2">
      <c r="A27" s="34"/>
      <c r="B27" s="60" t="s">
        <v>112</v>
      </c>
      <c r="C27" s="60"/>
      <c r="D27" s="60"/>
      <c r="E27" s="61"/>
      <c r="G27" s="32"/>
      <c r="H27" s="32"/>
      <c r="I27" s="32"/>
    </row>
    <row r="28" spans="1:9" x14ac:dyDescent="0.2">
      <c r="A28" s="34"/>
      <c r="B28" s="32"/>
      <c r="C28" s="32"/>
      <c r="D28" s="32"/>
      <c r="E28" s="33"/>
    </row>
    <row r="29" spans="1:9" x14ac:dyDescent="0.2">
      <c r="A29" s="34"/>
      <c r="B29" s="35" t="s">
        <v>102</v>
      </c>
      <c r="C29" s="35" t="s">
        <v>103</v>
      </c>
      <c r="D29" s="35" t="s">
        <v>104</v>
      </c>
      <c r="E29" s="44" t="s">
        <v>105</v>
      </c>
    </row>
    <row r="30" spans="1:9" x14ac:dyDescent="0.2">
      <c r="A30" s="37" t="s">
        <v>99</v>
      </c>
      <c r="B30" s="47">
        <f>I24</f>
        <v>0</v>
      </c>
      <c r="C30" s="47">
        <f>I25</f>
        <v>-23.380099999999999</v>
      </c>
      <c r="D30" s="47">
        <f>I26</f>
        <v>7.7160000000000002</v>
      </c>
      <c r="E30" s="52">
        <f>E20</f>
        <v>0</v>
      </c>
    </row>
    <row r="31" spans="1:9" x14ac:dyDescent="0.2">
      <c r="A31" s="37" t="s">
        <v>100</v>
      </c>
      <c r="B31" s="47">
        <f>I26</f>
        <v>7.7160000000000002</v>
      </c>
      <c r="C31" s="47">
        <f>I25</f>
        <v>-23.380099999999999</v>
      </c>
      <c r="D31" s="47">
        <f>(I20/2)+I24</f>
        <v>4.25</v>
      </c>
      <c r="E31" s="52">
        <v>90</v>
      </c>
    </row>
    <row r="32" spans="1:9" x14ac:dyDescent="0.2">
      <c r="A32" s="37" t="s">
        <v>101</v>
      </c>
      <c r="B32" s="47">
        <f>-1*I26</f>
        <v>-7.7160000000000002</v>
      </c>
      <c r="C32" s="47">
        <f>I25</f>
        <v>-23.380099999999999</v>
      </c>
      <c r="D32" s="47">
        <f>(I20/2)-I24</f>
        <v>4.25</v>
      </c>
      <c r="E32" s="52">
        <v>-90</v>
      </c>
    </row>
    <row r="33" spans="1:5" ht="15.75" thickBot="1" x14ac:dyDescent="0.25">
      <c r="A33" s="38"/>
      <c r="B33" s="39"/>
      <c r="C33" s="62" t="s">
        <v>114</v>
      </c>
      <c r="D33" s="62"/>
      <c r="E33" s="40"/>
    </row>
  </sheetData>
  <sheetProtection algorithmName="SHA-512" hashValue="0eqxEJ2wuNkqPEAZTXXNAw1nSGyPTW+7rPDXvA6BABe7sSuGUUGAY5LhDQklDEMQyzdzIcJ5RIaVZYdL5qZkJw==" saltValue="fZhxTfUPHFYGocN2I4euQw==" spinCount="100000" sheet="1" objects="1" scenarios="1" selectLockedCells="1"/>
  <mergeCells count="4">
    <mergeCell ref="A2:D2"/>
    <mergeCell ref="A3:D3"/>
    <mergeCell ref="B27:E27"/>
    <mergeCell ref="C33:D3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2"/>
  <sheetViews>
    <sheetView workbookViewId="0">
      <selection activeCell="L7" sqref="L7"/>
    </sheetView>
  </sheetViews>
  <sheetFormatPr defaultRowHeight="15" x14ac:dyDescent="0.2"/>
  <cols>
    <col min="1" max="1" width="14.9296875" customWidth="1"/>
    <col min="2" max="2" width="21.5234375" bestFit="1" customWidth="1"/>
    <col min="6" max="6" width="10.35546875" customWidth="1"/>
    <col min="7" max="7" width="21.5234375" bestFit="1" customWidth="1"/>
    <col min="10" max="10" width="19.50390625" bestFit="1" customWidth="1"/>
    <col min="11" max="11" width="16.27734375" bestFit="1" customWidth="1"/>
    <col min="12" max="12" width="12.23828125" customWidth="1"/>
  </cols>
  <sheetData>
    <row r="1" spans="1:16" ht="25.5" x14ac:dyDescent="0.4">
      <c r="A1" s="15" t="s">
        <v>13</v>
      </c>
      <c r="B1" s="15"/>
      <c r="C1" s="15"/>
      <c r="D1" s="15"/>
      <c r="E1" s="15"/>
      <c r="F1" s="15"/>
    </row>
    <row r="3" spans="1:16" ht="20.25" thickBot="1" x14ac:dyDescent="0.3">
      <c r="A3" s="3" t="s">
        <v>8</v>
      </c>
      <c r="F3" s="3" t="s">
        <v>16</v>
      </c>
      <c r="H3" s="18"/>
      <c r="J3" s="3" t="s">
        <v>47</v>
      </c>
      <c r="N3" s="3" t="s">
        <v>120</v>
      </c>
    </row>
    <row r="4" spans="1:16" ht="19.5" thickTop="1" x14ac:dyDescent="0.25">
      <c r="A4" s="14"/>
    </row>
    <row r="5" spans="1:16" x14ac:dyDescent="0.2">
      <c r="B5" s="1" t="s">
        <v>15</v>
      </c>
      <c r="C5" s="24">
        <v>300</v>
      </c>
      <c r="G5" s="1" t="s">
        <v>14</v>
      </c>
      <c r="H5" s="25">
        <v>2300</v>
      </c>
      <c r="K5" s="1" t="s">
        <v>17</v>
      </c>
      <c r="L5" s="25">
        <v>75</v>
      </c>
      <c r="O5" s="1" t="s">
        <v>121</v>
      </c>
      <c r="P5" s="24">
        <v>80</v>
      </c>
    </row>
    <row r="6" spans="1:16" x14ac:dyDescent="0.2">
      <c r="B6" s="1" t="s">
        <v>58</v>
      </c>
      <c r="C6" s="24">
        <v>0.5</v>
      </c>
      <c r="G6" s="1" t="s">
        <v>18</v>
      </c>
      <c r="H6" s="24">
        <v>3.5000000000000001E-3</v>
      </c>
      <c r="K6" s="1" t="s">
        <v>49</v>
      </c>
      <c r="L6" s="24">
        <v>0.03</v>
      </c>
      <c r="O6" s="2" t="s">
        <v>15</v>
      </c>
      <c r="P6" s="19">
        <f>(P5/0.0254/12)</f>
        <v>262.46719160104988</v>
      </c>
    </row>
    <row r="7" spans="1:16" x14ac:dyDescent="0.2">
      <c r="B7" s="2" t="s">
        <v>14</v>
      </c>
      <c r="C7" s="19">
        <f>(C5*3.82)/C6</f>
        <v>2292</v>
      </c>
      <c r="G7" s="1" t="s">
        <v>73</v>
      </c>
      <c r="H7" s="24">
        <v>4</v>
      </c>
      <c r="K7" s="1" t="s">
        <v>50</v>
      </c>
      <c r="L7" s="24">
        <v>0.77700000000000002</v>
      </c>
    </row>
    <row r="8" spans="1:16" x14ac:dyDescent="0.2">
      <c r="G8" s="2" t="s">
        <v>17</v>
      </c>
      <c r="H8" s="23">
        <f>H5*H6*H7</f>
        <v>32.200000000000003</v>
      </c>
      <c r="K8" s="2" t="s">
        <v>48</v>
      </c>
      <c r="L8" s="23">
        <f>L5*L6*L7</f>
        <v>1.7482500000000001</v>
      </c>
    </row>
    <row r="12" spans="1:16" ht="20.25" thickBot="1" x14ac:dyDescent="0.3">
      <c r="A12" s="3" t="s">
        <v>5</v>
      </c>
      <c r="F12" s="3" t="s">
        <v>71</v>
      </c>
      <c r="J12" s="3" t="s">
        <v>70</v>
      </c>
    </row>
    <row r="13" spans="1:16" ht="15.75" thickTop="1" x14ac:dyDescent="0.2"/>
    <row r="14" spans="1:16" x14ac:dyDescent="0.2">
      <c r="B14" s="1" t="s">
        <v>14</v>
      </c>
      <c r="C14" s="24">
        <v>3820</v>
      </c>
      <c r="G14" s="1" t="s">
        <v>17</v>
      </c>
      <c r="H14" s="24">
        <v>130</v>
      </c>
      <c r="K14" s="1" t="s">
        <v>58</v>
      </c>
      <c r="L14" s="24">
        <v>0.125</v>
      </c>
    </row>
    <row r="15" spans="1:16" x14ac:dyDescent="0.2">
      <c r="B15" s="1" t="s">
        <v>58</v>
      </c>
      <c r="C15" s="24">
        <v>0.5</v>
      </c>
      <c r="G15" s="1" t="s">
        <v>73</v>
      </c>
      <c r="H15" s="24">
        <v>5</v>
      </c>
      <c r="K15" s="2" t="s">
        <v>72</v>
      </c>
      <c r="L15" s="20">
        <f>L14*0.1464</f>
        <v>1.83E-2</v>
      </c>
    </row>
    <row r="16" spans="1:16" x14ac:dyDescent="0.2">
      <c r="B16" s="2" t="s">
        <v>15</v>
      </c>
      <c r="C16" s="19">
        <f>C14*C15*0.262</f>
        <v>500.42</v>
      </c>
      <c r="G16" s="1" t="s">
        <v>14</v>
      </c>
      <c r="H16" s="24">
        <v>4000</v>
      </c>
    </row>
    <row r="17" spans="1:12" x14ac:dyDescent="0.2">
      <c r="G17" s="2" t="s">
        <v>18</v>
      </c>
      <c r="H17" s="20">
        <f>H14/H15/H16</f>
        <v>6.4999999999999997E-3</v>
      </c>
    </row>
    <row r="19" spans="1:12" ht="20.25" thickBot="1" x14ac:dyDescent="0.3">
      <c r="A19" s="3" t="s">
        <v>51</v>
      </c>
      <c r="F19" s="3" t="s">
        <v>54</v>
      </c>
      <c r="J19" s="3" t="s">
        <v>118</v>
      </c>
    </row>
    <row r="20" spans="1:12" ht="15.75" thickTop="1" x14ac:dyDescent="0.2"/>
    <row r="21" spans="1:12" x14ac:dyDescent="0.2">
      <c r="B21" s="1" t="s">
        <v>62</v>
      </c>
      <c r="C21" s="24">
        <v>100</v>
      </c>
      <c r="G21" s="1" t="s">
        <v>62</v>
      </c>
      <c r="H21" s="24">
        <v>80</v>
      </c>
      <c r="K21" s="1" t="s">
        <v>119</v>
      </c>
      <c r="L21" s="24">
        <v>15</v>
      </c>
    </row>
    <row r="22" spans="1:12" x14ac:dyDescent="0.2">
      <c r="B22" s="1" t="s">
        <v>69</v>
      </c>
      <c r="C22" s="24">
        <v>0.5</v>
      </c>
      <c r="G22" s="1" t="s">
        <v>69</v>
      </c>
      <c r="H22" s="24">
        <v>0.39400000000000002</v>
      </c>
      <c r="K22" s="1" t="s">
        <v>57</v>
      </c>
      <c r="L22" s="24">
        <v>0.02</v>
      </c>
    </row>
    <row r="23" spans="1:12" x14ac:dyDescent="0.2">
      <c r="B23" s="1" t="s">
        <v>52</v>
      </c>
      <c r="C23" s="24">
        <v>0.5</v>
      </c>
      <c r="G23" s="1" t="s">
        <v>52</v>
      </c>
      <c r="H23" s="24">
        <v>0.375</v>
      </c>
      <c r="K23" s="1" t="s">
        <v>58</v>
      </c>
      <c r="L23" s="24">
        <v>0.5</v>
      </c>
    </row>
    <row r="24" spans="1:12" x14ac:dyDescent="0.2">
      <c r="B24" s="2" t="s">
        <v>53</v>
      </c>
      <c r="C24" s="19">
        <f>(C22+C23)/C22*C21</f>
        <v>200</v>
      </c>
      <c r="G24" s="2" t="s">
        <v>53</v>
      </c>
      <c r="H24" s="19">
        <f>(H22-H23)/H22*H21</f>
        <v>3.8578680203045717</v>
      </c>
      <c r="K24" s="2" t="s">
        <v>56</v>
      </c>
      <c r="L24" s="20">
        <f>L23*SIN(RADIANS(L21)+ACOS((L23-2*L22)/L23))</f>
        <v>0.30833879304991452</v>
      </c>
    </row>
    <row r="25" spans="1:12" x14ac:dyDescent="0.2">
      <c r="K25" s="1" t="s">
        <v>63</v>
      </c>
      <c r="L25" s="24">
        <v>600</v>
      </c>
    </row>
    <row r="26" spans="1:12" x14ac:dyDescent="0.2">
      <c r="K26" s="2" t="s">
        <v>59</v>
      </c>
      <c r="L26" s="21">
        <f>(L25*3.82)/L24</f>
        <v>7433.3818892161462</v>
      </c>
    </row>
    <row r="27" spans="1:12" ht="20.25" thickBot="1" x14ac:dyDescent="0.3">
      <c r="A27" s="3" t="s">
        <v>55</v>
      </c>
      <c r="F27" s="3" t="s">
        <v>68</v>
      </c>
      <c r="K27" s="2" t="s">
        <v>64</v>
      </c>
      <c r="L27" s="21">
        <f>(L25*3.82)/L22</f>
        <v>114600</v>
      </c>
    </row>
    <row r="28" spans="1:12" ht="15.75" thickTop="1" x14ac:dyDescent="0.2"/>
    <row r="29" spans="1:12" x14ac:dyDescent="0.2">
      <c r="B29" s="1" t="s">
        <v>57</v>
      </c>
      <c r="C29" s="24">
        <v>0.01</v>
      </c>
      <c r="G29" s="1" t="s">
        <v>66</v>
      </c>
      <c r="H29" s="24">
        <v>0.1195</v>
      </c>
      <c r="J29" s="1" t="s">
        <v>66</v>
      </c>
      <c r="K29" s="24">
        <v>0.22</v>
      </c>
    </row>
    <row r="30" spans="1:12" x14ac:dyDescent="0.2">
      <c r="B30" s="1" t="s">
        <v>58</v>
      </c>
      <c r="C30" s="24">
        <v>0.5</v>
      </c>
      <c r="D30" s="17">
        <f>C30/2</f>
        <v>0.25</v>
      </c>
      <c r="G30" s="1" t="s">
        <v>65</v>
      </c>
      <c r="H30" s="24">
        <v>3</v>
      </c>
      <c r="J30" s="1" t="s">
        <v>36</v>
      </c>
      <c r="K30" s="26">
        <v>3.1E-2</v>
      </c>
    </row>
    <row r="31" spans="1:12" x14ac:dyDescent="0.2">
      <c r="B31" s="2" t="s">
        <v>56</v>
      </c>
      <c r="C31" s="20">
        <f>2*(SQRT(C29*(C30-C29)))</f>
        <v>0.13999999999999999</v>
      </c>
      <c r="G31" s="1" t="s">
        <v>52</v>
      </c>
      <c r="H31" s="24">
        <v>7.8E-2</v>
      </c>
      <c r="J31" s="1" t="s">
        <v>52</v>
      </c>
      <c r="K31" s="24">
        <v>0.125</v>
      </c>
    </row>
    <row r="32" spans="1:12" x14ac:dyDescent="0.2">
      <c r="B32" s="1" t="s">
        <v>63</v>
      </c>
      <c r="C32" s="24">
        <v>600</v>
      </c>
      <c r="G32" s="2" t="s">
        <v>67</v>
      </c>
      <c r="H32" s="22">
        <f>(H29-H31)</f>
        <v>4.1499999999999995E-2</v>
      </c>
      <c r="J32" s="2" t="s">
        <v>67</v>
      </c>
      <c r="K32" s="22">
        <f>(K29-K31)</f>
        <v>9.5000000000000001E-2</v>
      </c>
    </row>
    <row r="33" spans="2:11" x14ac:dyDescent="0.2">
      <c r="B33" s="2" t="s">
        <v>59</v>
      </c>
      <c r="C33" s="21">
        <f>(C32*3.82)/C31</f>
        <v>16371.428571428572</v>
      </c>
      <c r="G33" s="2" t="s">
        <v>36</v>
      </c>
      <c r="H33" s="22">
        <f>PI()*H30*(1/TAN((90-H32)*PI()/180))</f>
        <v>6.8264775712084608E-3</v>
      </c>
      <c r="J33" s="2" t="s">
        <v>65</v>
      </c>
      <c r="K33" s="22">
        <f>180/PI()*ATAN(K30/(PI()*K32))</f>
        <v>5.9300212777423882</v>
      </c>
    </row>
    <row r="34" spans="2:11" x14ac:dyDescent="0.2">
      <c r="B34" s="2" t="s">
        <v>64</v>
      </c>
      <c r="C34" s="21">
        <f>(C32*3.82)/C30</f>
        <v>4584</v>
      </c>
    </row>
    <row r="42" spans="2:11" x14ac:dyDescent="0.2">
      <c r="H42" s="18"/>
    </row>
  </sheetData>
  <sheetProtection algorithmName="SHA-512" hashValue="HhDL0vsUOWD2JF2Xku8PzqMEJfET9KerWghWA/GoKqoq17NCAqh9KTIs867awra/tMcC4XHsPJpyqb/Bbair1w==" saltValue="RWq7xijQmdivq6U1aLzMWA==" spinCount="100000" sheet="1" objects="1" scenarios="1" select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RADIAL  CHIP THINNING</vt:lpstr>
      <vt:lpstr>Drill  Tap</vt:lpstr>
      <vt:lpstr>Inspection Tools</vt:lpstr>
      <vt:lpstr>Makino Offset Finder</vt:lpstr>
      <vt:lpstr>Milling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Longley</dc:creator>
  <cp:lastModifiedBy>Rick Kayo</cp:lastModifiedBy>
  <dcterms:created xsi:type="dcterms:W3CDTF">2013-11-27T23:53:18Z</dcterms:created>
  <dcterms:modified xsi:type="dcterms:W3CDTF">2020-01-03T18:59:08Z</dcterms:modified>
</cp:coreProperties>
</file>