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11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2.xml" ContentType="application/vnd.openxmlformats-officedocument.spreadsheetml.pivotTable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3.xml" ContentType="application/vnd.openxmlformats-officedocument.spreadsheetml.pivotTable+xml"/>
  <Override PartName="/xl/drawings/drawing10.xml" ContentType="application/vnd.openxmlformats-officedocument.drawing+xml"/>
  <Override PartName="/xl/tables/table5.xml" ContentType="application/vnd.openxmlformats-officedocument.spreadsheetml.tab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4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hidePivotFieldList="1"/>
  <mc:AlternateContent xmlns:mc="http://schemas.openxmlformats.org/markup-compatibility/2006">
    <mc:Choice Requires="x15">
      <x15ac:absPath xmlns:x15ac="http://schemas.microsoft.com/office/spreadsheetml/2010/11/ac" url="C:\projects\development\metro_mce\workbooks\"/>
    </mc:Choice>
  </mc:AlternateContent>
  <bookViews>
    <workbookView xWindow="0" yWindow="0" windowWidth="19200" windowHeight="6700" tabRatio="699"/>
  </bookViews>
  <sheets>
    <sheet name="Overview" sheetId="5" r:id="rId1"/>
    <sheet name="Benefits" sheetId="2" r:id="rId2"/>
    <sheet name="Costs" sheetId="7" r:id="rId3"/>
    <sheet name="BCRatio" sheetId="17" r:id="rId4"/>
    <sheet name="CostByScenario" sheetId="9" r:id="rId5"/>
    <sheet name="CostByTypeScenario" sheetId="13" r:id="rId6"/>
    <sheet name="BenefitsPerScenario" sheetId="10" r:id="rId7"/>
    <sheet name="TotalBenefitsPerScenario" sheetId="14" r:id="rId8"/>
    <sheet name="TotalBenefitsPerScenarioCOC" sheetId="19" r:id="rId9"/>
    <sheet name="BenefitsByScenario" sheetId="15" r:id="rId10"/>
    <sheet name="TotalBenefitsByScenario" sheetId="16" r:id="rId11"/>
    <sheet name="BCRatioByScenario" sheetId="4" r:id="rId12"/>
    <sheet name="BenefitToCostByScenario" sheetId="18" r:id="rId13"/>
    <sheet name="BCRatioByPolicyRank" sheetId="20" r:id="rId14"/>
    <sheet name="BenefitsRadarByScenario" sheetId="6" r:id="rId15"/>
  </sheets>
  <definedNames>
    <definedName name="_xlcn.WorksheetConnection_MCE_Visuals_102616.xlsxBenefits1" hidden="1">Benefits[]</definedName>
    <definedName name="_xlcn.WorksheetConnection_MCE_Visuals_102616.xlsxCosts1" hidden="1">Costs[]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  <pivotCaches>
    <pivotCache cacheId="24" r:id="rId16"/>
    <pivotCache cacheId="50" r:id="rId17"/>
    <pivotCache cacheId="59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sts" name="Costs" connection="WorksheetConnection_MCE_Visuals_102616.xlsx!Costs"/>
          <x15:modelTable id="Benefits" name="Benefits" connection="WorksheetConnection_MCE_Visuals_102616.xlsx!Benefits"/>
        </x15:modelTables>
      </x15:dataModel>
    </ext>
  </extLst>
</workbook>
</file>

<file path=xl/calcChain.xml><?xml version="1.0" encoding="utf-8"?>
<calcChain xmlns="http://schemas.openxmlformats.org/spreadsheetml/2006/main">
  <c r="I3" i="20" l="1"/>
  <c r="I4" i="20"/>
  <c r="M4" i="17"/>
  <c r="M3" i="17"/>
  <c r="L3" i="17"/>
  <c r="L4" i="17"/>
  <c r="K3" i="17"/>
  <c r="K4" i="17"/>
  <c r="F4" i="20"/>
  <c r="F3" i="20"/>
  <c r="E1" i="19"/>
  <c r="G3" i="20"/>
  <c r="G4" i="20"/>
  <c r="H3" i="20"/>
  <c r="H4" i="20"/>
  <c r="J4" i="20" l="1"/>
  <c r="J3" i="20"/>
  <c r="K4" i="20"/>
  <c r="K3" i="20"/>
  <c r="G3" i="7"/>
  <c r="G4" i="7"/>
  <c r="G5" i="7"/>
  <c r="G6" i="7"/>
  <c r="G7" i="7"/>
  <c r="G2" i="7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E4" i="18" l="1"/>
  <c r="E3" i="18"/>
  <c r="F3" i="18"/>
  <c r="F4" i="18"/>
  <c r="G4" i="18"/>
  <c r="G3" i="18"/>
  <c r="H4" i="18" l="1"/>
  <c r="H3" i="18"/>
  <c r="D2" i="6"/>
  <c r="J4" i="17"/>
  <c r="J3" i="17"/>
  <c r="N4" i="17"/>
  <c r="N3" i="17"/>
  <c r="E1" i="16" l="1"/>
  <c r="E1" i="15"/>
  <c r="E1" i="10"/>
  <c r="E1" i="14"/>
</calcChain>
</file>

<file path=xl/comments1.xml><?xml version="1.0" encoding="utf-8"?>
<comments xmlns="http://schemas.openxmlformats.org/spreadsheetml/2006/main">
  <authors>
    <author>Ben Stabler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Ben Stabler:</t>
        </r>
        <r>
          <rPr>
            <sz val="9"/>
            <color indexed="81"/>
            <rFont val="Tahoma"/>
            <family val="2"/>
          </rPr>
          <t xml:space="preserve">
Calculated Field</t>
        </r>
      </text>
    </comment>
  </commentList>
</comments>
</file>

<file path=xl/comments2.xml><?xml version="1.0" encoding="utf-8"?>
<comments xmlns="http://schemas.openxmlformats.org/spreadsheetml/2006/main">
  <authors>
    <author>Ben Stabler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Ben Stabler:</t>
        </r>
        <r>
          <rPr>
            <sz val="9"/>
            <color indexed="81"/>
            <rFont val="Tahoma"/>
            <family val="2"/>
          </rPr>
          <t xml:space="preserve">
Calculated Field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MCE_Visuals_102616.xlsx!Benefits" type="102" refreshedVersion="6" minRefreshableVersion="5" saveData="1">
    <extLst>
      <ext xmlns:x15="http://schemas.microsoft.com/office/spreadsheetml/2010/11/main" uri="{DE250136-89BD-433C-8126-D09CA5730AF9}">
        <x15:connection id="Benefits">
          <x15:rangePr sourceName="_xlcn.WorksheetConnection_MCE_Visuals_102616.xlsxBenefits1"/>
        </x15:connection>
      </ext>
    </extLst>
  </connection>
  <connection id="3" name="WorksheetConnection_MCE_Visuals_102616.xlsx!Costs" type="102" refreshedVersion="6" minRefreshableVersion="5" saveData="1">
    <extLst>
      <ext xmlns:x15="http://schemas.microsoft.com/office/spreadsheetml/2010/11/main" uri="{DE250136-89BD-433C-8126-D09CA5730AF9}">
        <x15:connection id="Costs" autoDelete="1">
          <x15:rangePr sourceName="_xlcn.WorksheetConnection_MCE_Visuals_102616.xlsxCosts1"/>
        </x15:connection>
      </ext>
    </extLst>
  </connection>
</connections>
</file>

<file path=xl/sharedStrings.xml><?xml version="1.0" encoding="utf-8"?>
<sst xmlns="http://schemas.openxmlformats.org/spreadsheetml/2006/main" count="483" uniqueCount="92">
  <si>
    <t>BENEFIT</t>
  </si>
  <si>
    <t>COST</t>
  </si>
  <si>
    <t>SCENARIO</t>
  </si>
  <si>
    <t>Travel Time</t>
  </si>
  <si>
    <t>Travel Time Reliability</t>
  </si>
  <si>
    <t>Vehicle Operating Costs</t>
  </si>
  <si>
    <t>Vehicle Ownership Costs</t>
  </si>
  <si>
    <t>Surface Water</t>
  </si>
  <si>
    <t>Physical Activity</t>
  </si>
  <si>
    <t>Travel Options / Choices</t>
  </si>
  <si>
    <t>COC</t>
  </si>
  <si>
    <t>DOLLARS</t>
  </si>
  <si>
    <t>TYPE</t>
  </si>
  <si>
    <t>Social &amp; Equity Values</t>
  </si>
  <si>
    <t>Economic Vitality</t>
  </si>
  <si>
    <t>Environmental Stewardship</t>
  </si>
  <si>
    <t>Transit</t>
  </si>
  <si>
    <t>ALL</t>
  </si>
  <si>
    <t>Row Labels</t>
  </si>
  <si>
    <t>Grand Total</t>
  </si>
  <si>
    <t>Sum of DOLLARS</t>
  </si>
  <si>
    <t>Column Labels</t>
  </si>
  <si>
    <t>TriMet</t>
  </si>
  <si>
    <t>Inputs</t>
  </si>
  <si>
    <t>Outputs</t>
  </si>
  <si>
    <t>Notes</t>
  </si>
  <si>
    <t>Metro MCE Prototype Visuals</t>
  </si>
  <si>
    <t>Benefits</t>
  </si>
  <si>
    <t>Costs</t>
  </si>
  <si>
    <t>BCRatio</t>
  </si>
  <si>
    <t>Benefit to cost ratios by scenario</t>
  </si>
  <si>
    <t>Costs by scenario</t>
  </si>
  <si>
    <t>Costs by cost type and scenario</t>
  </si>
  <si>
    <t>To change pivot table or chart settings, right click on the table or chart and select "Show Field List"</t>
  </si>
  <si>
    <t>Each visual is a pivot chart based on a pivot table, which makes customization easy</t>
  </si>
  <si>
    <t>The Benefits and Costs input tables are Excel named Tables so the pivot tables are dynamically updated</t>
  </si>
  <si>
    <t>Scenario</t>
  </si>
  <si>
    <t>Sum of BCRatio</t>
  </si>
  <si>
    <t>BC Ratio by Scenario</t>
  </si>
  <si>
    <t>CostByScenario</t>
  </si>
  <si>
    <t>CostByTypeScenario</t>
  </si>
  <si>
    <t>BenefitsPerScenario</t>
  </si>
  <si>
    <t>Benefits per scenario</t>
  </si>
  <si>
    <t>TotalBenefitsPerScenario</t>
  </si>
  <si>
    <t>BenefitsByScenario</t>
  </si>
  <si>
    <t>TotalBenefitsByScenario</t>
  </si>
  <si>
    <t>BCRatioByScenario</t>
  </si>
  <si>
    <t>BenefitsRadarByScenario</t>
  </si>
  <si>
    <t>Total benefits per scenario</t>
  </si>
  <si>
    <t>Benefits by scenario</t>
  </si>
  <si>
    <t>Total benefits by scenario</t>
  </si>
  <si>
    <t>Benefits radar chart by scenario</t>
  </si>
  <si>
    <t>A subset of the data can be visualized using the filter options in the pivot tables</t>
  </si>
  <si>
    <t>When adding scenarios, make sure to update the BCRatio table on the BCRatio worksheet as well</t>
  </si>
  <si>
    <t>Benefit</t>
  </si>
  <si>
    <t>Cost</t>
  </si>
  <si>
    <t>Sum of Benefit</t>
  </si>
  <si>
    <t>Sum of Cost</t>
  </si>
  <si>
    <t>BenefitToCostByScenario</t>
  </si>
  <si>
    <t>Benefit to cost by scenario</t>
  </si>
  <si>
    <t>Benefit to Cost by Scenario</t>
  </si>
  <si>
    <t>Benefit to cost ratio by scenario</t>
  </si>
  <si>
    <t>version 12/29/2016</t>
  </si>
  <si>
    <t>LOWINC</t>
  </si>
  <si>
    <t>LOWENGPRO</t>
  </si>
  <si>
    <t>Highway Safety</t>
  </si>
  <si>
    <t>Highway Noise</t>
  </si>
  <si>
    <t>Mobile Source Emissions</t>
  </si>
  <si>
    <t>ALT-A</t>
  </si>
  <si>
    <t>ALT-B</t>
  </si>
  <si>
    <t>YEAR</t>
  </si>
  <si>
    <t>Discount Rate</t>
  </si>
  <si>
    <t>Visuals Year</t>
  </si>
  <si>
    <t>BENEFITS</t>
  </si>
  <si>
    <t xml:space="preserve">Benefits table by SCENARIO, COC, BENEFIT, TYPE, BENEFITS, and YEAR
</t>
  </si>
  <si>
    <t>COSTS</t>
  </si>
  <si>
    <t>Active Transportation</t>
  </si>
  <si>
    <t>Freight</t>
  </si>
  <si>
    <t>City</t>
  </si>
  <si>
    <t>TotalBenefitsPerScenarioCOC</t>
  </si>
  <si>
    <t>Total benefits per scenario by COC</t>
  </si>
  <si>
    <t>BCDiff</t>
  </si>
  <si>
    <t>Rank</t>
  </si>
  <si>
    <t>Policy Rank</t>
  </si>
  <si>
    <t>Benefit to Cost by Policy Rank</t>
  </si>
  <si>
    <t xml:space="preserve">Costs table by SCENARIO, COST, TYPE, SCENPOLICYRANK, COSTS, and YEAR
</t>
  </si>
  <si>
    <t>BCRatioByPolicyRank</t>
  </si>
  <si>
    <t>Benefit to cost by policy rank</t>
  </si>
  <si>
    <t>SCENPOLICYRANK</t>
  </si>
  <si>
    <t>Average of SCENPOLICYRANK</t>
  </si>
  <si>
    <t>ScenPolicyRank</t>
  </si>
  <si>
    <t>Average of ScenPolicyRank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</si>
</sst>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"/>
    <numFmt numFmtId="166" formatCode="0.0000"/>
    <numFmt numFmtId="173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/>
    <xf numFmtId="0" fontId="2" fillId="0" borderId="0" xfId="2" applyAlignment="1">
      <alignment vertical="center"/>
    </xf>
    <xf numFmtId="0" fontId="0" fillId="0" borderId="0" xfId="0" applyFont="1"/>
    <xf numFmtId="0" fontId="0" fillId="0" borderId="0" xfId="0" applyAlignmen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1" applyNumberFormat="1" applyFont="1" applyAlignment="1">
      <alignment horizontal="right"/>
    </xf>
    <xf numFmtId="0" fontId="0" fillId="0" borderId="0" xfId="0" applyNumberFormat="1" applyAlignment="1">
      <alignment horizontal="right"/>
    </xf>
    <xf numFmtId="173" fontId="0" fillId="0" borderId="0" xfId="3" applyNumberFormat="1" applyFont="1"/>
    <xf numFmtId="1" fontId="0" fillId="0" borderId="0" xfId="1" applyNumberFormat="1" applyFont="1" applyAlignment="1">
      <alignment horizontal="right"/>
    </xf>
    <xf numFmtId="1" fontId="0" fillId="0" borderId="0" xfId="1" applyNumberFormat="1" applyFont="1"/>
    <xf numFmtId="0" fontId="5" fillId="0" borderId="0" xfId="0" applyFont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56">
    <dxf>
      <numFmt numFmtId="0" formatCode="General"/>
    </dxf>
    <dxf>
      <numFmt numFmtId="0" formatCode="General"/>
    </dxf>
    <dxf>
      <numFmt numFmtId="167" formatCode="0.00000000"/>
    </dxf>
    <dxf>
      <numFmt numFmtId="168" formatCode="0.0000000"/>
    </dxf>
    <dxf>
      <numFmt numFmtId="169" formatCode="0.000000"/>
    </dxf>
    <dxf>
      <numFmt numFmtId="170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5" formatCode="0.000"/>
    </dxf>
    <dxf>
      <numFmt numFmtId="0" formatCode="General"/>
    </dxf>
    <dxf>
      <numFmt numFmtId="0" formatCode="General"/>
    </dxf>
    <dxf>
      <numFmt numFmtId="167" formatCode="0.00000000"/>
    </dxf>
    <dxf>
      <numFmt numFmtId="168" formatCode="0.0000000"/>
    </dxf>
    <dxf>
      <numFmt numFmtId="169" formatCode="0.000000"/>
    </dxf>
    <dxf>
      <numFmt numFmtId="170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5" formatCode="0.000"/>
    </dxf>
    <dxf>
      <numFmt numFmtId="167" formatCode="0.00000000"/>
    </dxf>
    <dxf>
      <numFmt numFmtId="168" formatCode="0.0000000"/>
    </dxf>
    <dxf>
      <numFmt numFmtId="169" formatCode="0.000000"/>
    </dxf>
    <dxf>
      <numFmt numFmtId="170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5" formatCode="0.000"/>
    </dxf>
    <dxf>
      <numFmt numFmtId="167" formatCode="0.00000000"/>
    </dxf>
    <dxf>
      <numFmt numFmtId="168" formatCode="0.0000000"/>
    </dxf>
    <dxf>
      <numFmt numFmtId="169" formatCode="0.000000"/>
    </dxf>
    <dxf>
      <numFmt numFmtId="170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5" formatCode="0.000"/>
    </dxf>
    <dxf>
      <numFmt numFmtId="0" formatCode="General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</dxf>
    <dxf>
      <numFmt numFmtId="165" formatCode="0.000"/>
    </dxf>
    <dxf>
      <numFmt numFmtId="2" formatCode="0.00"/>
    </dxf>
    <dxf>
      <numFmt numFmtId="165" formatCode="0.000"/>
    </dxf>
    <dxf>
      <numFmt numFmtId="166" formatCode="0.0000"/>
    </dxf>
    <dxf>
      <numFmt numFmtId="170" formatCode="0.00000"/>
    </dxf>
    <dxf>
      <numFmt numFmtId="169" formatCode="0.000000"/>
    </dxf>
    <dxf>
      <numFmt numFmtId="168" formatCode="0.0000000"/>
    </dxf>
    <dxf>
      <numFmt numFmtId="167" formatCode="0.00000000"/>
    </dxf>
    <dxf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[MCE_Visuals.xlsx]CostByScenario!PivotTable2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Costs by</a:t>
            </a:r>
            <a:r>
              <a:rPr lang="en-US" baseline="0"/>
              <a:t> Scenario</a:t>
            </a:r>
            <a:endParaRPr lang="en-US"/>
          </a:p>
        </c:rich>
      </c:tx>
      <c:layout>
        <c:manualLayout>
          <c:xMode val="edge"/>
          <c:yMode val="edge"/>
          <c:x val="0.31279155730533681"/>
          <c:y val="6.3794109069699623E-2"/>
        </c:manualLayout>
      </c:layout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CostByScenario!$B$3:$B$4</c:f>
              <c:strCache>
                <c:ptCount val="1"/>
                <c:pt idx="0">
                  <c:v>ALT-A</c:v>
                </c:pt>
              </c:strCache>
            </c:strRef>
          </c:tx>
          <c:invertIfNegative val="0"/>
          <c:cat>
            <c:strRef>
              <c:f>CostByScenario!$A$5:$A$7</c:f>
              <c:strCache>
                <c:ptCount val="2"/>
                <c:pt idx="0">
                  <c:v>TriMet</c:v>
                </c:pt>
                <c:pt idx="1">
                  <c:v>City</c:v>
                </c:pt>
              </c:strCache>
            </c:strRef>
          </c:cat>
          <c:val>
            <c:numRef>
              <c:f>CostByScenario!$B$5:$B$7</c:f>
              <c:numCache>
                <c:formatCode>General</c:formatCode>
                <c:ptCount val="2"/>
                <c:pt idx="0">
                  <c:v>5893.8121680096692</c:v>
                </c:pt>
                <c:pt idx="1">
                  <c:v>926.17048354437668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9-4D56-95C3-0BB79199E919}"/>
            </c:ext>
          </c:extLst>
        </c:ser>
        <c:ser>
          <c:idx val="1"/>
          <c:order val="1"/>
          <c:tx>
            <c:strRef>
              <c:f>CostByScenario!$C$3:$C$4</c:f>
              <c:strCache>
                <c:ptCount val="1"/>
                <c:pt idx="0">
                  <c:v>ALT-B</c:v>
                </c:pt>
              </c:strCache>
            </c:strRef>
          </c:tx>
          <c:invertIfNegative val="0"/>
          <c:cat>
            <c:strRef>
              <c:f>CostByScenario!$A$5:$A$7</c:f>
              <c:strCache>
                <c:ptCount val="2"/>
                <c:pt idx="0">
                  <c:v>TriMet</c:v>
                </c:pt>
                <c:pt idx="1">
                  <c:v>City</c:v>
                </c:pt>
              </c:strCache>
            </c:strRef>
          </c:cat>
          <c:val>
            <c:numRef>
              <c:f>CostByScenario!$C$5:$C$7</c:f>
              <c:numCache>
                <c:formatCode>General</c:formatCode>
                <c:ptCount val="2"/>
                <c:pt idx="0">
                  <c:v>5051.8390011511447</c:v>
                </c:pt>
                <c:pt idx="1">
                  <c:v>420.98658342926211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9-4D56-95C3-0BB79199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215472"/>
        <c:axId val="699222360"/>
      </c:barChart>
      <c:catAx>
        <c:axId val="6992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22360"/>
        <c:crosses val="autoZero"/>
        <c:auto val="1"/>
        <c:lblAlgn val="ctr"/>
        <c:lblOffset val="100"/>
        <c:noMultiLvlLbl val="0"/>
      </c:catAx>
      <c:valAx>
        <c:axId val="6992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154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BCRatioByPolicyRank!$D$1</c:f>
          <c:strCache>
            <c:ptCount val="1"/>
            <c:pt idx="0">
              <c:v>Benefit to Cost by Policy Rank</c:v>
            </c:pt>
          </c:strCache>
        </c:strRef>
      </c:tx>
      <c:layout>
        <c:manualLayout>
          <c:xMode val="edge"/>
          <c:yMode val="edge"/>
          <c:x val="0.28972720187061579"/>
          <c:y val="3.0710172744721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BCRatioByPolicyRank!$F$3:$F$4</c:f>
              <c:strCache>
                <c:ptCount val="2"/>
                <c:pt idx="0">
                  <c:v>ALT-A</c:v>
                </c:pt>
                <c:pt idx="1">
                  <c:v>ALT-B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numRef>
              <c:f>BCRatioByPolicyRank!$I$3:$I$4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BCRatioByPolicyRank!$K$3:$K$4</c:f>
              <c:numCache>
                <c:formatCode>0.00</c:formatCode>
                <c:ptCount val="2"/>
                <c:pt idx="0">
                  <c:v>1.19</c:v>
                </c:pt>
                <c:pt idx="1">
                  <c:v>1.06</c:v>
                </c:pt>
              </c:numCache>
            </c:numRef>
          </c:yVal>
          <c:bubbleSize>
            <c:numRef>
              <c:f>BCRatioByPolicyRank!$G$3:$G$4</c:f>
              <c:numCache>
                <c:formatCode>General</c:formatCode>
                <c:ptCount val="2"/>
                <c:pt idx="0">
                  <c:v>8129</c:v>
                </c:pt>
                <c:pt idx="1">
                  <c:v>5780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80E8-4E59-9A66-46F11E997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418685192"/>
        <c:axId val="418686176"/>
      </c:bubbleChart>
      <c:valAx>
        <c:axId val="41868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BCRatioByPolicyRank!$I$2</c:f>
              <c:strCache>
                <c:ptCount val="1"/>
                <c:pt idx="0">
                  <c:v>Policy Rank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86176"/>
        <c:crosses val="autoZero"/>
        <c:crossBetween val="midCat"/>
      </c:valAx>
      <c:valAx>
        <c:axId val="4186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BCRatioByPolicyRank!$H$2</c:f>
              <c:strCache>
                <c:ptCount val="1"/>
                <c:pt idx="0">
                  <c:v>Cost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8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[MCE_Visuals.xlsx]BenefitsRadarByScenario!PivotTable16</c:name>
    <c:fmtId val="9"/>
  </c:pivotSource>
  <c:chart>
    <c:title>
      <c:tx>
        <c:strRef>
          <c:f>BenefitsRadarByScenario!$D$2</c:f>
          <c:strCache>
            <c:ptCount val="1"/>
            <c:pt idx="0">
              <c:v>Benefits by Scenario, COC ALL</c:v>
            </c:pt>
          </c:strCache>
        </c:strRef>
      </c:tx>
      <c:layout>
        <c:manualLayout>
          <c:xMode val="edge"/>
          <c:yMode val="edge"/>
          <c:x val="0.31137308533640506"/>
          <c:y val="3.1270921567771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782852479332597"/>
          <c:y val="0.14756459306641051"/>
          <c:w val="0.55103212969138571"/>
          <c:h val="0.74419153604331312"/>
        </c:manualLayout>
      </c:layout>
      <c:radarChart>
        <c:radarStyle val="marker"/>
        <c:varyColors val="0"/>
        <c:ser>
          <c:idx val="0"/>
          <c:order val="0"/>
          <c:tx>
            <c:strRef>
              <c:f>BenefitsRadarByScenario!$D$2</c:f>
              <c:strCache>
                <c:ptCount val="1"/>
                <c:pt idx="0">
                  <c:v>ALT-A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BenefitsRadarByScenario!$D$2</c:f>
              <c:strCache>
                <c:ptCount val="10"/>
                <c:pt idx="0">
                  <c:v>Physical Activity</c:v>
                </c:pt>
                <c:pt idx="1">
                  <c:v>Surface Water</c:v>
                </c:pt>
                <c:pt idx="2">
                  <c:v>Travel Options / Choices</c:v>
                </c:pt>
                <c:pt idx="3">
                  <c:v>Travel Time</c:v>
                </c:pt>
                <c:pt idx="4">
                  <c:v>Travel Time Reliability</c:v>
                </c:pt>
                <c:pt idx="5">
                  <c:v>Vehicle Operating Costs</c:v>
                </c:pt>
                <c:pt idx="6">
                  <c:v>Vehicle Ownership Costs</c:v>
                </c:pt>
                <c:pt idx="7">
                  <c:v>Highway Safety</c:v>
                </c:pt>
                <c:pt idx="8">
                  <c:v>Mobile Source Emissions</c:v>
                </c:pt>
                <c:pt idx="9">
                  <c:v>Highway Noise</c:v>
                </c:pt>
              </c:strCache>
            </c:strRef>
          </c:cat>
          <c:val>
            <c:numRef>
              <c:f>BenefitsRadarByScenario!$D$2</c:f>
              <c:numCache>
                <c:formatCode>General</c:formatCode>
                <c:ptCount val="10"/>
                <c:pt idx="0">
                  <c:v>600</c:v>
                </c:pt>
                <c:pt idx="1">
                  <c:v>111</c:v>
                </c:pt>
                <c:pt idx="2">
                  <c:v>213</c:v>
                </c:pt>
                <c:pt idx="3">
                  <c:v>600</c:v>
                </c:pt>
                <c:pt idx="4">
                  <c:v>300</c:v>
                </c:pt>
                <c:pt idx="5">
                  <c:v>700</c:v>
                </c:pt>
                <c:pt idx="6">
                  <c:v>340</c:v>
                </c:pt>
                <c:pt idx="7">
                  <c:v>300</c:v>
                </c:pt>
                <c:pt idx="8">
                  <c:v>676</c:v>
                </c:pt>
                <c:pt idx="9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9-47D3-ABE1-F78831DD2502}"/>
            </c:ext>
          </c:extLst>
        </c:ser>
        <c:ser>
          <c:idx val="1"/>
          <c:order val="1"/>
          <c:tx>
            <c:strRef>
              <c:f>BenefitsRadarByScenario!$D$2</c:f>
              <c:strCache>
                <c:ptCount val="1"/>
                <c:pt idx="0">
                  <c:v>ALT-B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BenefitsRadarByScenario!$D$2</c:f>
              <c:strCache>
                <c:ptCount val="10"/>
                <c:pt idx="0">
                  <c:v>Physical Activity</c:v>
                </c:pt>
                <c:pt idx="1">
                  <c:v>Surface Water</c:v>
                </c:pt>
                <c:pt idx="2">
                  <c:v>Travel Options / Choices</c:v>
                </c:pt>
                <c:pt idx="3">
                  <c:v>Travel Time</c:v>
                </c:pt>
                <c:pt idx="4">
                  <c:v>Travel Time Reliability</c:v>
                </c:pt>
                <c:pt idx="5">
                  <c:v>Vehicle Operating Costs</c:v>
                </c:pt>
                <c:pt idx="6">
                  <c:v>Vehicle Ownership Costs</c:v>
                </c:pt>
                <c:pt idx="7">
                  <c:v>Highway Safety</c:v>
                </c:pt>
                <c:pt idx="8">
                  <c:v>Mobile Source Emissions</c:v>
                </c:pt>
                <c:pt idx="9">
                  <c:v>Highway Noise</c:v>
                </c:pt>
              </c:strCache>
            </c:strRef>
          </c:cat>
          <c:val>
            <c:numRef>
              <c:f>BenefitsRadarByScenario!$D$2</c:f>
              <c:numCache>
                <c:formatCode>General</c:formatCode>
                <c:ptCount val="10"/>
                <c:pt idx="0">
                  <c:v>500</c:v>
                </c:pt>
                <c:pt idx="1">
                  <c:v>80</c:v>
                </c:pt>
                <c:pt idx="2">
                  <c:v>200</c:v>
                </c:pt>
                <c:pt idx="3">
                  <c:v>500</c:v>
                </c:pt>
                <c:pt idx="4">
                  <c:v>200</c:v>
                </c:pt>
                <c:pt idx="5">
                  <c:v>400</c:v>
                </c:pt>
                <c:pt idx="6">
                  <c:v>320</c:v>
                </c:pt>
                <c:pt idx="7">
                  <c:v>0</c:v>
                </c:pt>
                <c:pt idx="8">
                  <c:v>600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9-47D3-ABE1-F78831DD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678656"/>
        <c:axId val="1007672752"/>
      </c:radarChart>
      <c:catAx>
        <c:axId val="10076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672752"/>
        <c:crosses val="autoZero"/>
        <c:auto val="1"/>
        <c:lblAlgn val="ctr"/>
        <c:lblOffset val="100"/>
        <c:noMultiLvlLbl val="0"/>
      </c:catAx>
      <c:valAx>
        <c:axId val="10076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6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78059071161592"/>
          <c:y val="5.4260995648313902E-2"/>
          <c:w val="0.12937718277164367"/>
          <c:h val="0.1394361091705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[MCE_Visuals.xlsx]CostByTypeScenario!PivotTable2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 Cost by Type by Scenario</a:t>
            </a:r>
          </a:p>
        </c:rich>
      </c:tx>
      <c:layout>
        <c:manualLayout>
          <c:xMode val="edge"/>
          <c:yMode val="edge"/>
          <c:x val="0.23208070617906684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CostByTypeScenario!$B$3:$B$4</c:f>
              <c:strCache>
                <c:ptCount val="1"/>
                <c:pt idx="0">
                  <c:v>Transit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CostByTypeScenario!$A$5:$A$7</c:f>
              <c:strCache>
                <c:ptCount val="2"/>
                <c:pt idx="0">
                  <c:v>ALT-A</c:v>
                </c:pt>
                <c:pt idx="1">
                  <c:v>ALT-B</c:v>
                </c:pt>
              </c:strCache>
            </c:strRef>
          </c:cat>
          <c:val>
            <c:numRef>
              <c:f>CostByTypeScenario!$B$5:$B$7</c:f>
              <c:numCache>
                <c:formatCode>General</c:formatCode>
                <c:ptCount val="2"/>
                <c:pt idx="0">
                  <c:v>5893.8121680096692</c:v>
                </c:pt>
                <c:pt idx="1">
                  <c:v>5051.8390011511447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8-41CD-859B-F3873F7812AC}"/>
            </c:ext>
          </c:extLst>
        </c:ser>
        <c:ser>
          <c:idx val="1"/>
          <c:order val="1"/>
          <c:tx>
            <c:strRef>
              <c:f>CostByTypeScenario!$C$3:$C$4</c:f>
              <c:strCache>
                <c:ptCount val="1"/>
                <c:pt idx="0">
                  <c:v>Active Transportation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CostByTypeScenario!$A$5:$A$7</c:f>
              <c:strCache>
                <c:ptCount val="2"/>
                <c:pt idx="0">
                  <c:v>ALT-A</c:v>
                </c:pt>
                <c:pt idx="1">
                  <c:v>ALT-B</c:v>
                </c:pt>
              </c:strCache>
            </c:strRef>
          </c:cat>
          <c:val>
            <c:numRef>
              <c:f>CostByTypeScenario!$C$5:$C$7</c:f>
              <c:numCache>
                <c:formatCode>General</c:formatCode>
                <c:ptCount val="2"/>
                <c:pt idx="0">
                  <c:v>841.97316685852422</c:v>
                </c:pt>
                <c:pt idx="1">
                  <c:v>420.98658342926211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8-41CD-859B-F3873F7812AC}"/>
            </c:ext>
          </c:extLst>
        </c:ser>
        <c:ser>
          <c:idx val="2"/>
          <c:order val="2"/>
          <c:tx>
            <c:strRef>
              <c:f>CostByTypeScenario!$D$3:$D$4</c:f>
              <c:strCache>
                <c:ptCount val="1"/>
                <c:pt idx="0">
                  <c:v>Freight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CostByTypeScenario!$A$5:$A$7</c:f>
              <c:strCache>
                <c:ptCount val="2"/>
                <c:pt idx="0">
                  <c:v>ALT-A</c:v>
                </c:pt>
                <c:pt idx="1">
                  <c:v>ALT-B</c:v>
                </c:pt>
              </c:strCache>
            </c:strRef>
          </c:cat>
          <c:val>
            <c:numRef>
              <c:f>CostByTypeScenario!$D$5:$D$7</c:f>
              <c:numCache>
                <c:formatCode>General</c:formatCode>
                <c:ptCount val="2"/>
                <c:pt idx="0">
                  <c:v>84.197316685852414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E-4409-A660-C2767266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0560344"/>
        <c:axId val="570561328"/>
      </c:barChart>
      <c:catAx>
        <c:axId val="57056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61328"/>
        <c:crosses val="autoZero"/>
        <c:auto val="1"/>
        <c:lblAlgn val="ctr"/>
        <c:lblOffset val="100"/>
        <c:noMultiLvlLbl val="0"/>
      </c:catAx>
      <c:valAx>
        <c:axId val="570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6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[MCE_Visuals.xlsx]BenefitsPerScenario!PivotTable4</c:name>
    <c:fmtId val="10"/>
  </c:pivotSource>
  <c:chart>
    <c:title>
      <c:tx>
        <c:strRef>
          <c:f>BenefitsPerScenario!$E$1</c:f>
          <c:strCache>
            <c:ptCount val="1"/>
            <c:pt idx="0">
              <c:v>Benefits by COC, Scenario ALT-A</c:v>
            </c:pt>
          </c:strCache>
        </c:strRef>
      </c:tx>
      <c:layout>
        <c:manualLayout>
          <c:xMode val="edge"/>
          <c:yMode val="edge"/>
          <c:x val="0.30045481586351702"/>
          <c:y val="5.8442450130619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BenefitsPerScenario!$E$1</c:f>
              <c:strCache>
                <c:ptCount val="1"/>
                <c:pt idx="0">
                  <c:v>LOWINC</c:v>
                </c:pt>
              </c:strCache>
            </c:strRef>
          </c:tx>
          <c:invertIfNegative val="0"/>
          <c:cat>
            <c:multiLvlStrRef>
              <c:f>BenefitsPerScenario!$E$1</c:f>
              <c:multiLvlStrCache>
                <c:ptCount val="10"/>
                <c:lvl>
                  <c:pt idx="0">
                    <c:v>Travel Time</c:v>
                  </c:pt>
                  <c:pt idx="1">
                    <c:v>Travel Time Reliability</c:v>
                  </c:pt>
                  <c:pt idx="2">
                    <c:v>Vehicle Operating Costs</c:v>
                  </c:pt>
                  <c:pt idx="3">
                    <c:v>Vehicle Ownership Costs</c:v>
                  </c:pt>
                  <c:pt idx="4">
                    <c:v>Surface Water</c:v>
                  </c:pt>
                  <c:pt idx="5">
                    <c:v>Mobile Source Emissions</c:v>
                  </c:pt>
                  <c:pt idx="6">
                    <c:v>Highway Noise</c:v>
                  </c:pt>
                  <c:pt idx="7">
                    <c:v>Physical Activity</c:v>
                  </c:pt>
                  <c:pt idx="8">
                    <c:v>Travel Options / Choices</c:v>
                  </c:pt>
                  <c:pt idx="9">
                    <c:v>Highway Safety</c:v>
                  </c:pt>
                </c:lvl>
                <c:lvl>
                  <c:pt idx="0">
                    <c:v>Economic Vitality</c:v>
                  </c:pt>
                  <c:pt idx="4">
                    <c:v>Environmental Stewardship</c:v>
                  </c:pt>
                  <c:pt idx="7">
                    <c:v>Social &amp; Equity Values</c:v>
                  </c:pt>
                </c:lvl>
              </c:multiLvlStrCache>
            </c:multiLvlStrRef>
          </c:cat>
          <c:val>
            <c:numRef>
              <c:f>BenefitsPerScenario!$E$1</c:f>
              <c:numCache>
                <c:formatCode>General</c:formatCode>
                <c:ptCount val="10"/>
                <c:pt idx="0">
                  <c:v>200</c:v>
                </c:pt>
                <c:pt idx="1">
                  <c:v>200</c:v>
                </c:pt>
                <c:pt idx="2">
                  <c:v>400</c:v>
                </c:pt>
                <c:pt idx="3">
                  <c:v>140</c:v>
                </c:pt>
                <c:pt idx="4">
                  <c:v>66</c:v>
                </c:pt>
                <c:pt idx="5">
                  <c:v>400</c:v>
                </c:pt>
                <c:pt idx="6">
                  <c:v>120</c:v>
                </c:pt>
                <c:pt idx="7">
                  <c:v>300</c:v>
                </c:pt>
                <c:pt idx="8">
                  <c:v>111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A-4ACE-90D5-D383E77CB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0554440"/>
        <c:axId val="570561328"/>
      </c:barChart>
      <c:catAx>
        <c:axId val="57055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61328"/>
        <c:crosses val="autoZero"/>
        <c:auto val="1"/>
        <c:lblAlgn val="ctr"/>
        <c:lblOffset val="100"/>
        <c:noMultiLvlLbl val="0"/>
      </c:catAx>
      <c:valAx>
        <c:axId val="570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544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[MCE_Visuals.xlsx]TotalBenefitsPerScenario!PivotTable4</c:name>
    <c:fmtId val="11"/>
  </c:pivotSource>
  <c:chart>
    <c:title>
      <c:tx>
        <c:strRef>
          <c:f>TotalBenefitsPerScenario!$E$1</c:f>
          <c:strCache>
            <c:ptCount val="1"/>
            <c:pt idx="0">
              <c:v>Benefits by Type and COC, Scenario ALT-A</c:v>
            </c:pt>
          </c:strCache>
        </c:strRef>
      </c:tx>
      <c:layout>
        <c:manualLayout>
          <c:xMode val="edge"/>
          <c:yMode val="edge"/>
          <c:x val="0.30045481586351702"/>
          <c:y val="5.8442450130619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TotalBenefitsPerScenario!$E$1</c:f>
              <c:strCache>
                <c:ptCount val="1"/>
                <c:pt idx="0">
                  <c:v>ALL</c:v>
                </c:pt>
              </c:strCache>
            </c:strRef>
          </c:tx>
          <c:invertIfNegative val="0"/>
          <c:cat>
            <c:strRef>
              <c:f>TotalBenefitsPerScenario!$E$1</c:f>
              <c:strCache>
                <c:ptCount val="3"/>
                <c:pt idx="0">
                  <c:v>Economic Vitality</c:v>
                </c:pt>
                <c:pt idx="1">
                  <c:v>Environmental Stewardship</c:v>
                </c:pt>
                <c:pt idx="2">
                  <c:v>Social &amp; Equity Values</c:v>
                </c:pt>
              </c:strCache>
            </c:strRef>
          </c:cat>
          <c:val>
            <c:numRef>
              <c:f>TotalBenefitsPerScenario!$E$1</c:f>
              <c:numCache>
                <c:formatCode>General</c:formatCode>
                <c:ptCount val="3"/>
                <c:pt idx="0">
                  <c:v>1940</c:v>
                </c:pt>
                <c:pt idx="1">
                  <c:v>1009</c:v>
                </c:pt>
                <c:pt idx="2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9-4D3A-B355-414EAD3D3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0554440"/>
        <c:axId val="570561328"/>
      </c:barChart>
      <c:catAx>
        <c:axId val="57055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61328"/>
        <c:crosses val="autoZero"/>
        <c:auto val="1"/>
        <c:lblAlgn val="ctr"/>
        <c:lblOffset val="100"/>
        <c:noMultiLvlLbl val="0"/>
      </c:catAx>
      <c:valAx>
        <c:axId val="570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544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[MCE_Visuals.xlsx]TotalBenefitsPerScenarioCOC!PivotTable4</c:name>
    <c:fmtId val="12"/>
  </c:pivotSource>
  <c:chart>
    <c:title>
      <c:tx>
        <c:strRef>
          <c:f>TotalBenefitsPerScenarioCOC!$E$1</c:f>
          <c:strCache>
            <c:ptCount val="1"/>
            <c:pt idx="0">
              <c:v>Economic Vitality Benefits by Type by COC</c:v>
            </c:pt>
          </c:strCache>
        </c:strRef>
      </c:tx>
      <c:layout>
        <c:manualLayout>
          <c:xMode val="edge"/>
          <c:yMode val="edge"/>
          <c:x val="0.30045481586351702"/>
          <c:y val="5.8442450130619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TotalBenefitsPerScenarioCOC!$B$4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TotalBenefitsPerScenarioCOC!$A$5:$A$13</c:f>
              <c:multiLvlStrCache>
                <c:ptCount val="6"/>
                <c:lvl>
                  <c:pt idx="0">
                    <c:v>ALL</c:v>
                  </c:pt>
                  <c:pt idx="1">
                    <c:v>LOWINC</c:v>
                  </c:pt>
                  <c:pt idx="2">
                    <c:v>LOWENGPRO</c:v>
                  </c:pt>
                  <c:pt idx="3">
                    <c:v>ALL</c:v>
                  </c:pt>
                  <c:pt idx="4">
                    <c:v>LOWINC</c:v>
                  </c:pt>
                  <c:pt idx="5">
                    <c:v>LOWENGPRO</c:v>
                  </c:pt>
                </c:lvl>
                <c:lvl>
                  <c:pt idx="0">
                    <c:v>ALT-A</c:v>
                  </c:pt>
                  <c:pt idx="3">
                    <c:v>ALT-B</c:v>
                  </c:pt>
                </c:lvl>
              </c:multiLvlStrCache>
            </c:multiLvlStrRef>
          </c:cat>
          <c:val>
            <c:numRef>
              <c:f>TotalBenefitsPerScenarioCOC!$B$5:$B$13</c:f>
              <c:numCache>
                <c:formatCode>General</c:formatCode>
                <c:ptCount val="6"/>
                <c:pt idx="0">
                  <c:v>1940</c:v>
                </c:pt>
                <c:pt idx="1">
                  <c:v>940</c:v>
                </c:pt>
                <c:pt idx="2">
                  <c:v>1000</c:v>
                </c:pt>
                <c:pt idx="3">
                  <c:v>1420</c:v>
                </c:pt>
                <c:pt idx="4">
                  <c:v>650</c:v>
                </c:pt>
                <c:pt idx="5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2-4DFF-8E60-C9461B33C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0554440"/>
        <c:axId val="570561328"/>
      </c:barChart>
      <c:catAx>
        <c:axId val="57055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61328"/>
        <c:crosses val="autoZero"/>
        <c:auto val="1"/>
        <c:lblAlgn val="ctr"/>
        <c:lblOffset val="100"/>
        <c:noMultiLvlLbl val="0"/>
      </c:catAx>
      <c:valAx>
        <c:axId val="570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544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[MCE_Visuals.xlsx]BenefitsByScenario!PivotTable4</c:name>
    <c:fmtId val="11"/>
  </c:pivotSource>
  <c:chart>
    <c:title>
      <c:tx>
        <c:strRef>
          <c:f>BenefitsByScenario!$E$1</c:f>
          <c:strCache>
            <c:ptCount val="1"/>
            <c:pt idx="0">
              <c:v>Benefits by Scenario, COC ALL</c:v>
            </c:pt>
          </c:strCache>
        </c:strRef>
      </c:tx>
      <c:layout>
        <c:manualLayout>
          <c:xMode val="edge"/>
          <c:yMode val="edge"/>
          <c:x val="0.30045481586351702"/>
          <c:y val="5.8442450130619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BenefitsByScenario!$E$1</c:f>
              <c:strCache>
                <c:ptCount val="1"/>
                <c:pt idx="0">
                  <c:v>ALT-A</c:v>
                </c:pt>
              </c:strCache>
            </c:strRef>
          </c:tx>
          <c:invertIfNegative val="0"/>
          <c:cat>
            <c:multiLvlStrRef>
              <c:f>BenefitsByScenario!$E$1</c:f>
              <c:multiLvlStrCache>
                <c:ptCount val="10"/>
                <c:lvl>
                  <c:pt idx="0">
                    <c:v>Travel Time</c:v>
                  </c:pt>
                  <c:pt idx="1">
                    <c:v>Travel Time Reliability</c:v>
                  </c:pt>
                  <c:pt idx="2">
                    <c:v>Vehicle Operating Costs</c:v>
                  </c:pt>
                  <c:pt idx="3">
                    <c:v>Vehicle Ownership Costs</c:v>
                  </c:pt>
                  <c:pt idx="4">
                    <c:v>Surface Water</c:v>
                  </c:pt>
                  <c:pt idx="5">
                    <c:v>Mobile Source Emissions</c:v>
                  </c:pt>
                  <c:pt idx="6">
                    <c:v>Highway Noise</c:v>
                  </c:pt>
                  <c:pt idx="7">
                    <c:v>Physical Activity</c:v>
                  </c:pt>
                  <c:pt idx="8">
                    <c:v>Travel Options / Choices</c:v>
                  </c:pt>
                  <c:pt idx="9">
                    <c:v>Highway Safety</c:v>
                  </c:pt>
                </c:lvl>
                <c:lvl>
                  <c:pt idx="0">
                    <c:v>Economic Vitality</c:v>
                  </c:pt>
                  <c:pt idx="4">
                    <c:v>Environmental Stewardship</c:v>
                  </c:pt>
                  <c:pt idx="7">
                    <c:v>Social &amp; Equity Values</c:v>
                  </c:pt>
                </c:lvl>
              </c:multiLvlStrCache>
            </c:multiLvlStrRef>
          </c:cat>
          <c:val>
            <c:numRef>
              <c:f>BenefitsByScenario!$E$1</c:f>
              <c:numCache>
                <c:formatCode>General</c:formatCode>
                <c:ptCount val="10"/>
                <c:pt idx="0">
                  <c:v>600</c:v>
                </c:pt>
                <c:pt idx="1">
                  <c:v>300</c:v>
                </c:pt>
                <c:pt idx="2">
                  <c:v>700</c:v>
                </c:pt>
                <c:pt idx="3">
                  <c:v>340</c:v>
                </c:pt>
                <c:pt idx="4">
                  <c:v>111</c:v>
                </c:pt>
                <c:pt idx="5">
                  <c:v>676</c:v>
                </c:pt>
                <c:pt idx="6">
                  <c:v>222</c:v>
                </c:pt>
                <c:pt idx="7">
                  <c:v>600</c:v>
                </c:pt>
                <c:pt idx="8">
                  <c:v>213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9-4A6A-BC44-6A665CB7D682}"/>
            </c:ext>
          </c:extLst>
        </c:ser>
        <c:ser>
          <c:idx val="1"/>
          <c:order val="1"/>
          <c:tx>
            <c:strRef>
              <c:f>BenefitsByScenario!$E$1</c:f>
              <c:strCache>
                <c:ptCount val="1"/>
                <c:pt idx="0">
                  <c:v>ALT-B</c:v>
                </c:pt>
              </c:strCache>
            </c:strRef>
          </c:tx>
          <c:invertIfNegative val="0"/>
          <c:cat>
            <c:multiLvlStrRef>
              <c:f>BenefitsByScenario!$E$1</c:f>
              <c:multiLvlStrCache>
                <c:ptCount val="10"/>
                <c:lvl>
                  <c:pt idx="0">
                    <c:v>Travel Time</c:v>
                  </c:pt>
                  <c:pt idx="1">
                    <c:v>Travel Time Reliability</c:v>
                  </c:pt>
                  <c:pt idx="2">
                    <c:v>Vehicle Operating Costs</c:v>
                  </c:pt>
                  <c:pt idx="3">
                    <c:v>Vehicle Ownership Costs</c:v>
                  </c:pt>
                  <c:pt idx="4">
                    <c:v>Surface Water</c:v>
                  </c:pt>
                  <c:pt idx="5">
                    <c:v>Mobile Source Emissions</c:v>
                  </c:pt>
                  <c:pt idx="6">
                    <c:v>Highway Noise</c:v>
                  </c:pt>
                  <c:pt idx="7">
                    <c:v>Physical Activity</c:v>
                  </c:pt>
                  <c:pt idx="8">
                    <c:v>Travel Options / Choices</c:v>
                  </c:pt>
                  <c:pt idx="9">
                    <c:v>Highway Safety</c:v>
                  </c:pt>
                </c:lvl>
                <c:lvl>
                  <c:pt idx="0">
                    <c:v>Economic Vitality</c:v>
                  </c:pt>
                  <c:pt idx="4">
                    <c:v>Environmental Stewardship</c:v>
                  </c:pt>
                  <c:pt idx="7">
                    <c:v>Social &amp; Equity Values</c:v>
                  </c:pt>
                </c:lvl>
              </c:multiLvlStrCache>
            </c:multiLvlStrRef>
          </c:cat>
          <c:val>
            <c:numRef>
              <c:f>BenefitsByScenario!$E$1</c:f>
              <c:numCache>
                <c:formatCode>General</c:formatCode>
                <c:ptCount val="10"/>
                <c:pt idx="0">
                  <c:v>500</c:v>
                </c:pt>
                <c:pt idx="1">
                  <c:v>200</c:v>
                </c:pt>
                <c:pt idx="2">
                  <c:v>400</c:v>
                </c:pt>
                <c:pt idx="3">
                  <c:v>320</c:v>
                </c:pt>
                <c:pt idx="4">
                  <c:v>80</c:v>
                </c:pt>
                <c:pt idx="5">
                  <c:v>600</c:v>
                </c:pt>
                <c:pt idx="6">
                  <c:v>90</c:v>
                </c:pt>
                <c:pt idx="7">
                  <c:v>500</c:v>
                </c:pt>
                <c:pt idx="8">
                  <c:v>200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9-4A6A-BC44-6A665CB7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0554440"/>
        <c:axId val="570561328"/>
      </c:barChart>
      <c:catAx>
        <c:axId val="57055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61328"/>
        <c:crosses val="autoZero"/>
        <c:auto val="1"/>
        <c:lblAlgn val="ctr"/>
        <c:lblOffset val="100"/>
        <c:noMultiLvlLbl val="0"/>
      </c:catAx>
      <c:valAx>
        <c:axId val="570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544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[MCE_Visuals.xlsx]TotalBenefitsByScenario!PivotTable4</c:name>
    <c:fmtId val="12"/>
  </c:pivotSource>
  <c:chart>
    <c:title>
      <c:tx>
        <c:strRef>
          <c:f>TotalBenefitsByScenario!$E$1</c:f>
          <c:strCache>
            <c:ptCount val="1"/>
            <c:pt idx="0">
              <c:v>Total Benefits by Scenario, COC ALL</c:v>
            </c:pt>
          </c:strCache>
        </c:strRef>
      </c:tx>
      <c:layout>
        <c:manualLayout>
          <c:xMode val="edge"/>
          <c:yMode val="edge"/>
          <c:x val="0.30045481586351702"/>
          <c:y val="5.8442450130619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TotalBenefitsByScenario!$E$1</c:f>
              <c:strCache>
                <c:ptCount val="1"/>
                <c:pt idx="0">
                  <c:v>Economic Vitality</c:v>
                </c:pt>
              </c:strCache>
            </c:strRef>
          </c:tx>
          <c:invertIfNegative val="0"/>
          <c:cat>
            <c:strRef>
              <c:f>TotalBenefitsByScenario!$E$1</c:f>
              <c:strCache>
                <c:ptCount val="2"/>
                <c:pt idx="0">
                  <c:v>ALT-A</c:v>
                </c:pt>
                <c:pt idx="1">
                  <c:v>ALT-B</c:v>
                </c:pt>
              </c:strCache>
            </c:strRef>
          </c:cat>
          <c:val>
            <c:numRef>
              <c:f>TotalBenefitsByScenario!$E$1</c:f>
              <c:numCache>
                <c:formatCode>General</c:formatCode>
                <c:ptCount val="2"/>
                <c:pt idx="0">
                  <c:v>1940</c:v>
                </c:pt>
                <c:pt idx="1">
                  <c:v>1420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A-4F3B-A29A-047F9936419B}"/>
            </c:ext>
          </c:extLst>
        </c:ser>
        <c:ser>
          <c:idx val="1"/>
          <c:order val="1"/>
          <c:tx>
            <c:strRef>
              <c:f>TotalBenefitsByScenario!$E$1</c:f>
              <c:strCache>
                <c:ptCount val="1"/>
                <c:pt idx="0">
                  <c:v>Environmental Stewardship</c:v>
                </c:pt>
              </c:strCache>
            </c:strRef>
          </c:tx>
          <c:invertIfNegative val="0"/>
          <c:cat>
            <c:strRef>
              <c:f>TotalBenefitsByScenario!$E$1</c:f>
              <c:strCache>
                <c:ptCount val="2"/>
                <c:pt idx="0">
                  <c:v>ALT-A</c:v>
                </c:pt>
                <c:pt idx="1">
                  <c:v>ALT-B</c:v>
                </c:pt>
              </c:strCache>
            </c:strRef>
          </c:cat>
          <c:val>
            <c:numRef>
              <c:f>TotalBenefitsByScenario!$E$1</c:f>
              <c:numCache>
                <c:formatCode>General</c:formatCode>
                <c:ptCount val="2"/>
                <c:pt idx="0">
                  <c:v>1009</c:v>
                </c:pt>
                <c:pt idx="1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1-4A17-8094-E9C03B151978}"/>
            </c:ext>
          </c:extLst>
        </c:ser>
        <c:ser>
          <c:idx val="2"/>
          <c:order val="2"/>
          <c:tx>
            <c:strRef>
              <c:f>TotalBenefitsByScenario!$E$1</c:f>
              <c:strCache>
                <c:ptCount val="1"/>
                <c:pt idx="0">
                  <c:v>Social &amp; Equity Values</c:v>
                </c:pt>
              </c:strCache>
            </c:strRef>
          </c:tx>
          <c:invertIfNegative val="0"/>
          <c:cat>
            <c:strRef>
              <c:f>TotalBenefitsByScenario!$E$1</c:f>
              <c:strCache>
                <c:ptCount val="2"/>
                <c:pt idx="0">
                  <c:v>ALT-A</c:v>
                </c:pt>
                <c:pt idx="1">
                  <c:v>ALT-B</c:v>
                </c:pt>
              </c:strCache>
            </c:strRef>
          </c:cat>
          <c:val>
            <c:numRef>
              <c:f>TotalBenefitsByScenario!$E$1</c:f>
              <c:numCache>
                <c:formatCode>General</c:formatCode>
                <c:ptCount val="2"/>
                <c:pt idx="0">
                  <c:v>1113</c:v>
                </c:pt>
                <c:pt idx="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1-4A17-8094-E9C03B15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0554440"/>
        <c:axId val="570561328"/>
      </c:barChart>
      <c:catAx>
        <c:axId val="57055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61328"/>
        <c:crosses val="autoZero"/>
        <c:auto val="1"/>
        <c:lblAlgn val="ctr"/>
        <c:lblOffset val="100"/>
        <c:noMultiLvlLbl val="0"/>
      </c:catAx>
      <c:valAx>
        <c:axId val="570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544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[MCE_Visuals.xlsx]BCRatioByScenario!PivotTable15</c:name>
    <c:fmtId val="0"/>
  </c:pivotSource>
  <c:chart>
    <c:title>
      <c:tx>
        <c:strRef>
          <c:f>BCRatioByScenario!$D$1</c:f>
          <c:strCache>
            <c:ptCount val="1"/>
            <c:pt idx="0">
              <c:v>BC Ratio by Scenario</c:v>
            </c:pt>
          </c:strCache>
        </c:strRef>
      </c:tx>
      <c:layout>
        <c:manualLayout>
          <c:xMode val="edge"/>
          <c:yMode val="edge"/>
          <c:x val="0.33816666666666662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BCRatioByScenario!$D$1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BCRatioByScenario!$D$1</c:f>
              <c:strCache>
                <c:ptCount val="2"/>
                <c:pt idx="0">
                  <c:v>ALT-A</c:v>
                </c:pt>
                <c:pt idx="1">
                  <c:v>ALT-B</c:v>
                </c:pt>
              </c:strCache>
            </c:strRef>
          </c:cat>
          <c:val>
            <c:numRef>
              <c:f>BCRatioByScenario!$D$1</c:f>
              <c:numCache>
                <c:formatCode>0.000</c:formatCode>
                <c:ptCount val="2"/>
                <c:pt idx="0">
                  <c:v>1.1919385158769682</c:v>
                </c:pt>
                <c:pt idx="1">
                  <c:v>1.0561272071752208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B-447B-8FB3-94C7149ED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642504"/>
        <c:axId val="421381128"/>
      </c:barChart>
      <c:catAx>
        <c:axId val="82864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81128"/>
        <c:crossesAt val="1"/>
        <c:auto val="1"/>
        <c:lblAlgn val="ctr"/>
        <c:lblOffset val="100"/>
        <c:noMultiLvlLbl val="0"/>
      </c:catAx>
      <c:valAx>
        <c:axId val="4213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4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BenefitToCostByScenario!$D$1</c:f>
          <c:strCache>
            <c:ptCount val="1"/>
            <c:pt idx="0">
              <c:v>Benefit to Cost by Scenario</c:v>
            </c:pt>
          </c:strCache>
        </c:strRef>
      </c:tx>
      <c:layout>
        <c:manualLayout>
          <c:xMode val="edge"/>
          <c:yMode val="edge"/>
          <c:x val="0.28972720187061579"/>
          <c:y val="3.0710172744721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BenefitToCostByScenario!$E$3:$E$4</c:f>
              <c:strCache>
                <c:ptCount val="2"/>
                <c:pt idx="0">
                  <c:v>ALT-A</c:v>
                </c:pt>
                <c:pt idx="1">
                  <c:v>ALT-B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A11C41B-DE59-4BF4-827A-70604F3566F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A4BFF77-A1A7-47DC-BF9C-D36596F30E26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D86-4481-856F-2E30BF5AB36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111D31-44F9-46E6-8DF7-2B3C95E6928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2AC3403-F214-4303-8498-D0AA7198F4F0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D86-4481-856F-2E30BF5AB3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BenefitToCostByScenario!$F$3:$F$4</c:f>
              <c:numCache>
                <c:formatCode>General</c:formatCode>
                <c:ptCount val="2"/>
                <c:pt idx="0">
                  <c:v>8129</c:v>
                </c:pt>
                <c:pt idx="1">
                  <c:v>5780</c:v>
                </c:pt>
              </c:numCache>
            </c:numRef>
          </c:xVal>
          <c:yVal>
            <c:numRef>
              <c:f>BenefitToCostByScenario!$G$3:$G$4</c:f>
              <c:numCache>
                <c:formatCode>General</c:formatCode>
                <c:ptCount val="2"/>
                <c:pt idx="0">
                  <c:v>6819.9826515540462</c:v>
                </c:pt>
                <c:pt idx="1">
                  <c:v>5472.8255845804069</c:v>
                </c:pt>
              </c:numCache>
            </c:numRef>
          </c:yVal>
          <c:bubbleSize>
            <c:numRef>
              <c:f>BenefitToCostByScenario!$H$3:$H$4</c:f>
              <c:numCache>
                <c:formatCode>0.00</c:formatCode>
                <c:ptCount val="2"/>
                <c:pt idx="0">
                  <c:v>1.19</c:v>
                </c:pt>
                <c:pt idx="1">
                  <c:v>1.06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BenefitToCostByScenario!$E$3:$E$5</c15:f>
                <c15:dlblRangeCache>
                  <c:ptCount val="3"/>
                  <c:pt idx="0">
                    <c:v>ALT-A</c:v>
                  </c:pt>
                  <c:pt idx="1">
                    <c:v>ALT-B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D86-4481-856F-2E30BF5AB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418685192"/>
        <c:axId val="418686176"/>
      </c:bubbleChart>
      <c:valAx>
        <c:axId val="41868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BenefitsToCost[[#Headers],[Benefit]]</c:f>
              <c:strCache>
                <c:ptCount val="1"/>
                <c:pt idx="0">
                  <c:v>Benefit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86176"/>
        <c:crosses val="autoZero"/>
        <c:crossBetween val="midCat"/>
      </c:valAx>
      <c:valAx>
        <c:axId val="4186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BenefitsToCost[[#Headers],[Cost]]</c:f>
              <c:strCache>
                <c:ptCount val="1"/>
                <c:pt idx="0">
                  <c:v>Cost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8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1</xdr:row>
      <xdr:rowOff>0</xdr:rowOff>
    </xdr:from>
    <xdr:to>
      <xdr:col>12</xdr:col>
      <xdr:colOff>44450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1819A-3EAC-4B3D-85B1-48FFF0B79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0</xdr:row>
      <xdr:rowOff>139700</xdr:rowOff>
    </xdr:from>
    <xdr:to>
      <xdr:col>17</xdr:col>
      <xdr:colOff>520700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4D196-5F28-4543-81A5-F126A2D8B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134937</xdr:rowOff>
    </xdr:from>
    <xdr:to>
      <xdr:col>14</xdr:col>
      <xdr:colOff>255587</xdr:colOff>
      <xdr:row>24</xdr:row>
      <xdr:rowOff>150813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FD7D3-2515-4108-BF78-38AAACBC6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365125</xdr:colOff>
      <xdr:row>2</xdr:row>
      <xdr:rowOff>0</xdr:rowOff>
    </xdr:from>
    <xdr:to>
      <xdr:col>12</xdr:col>
      <xdr:colOff>79375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E069F-E4AB-49F2-AAFE-F52E6D852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</xdr:row>
      <xdr:rowOff>146050</xdr:rowOff>
    </xdr:from>
    <xdr:to>
      <xdr:col>13</xdr:col>
      <xdr:colOff>202847</xdr:colOff>
      <xdr:row>24</xdr:row>
      <xdr:rowOff>148872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BADCB-7B47-4B28-A646-4EDF68526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</xdr:row>
      <xdr:rowOff>146050</xdr:rowOff>
    </xdr:from>
    <xdr:to>
      <xdr:col>13</xdr:col>
      <xdr:colOff>202847</xdr:colOff>
      <xdr:row>24</xdr:row>
      <xdr:rowOff>148872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F7AD7-27D3-4C7C-BD28-AF59CE541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</xdr:row>
      <xdr:rowOff>146050</xdr:rowOff>
    </xdr:from>
    <xdr:to>
      <xdr:col>13</xdr:col>
      <xdr:colOff>202847</xdr:colOff>
      <xdr:row>24</xdr:row>
      <xdr:rowOff>148872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5B3C0-B602-49F9-812A-B41C677D5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0</xdr:row>
      <xdr:rowOff>146050</xdr:rowOff>
    </xdr:from>
    <xdr:to>
      <xdr:col>13</xdr:col>
      <xdr:colOff>202847</xdr:colOff>
      <xdr:row>23</xdr:row>
      <xdr:rowOff>148872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0F0D5-83F1-458D-B1E4-97AFCA4CB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277812</xdr:colOff>
      <xdr:row>1</xdr:row>
      <xdr:rowOff>106362</xdr:rowOff>
    </xdr:from>
    <xdr:to>
      <xdr:col>15</xdr:col>
      <xdr:colOff>290159</xdr:colOff>
      <xdr:row>24</xdr:row>
      <xdr:rowOff>109185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4D65C-7B80-490F-8376-2397FDB9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434975</xdr:colOff>
      <xdr:row>2</xdr:row>
      <xdr:rowOff>57150</xdr:rowOff>
    </xdr:from>
    <xdr:to>
      <xdr:col>10</xdr:col>
      <xdr:colOff>130175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915EE3-4202-4703-901F-DA1804E78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139700</xdr:rowOff>
    </xdr:from>
    <xdr:to>
      <xdr:col>14</xdr:col>
      <xdr:colOff>520700</xdr:colOff>
      <xdr:row>18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798A37-CC43-42D0-86E1-54D460116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 Stabler" refreshedDate="42734.694380324072" createdVersion="6" refreshedVersion="6" minRefreshableVersion="3" recordCount="60">
  <cacheSource type="worksheet">
    <worksheetSource name="Benefits"/>
  </cacheSource>
  <cacheFields count="6">
    <cacheField name="SCENARIO" numFmtId="0">
      <sharedItems count="4">
        <s v="ALT-A"/>
        <s v="ALT-B"/>
        <s v="NB" u="1"/>
        <s v="RTP" u="1"/>
      </sharedItems>
    </cacheField>
    <cacheField name="COC" numFmtId="0">
      <sharedItems count="5">
        <s v="LOWINC"/>
        <s v="LOWENGPRO"/>
        <s v="ALL"/>
        <s v="A" u="1"/>
        <s v="B" u="1"/>
      </sharedItems>
    </cacheField>
    <cacheField name="BENEFIT" numFmtId="0">
      <sharedItems count="13">
        <s v="Highway Safety"/>
        <s v="Travel Time"/>
        <s v="Travel Time Reliability"/>
        <s v="Vehicle Operating Costs"/>
        <s v="Vehicle Ownership Costs"/>
        <s v="Mobile Source Emissions"/>
        <s v="Surface Water"/>
        <s v="Highway Noise"/>
        <s v="Physical Activity"/>
        <s v="Travel Options / Choices"/>
        <s v="Noise" u="1"/>
        <s v="Emissions" u="1"/>
        <s v="Safety" u="1"/>
      </sharedItems>
    </cacheField>
    <cacheField name="TYPE" numFmtId="0">
      <sharedItems count="3">
        <s v="Social &amp; Equity Values"/>
        <s v="Economic Vitality"/>
        <s v="Environmental Stewardship"/>
      </sharedItems>
    </cacheField>
    <cacheField name="DOLLARS" numFmtId="0">
      <sharedItems containsSemiMixedTypes="0" containsString="0" containsNumber="1" containsInteger="1" minValue="0" maxValue="700"/>
    </cacheField>
    <cacheField name="YEAR" numFmtId="0">
      <sharedItems containsSemiMixedTypes="0" containsString="0" containsNumber="1" containsInteger="1" minValue="2040" maxValue="20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n Stabler" refreshedDate="42734.798868055557" createdVersion="6" refreshedVersion="6" minRefreshableVersion="3" recordCount="6">
  <cacheSource type="worksheet">
    <worksheetSource name="Costs"/>
  </cacheSource>
  <cacheFields count="7">
    <cacheField name="SCENARIO" numFmtId="0">
      <sharedItems count="4">
        <s v="ALT-A"/>
        <s v="ALT-B"/>
        <s v="NB" u="1"/>
        <s v="RTP" u="1"/>
      </sharedItems>
    </cacheField>
    <cacheField name="COST" numFmtId="0">
      <sharedItems count="5">
        <s v="TriMet"/>
        <s v="City"/>
        <s v="PBOT" u="1"/>
        <s v="Etc" u="1"/>
        <s v="WashCo" u="1"/>
      </sharedItems>
    </cacheField>
    <cacheField name="TYPE" numFmtId="0">
      <sharedItems count="4">
        <s v="Transit"/>
        <s v="Active Transportation"/>
        <s v="Freight"/>
        <s v="Road" u="1"/>
      </sharedItems>
    </cacheField>
    <cacheField name="SCENARIORANK" numFmtId="0">
      <sharedItems containsSemiMixedTypes="0" containsString="0" containsNumber="1" containsInteger="1" minValue="3" maxValue="4"/>
    </cacheField>
    <cacheField name="COSTS" numFmtId="0">
      <sharedItems containsSemiMixedTypes="0" containsString="0" containsNumber="1" containsInteger="1" minValue="0" maxValue="7000"/>
    </cacheField>
    <cacheField name="YEAR" numFmtId="0">
      <sharedItems containsSemiMixedTypes="0" containsString="0" containsNumber="1" containsInteger="1" minValue="2040" maxValue="2040"/>
    </cacheField>
    <cacheField name="DOLLARS" numFmtId="1">
      <sharedItems containsSemiMixedTypes="0" containsString="0" containsNumber="1" minValue="0" maxValue="5893.81216800966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en Stabler" refreshedDate="42734.803486574077" createdVersion="6" refreshedVersion="6" minRefreshableVersion="3" recordCount="2">
  <cacheSource type="worksheet">
    <worksheetSource name="BCRatio"/>
  </cacheSource>
  <cacheFields count="5">
    <cacheField name="Scenario" numFmtId="0">
      <sharedItems count="4">
        <s v="ALT-A"/>
        <s v="ALT-B"/>
        <s v="NB" u="1"/>
        <s v="RTP" u="1"/>
      </sharedItems>
    </cacheField>
    <cacheField name="Benefit" numFmtId="0">
      <sharedItems containsSemiMixedTypes="0" containsString="0" containsNumber="1" containsInteger="1" minValue="5780" maxValue="8129"/>
    </cacheField>
    <cacheField name="Cost" numFmtId="0">
      <sharedItems containsSemiMixedTypes="0" containsString="0" containsNumber="1" minValue="5472.8255845804069" maxValue="6819.9826515540462"/>
    </cacheField>
    <cacheField name="ScenarioRank" numFmtId="0">
      <sharedItems containsSemiMixedTypes="0" containsString="0" containsNumber="1" containsInteger="1" minValue="3" maxValue="4"/>
    </cacheField>
    <cacheField name="BCRatio" numFmtId="166">
      <sharedItems containsSemiMixedTypes="0" containsString="0" containsNumber="1" minValue="1.0561272071752208" maxValue="1.19193851587696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x v="0"/>
    <x v="0"/>
    <n v="200"/>
    <n v="2040"/>
  </r>
  <r>
    <x v="0"/>
    <x v="0"/>
    <x v="1"/>
    <x v="1"/>
    <n v="200"/>
    <n v="2040"/>
  </r>
  <r>
    <x v="0"/>
    <x v="0"/>
    <x v="2"/>
    <x v="1"/>
    <n v="200"/>
    <n v="2040"/>
  </r>
  <r>
    <x v="0"/>
    <x v="0"/>
    <x v="3"/>
    <x v="1"/>
    <n v="400"/>
    <n v="2040"/>
  </r>
  <r>
    <x v="0"/>
    <x v="0"/>
    <x v="4"/>
    <x v="1"/>
    <n v="140"/>
    <n v="2040"/>
  </r>
  <r>
    <x v="0"/>
    <x v="0"/>
    <x v="5"/>
    <x v="2"/>
    <n v="400"/>
    <n v="2040"/>
  </r>
  <r>
    <x v="0"/>
    <x v="0"/>
    <x v="6"/>
    <x v="2"/>
    <n v="66"/>
    <n v="2040"/>
  </r>
  <r>
    <x v="0"/>
    <x v="0"/>
    <x v="7"/>
    <x v="2"/>
    <n v="120"/>
    <n v="2040"/>
  </r>
  <r>
    <x v="0"/>
    <x v="0"/>
    <x v="8"/>
    <x v="0"/>
    <n v="300"/>
    <n v="2040"/>
  </r>
  <r>
    <x v="0"/>
    <x v="0"/>
    <x v="9"/>
    <x v="0"/>
    <n v="111"/>
    <n v="2040"/>
  </r>
  <r>
    <x v="1"/>
    <x v="0"/>
    <x v="0"/>
    <x v="0"/>
    <n v="0"/>
    <n v="2040"/>
  </r>
  <r>
    <x v="1"/>
    <x v="0"/>
    <x v="1"/>
    <x v="1"/>
    <n v="150"/>
    <n v="2040"/>
  </r>
  <r>
    <x v="1"/>
    <x v="0"/>
    <x v="2"/>
    <x v="1"/>
    <n v="100"/>
    <n v="2040"/>
  </r>
  <r>
    <x v="1"/>
    <x v="0"/>
    <x v="3"/>
    <x v="1"/>
    <n v="250"/>
    <n v="2040"/>
  </r>
  <r>
    <x v="1"/>
    <x v="0"/>
    <x v="4"/>
    <x v="1"/>
    <n v="150"/>
    <n v="2040"/>
  </r>
  <r>
    <x v="1"/>
    <x v="0"/>
    <x v="5"/>
    <x v="2"/>
    <n v="400"/>
    <n v="2040"/>
  </r>
  <r>
    <x v="1"/>
    <x v="0"/>
    <x v="6"/>
    <x v="2"/>
    <n v="50"/>
    <n v="2040"/>
  </r>
  <r>
    <x v="1"/>
    <x v="0"/>
    <x v="7"/>
    <x v="2"/>
    <n v="45"/>
    <n v="2040"/>
  </r>
  <r>
    <x v="1"/>
    <x v="0"/>
    <x v="8"/>
    <x v="0"/>
    <n v="260"/>
    <n v="2040"/>
  </r>
  <r>
    <x v="1"/>
    <x v="0"/>
    <x v="9"/>
    <x v="0"/>
    <n v="100"/>
    <n v="2040"/>
  </r>
  <r>
    <x v="0"/>
    <x v="1"/>
    <x v="0"/>
    <x v="0"/>
    <n v="100"/>
    <n v="2040"/>
  </r>
  <r>
    <x v="0"/>
    <x v="1"/>
    <x v="1"/>
    <x v="1"/>
    <n v="400"/>
    <n v="2040"/>
  </r>
  <r>
    <x v="0"/>
    <x v="1"/>
    <x v="2"/>
    <x v="1"/>
    <n v="100"/>
    <n v="2040"/>
  </r>
  <r>
    <x v="0"/>
    <x v="1"/>
    <x v="3"/>
    <x v="1"/>
    <n v="300"/>
    <n v="2040"/>
  </r>
  <r>
    <x v="0"/>
    <x v="1"/>
    <x v="4"/>
    <x v="1"/>
    <n v="200"/>
    <n v="2040"/>
  </r>
  <r>
    <x v="0"/>
    <x v="1"/>
    <x v="5"/>
    <x v="2"/>
    <n v="276"/>
    <n v="2040"/>
  </r>
  <r>
    <x v="0"/>
    <x v="1"/>
    <x v="6"/>
    <x v="2"/>
    <n v="50"/>
    <n v="2040"/>
  </r>
  <r>
    <x v="0"/>
    <x v="1"/>
    <x v="7"/>
    <x v="2"/>
    <n v="102"/>
    <n v="2040"/>
  </r>
  <r>
    <x v="0"/>
    <x v="1"/>
    <x v="8"/>
    <x v="0"/>
    <n v="300"/>
    <n v="2040"/>
  </r>
  <r>
    <x v="0"/>
    <x v="1"/>
    <x v="9"/>
    <x v="0"/>
    <n v="102"/>
    <n v="2040"/>
  </r>
  <r>
    <x v="1"/>
    <x v="1"/>
    <x v="0"/>
    <x v="0"/>
    <n v="0"/>
    <n v="2040"/>
  </r>
  <r>
    <x v="1"/>
    <x v="1"/>
    <x v="1"/>
    <x v="1"/>
    <n v="350"/>
    <n v="2040"/>
  </r>
  <r>
    <x v="1"/>
    <x v="1"/>
    <x v="2"/>
    <x v="1"/>
    <n v="100"/>
    <n v="2040"/>
  </r>
  <r>
    <x v="1"/>
    <x v="1"/>
    <x v="3"/>
    <x v="1"/>
    <n v="150"/>
    <n v="2040"/>
  </r>
  <r>
    <x v="1"/>
    <x v="1"/>
    <x v="4"/>
    <x v="1"/>
    <n v="170"/>
    <n v="2040"/>
  </r>
  <r>
    <x v="1"/>
    <x v="1"/>
    <x v="5"/>
    <x v="2"/>
    <n v="200"/>
    <n v="2040"/>
  </r>
  <r>
    <x v="1"/>
    <x v="1"/>
    <x v="6"/>
    <x v="2"/>
    <n v="30"/>
    <n v="2040"/>
  </r>
  <r>
    <x v="1"/>
    <x v="1"/>
    <x v="7"/>
    <x v="2"/>
    <n v="45"/>
    <n v="2040"/>
  </r>
  <r>
    <x v="1"/>
    <x v="1"/>
    <x v="8"/>
    <x v="0"/>
    <n v="240"/>
    <n v="2040"/>
  </r>
  <r>
    <x v="1"/>
    <x v="1"/>
    <x v="9"/>
    <x v="0"/>
    <n v="100"/>
    <n v="2040"/>
  </r>
  <r>
    <x v="0"/>
    <x v="2"/>
    <x v="0"/>
    <x v="0"/>
    <n v="300"/>
    <n v="2040"/>
  </r>
  <r>
    <x v="0"/>
    <x v="2"/>
    <x v="1"/>
    <x v="1"/>
    <n v="600"/>
    <n v="2040"/>
  </r>
  <r>
    <x v="0"/>
    <x v="2"/>
    <x v="2"/>
    <x v="1"/>
    <n v="300"/>
    <n v="2040"/>
  </r>
  <r>
    <x v="0"/>
    <x v="2"/>
    <x v="3"/>
    <x v="1"/>
    <n v="700"/>
    <n v="2040"/>
  </r>
  <r>
    <x v="0"/>
    <x v="2"/>
    <x v="4"/>
    <x v="1"/>
    <n v="340"/>
    <n v="2040"/>
  </r>
  <r>
    <x v="0"/>
    <x v="2"/>
    <x v="5"/>
    <x v="2"/>
    <n v="676"/>
    <n v="2040"/>
  </r>
  <r>
    <x v="0"/>
    <x v="2"/>
    <x v="6"/>
    <x v="2"/>
    <n v="111"/>
    <n v="2040"/>
  </r>
  <r>
    <x v="0"/>
    <x v="2"/>
    <x v="7"/>
    <x v="2"/>
    <n v="222"/>
    <n v="2040"/>
  </r>
  <r>
    <x v="0"/>
    <x v="2"/>
    <x v="8"/>
    <x v="0"/>
    <n v="600"/>
    <n v="2040"/>
  </r>
  <r>
    <x v="0"/>
    <x v="2"/>
    <x v="9"/>
    <x v="0"/>
    <n v="213"/>
    <n v="2040"/>
  </r>
  <r>
    <x v="1"/>
    <x v="2"/>
    <x v="0"/>
    <x v="0"/>
    <n v="0"/>
    <n v="2040"/>
  </r>
  <r>
    <x v="1"/>
    <x v="2"/>
    <x v="1"/>
    <x v="1"/>
    <n v="500"/>
    <n v="2040"/>
  </r>
  <r>
    <x v="1"/>
    <x v="2"/>
    <x v="2"/>
    <x v="1"/>
    <n v="200"/>
    <n v="2040"/>
  </r>
  <r>
    <x v="1"/>
    <x v="2"/>
    <x v="3"/>
    <x v="1"/>
    <n v="400"/>
    <n v="2040"/>
  </r>
  <r>
    <x v="1"/>
    <x v="2"/>
    <x v="4"/>
    <x v="1"/>
    <n v="320"/>
    <n v="2040"/>
  </r>
  <r>
    <x v="1"/>
    <x v="2"/>
    <x v="5"/>
    <x v="2"/>
    <n v="600"/>
    <n v="2040"/>
  </r>
  <r>
    <x v="1"/>
    <x v="2"/>
    <x v="6"/>
    <x v="2"/>
    <n v="80"/>
    <n v="2040"/>
  </r>
  <r>
    <x v="1"/>
    <x v="2"/>
    <x v="7"/>
    <x v="2"/>
    <n v="90"/>
    <n v="2040"/>
  </r>
  <r>
    <x v="1"/>
    <x v="2"/>
    <x v="8"/>
    <x v="0"/>
    <n v="500"/>
    <n v="2040"/>
  </r>
  <r>
    <x v="1"/>
    <x v="2"/>
    <x v="9"/>
    <x v="0"/>
    <n v="200"/>
    <n v="20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x v="0"/>
    <x v="0"/>
    <n v="3"/>
    <n v="7000"/>
    <n v="2040"/>
    <n v="5893.8121680096692"/>
  </r>
  <r>
    <x v="0"/>
    <x v="1"/>
    <x v="1"/>
    <n v="3"/>
    <n v="1000"/>
    <n v="2040"/>
    <n v="841.97316685852422"/>
  </r>
  <r>
    <x v="0"/>
    <x v="1"/>
    <x v="2"/>
    <n v="3"/>
    <n v="100"/>
    <n v="2040"/>
    <n v="84.197316685852414"/>
  </r>
  <r>
    <x v="1"/>
    <x v="0"/>
    <x v="0"/>
    <n v="4"/>
    <n v="6000"/>
    <n v="2040"/>
    <n v="5051.8390011511447"/>
  </r>
  <r>
    <x v="1"/>
    <x v="1"/>
    <x v="1"/>
    <n v="4"/>
    <n v="500"/>
    <n v="2040"/>
    <n v="420.98658342926211"/>
  </r>
  <r>
    <x v="1"/>
    <x v="1"/>
    <x v="2"/>
    <n v="4"/>
    <n v="0"/>
    <n v="204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n v="8129"/>
    <n v="6819.9826515540462"/>
    <n v="3"/>
    <n v="1.1919385158769682"/>
  </r>
  <r>
    <x v="1"/>
    <n v="5780"/>
    <n v="5472.8255845804069"/>
    <n v="4"/>
    <n v="1.05612720717522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H5" firstHeaderRow="1" firstDataRow="1" firstDataCol="1"/>
  <pivotFields count="7">
    <pivotField axis="axisRow" showAll="0">
      <items count="5">
        <item m="1" x="2"/>
        <item m="1" x="3"/>
        <item x="0"/>
        <item x="1"/>
        <item t="default"/>
      </items>
    </pivotField>
    <pivotField showAll="0"/>
    <pivotField showAll="0"/>
    <pivotField dataField="1" showAll="0" defaultSubtotal="0"/>
    <pivotField showAll="0" defaultSubtotal="0"/>
    <pivotField showAll="0" defaultSubtotal="0"/>
    <pivotField showAll="0"/>
  </pivotFields>
  <rowFields count="1">
    <field x="0"/>
  </rowFields>
  <rowItems count="3">
    <i>
      <x v="2"/>
    </i>
    <i>
      <x v="3"/>
    </i>
    <i t="grand">
      <x/>
    </i>
  </rowItems>
  <colItems count="1">
    <i/>
  </colItems>
  <dataFields count="1">
    <dataField name="Average of SCENPOLICYRANK" fld="3" subtotal="average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E7" firstHeaderRow="1" firstDataRow="2" firstDataCol="1" rowPageCount="1" colPageCount="1"/>
  <pivotFields count="6">
    <pivotField axis="axisRow" showAll="0">
      <items count="5">
        <item m="1" x="2"/>
        <item m="1" x="3"/>
        <item x="0"/>
        <item x="1"/>
        <item t="default"/>
      </items>
    </pivotField>
    <pivotField axis="axisPage" showAll="0">
      <items count="6">
        <item m="1" x="3"/>
        <item x="2"/>
        <item m="1" x="4"/>
        <item x="0"/>
        <item x="1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dataField="1" showAll="0"/>
    <pivotField showAll="0" defaultSubtotal="0"/>
  </pivotFields>
  <rowFields count="1">
    <field x="0"/>
  </rowFields>
  <rowItems count="3"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1" item="1" hier="-1"/>
  </pageFields>
  <dataFields count="1">
    <dataField name="Sum of DOLLARS" fld="4" baseField="0" baseItem="0"/>
  </dataFields>
  <chartFormats count="10">
    <chartFormat chart="1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5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4" firstHeaderRow="1" firstDataRow="1" firstDataCol="1"/>
  <pivotFields count="5">
    <pivotField axis="axisRow" showAll="0">
      <items count="5">
        <item m="1" x="2"/>
        <item m="1" x="3"/>
        <item x="0"/>
        <item x="1"/>
        <item t="default"/>
      </items>
    </pivotField>
    <pivotField showAll="0" defaultSubtotal="0"/>
    <pivotField showAll="0" defaultSubtotal="0"/>
    <pivotField showAll="0" defaultSubtotal="0"/>
    <pivotField dataField="1" showAll="0"/>
  </pivotFields>
  <rowFields count="1">
    <field x="0"/>
  </rowFields>
  <rowItems count="3">
    <i>
      <x v="2"/>
    </i>
    <i>
      <x v="3"/>
    </i>
    <i t="grand">
      <x/>
    </i>
  </rowItems>
  <colItems count="1">
    <i/>
  </colItems>
  <dataFields count="1">
    <dataField name="Sum of BCRatio" fld="4" baseField="0" baseItem="0" numFmtId="165"/>
  </dataFields>
  <formats count="8">
    <format dxfId="51">
      <pivotArea outline="0" collapsedLevelsAreSubtotals="1" fieldPosition="0"/>
    </format>
    <format dxfId="50">
      <pivotArea outline="0" collapsedLevelsAreSubtotals="1" fieldPosition="0"/>
    </format>
    <format dxfId="49">
      <pivotArea outline="0" collapsedLevelsAreSubtotals="1" fieldPosition="0"/>
    </format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outline="0" collapsedLevelsAreSubtotals="1" fieldPosition="0"/>
    </format>
    <format dxfId="44">
      <pivotArea outline="0" collapsedLevelsAreSubtotals="1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5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:C5" firstHeaderRow="0" firstDataRow="1" firstDataCol="1"/>
  <pivotFields count="5">
    <pivotField axis="axisRow" showAll="0">
      <items count="5">
        <item m="1" x="2"/>
        <item m="1" x="3"/>
        <item x="0"/>
        <item x="1"/>
        <item t="default"/>
      </items>
    </pivotField>
    <pivotField dataField="1" showAll="0" defaultSubtotal="0"/>
    <pivotField dataField="1" showAll="0" defaultSubtotal="0"/>
    <pivotField showAll="0" defaultSubtotal="0"/>
    <pivotField showAll="0"/>
  </pivotFields>
  <rowFields count="1">
    <field x="0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enefit" fld="1" baseField="0" baseItem="0"/>
    <dataField name="Sum of Cost" fld="2" baseField="0" baseItem="0"/>
  </dataFields>
  <chartFormats count="2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5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:D5" firstHeaderRow="0" firstDataRow="1" firstDataCol="1"/>
  <pivotFields count="5">
    <pivotField axis="axisRow" showAll="0">
      <items count="5">
        <item m="1" x="2"/>
        <item m="1" x="3"/>
        <item x="0"/>
        <item x="1"/>
        <item t="default"/>
      </items>
    </pivotField>
    <pivotField dataField="1" showAll="0" defaultSubtotal="0"/>
    <pivotField dataField="1" showAll="0" defaultSubtotal="0"/>
    <pivotField dataField="1" showAll="0" defaultSubtotal="0"/>
    <pivotField showAll="0"/>
  </pivotFields>
  <rowFields count="1">
    <field x="0"/>
  </rowFields>
  <rowItems count="3"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enefit" fld="1" baseField="0" baseItem="0"/>
    <dataField name="Sum of Cost" fld="2" baseField="0" baseItem="0"/>
    <dataField name="Average of ScenPolicyRank" fld="3" subtotal="average" baseField="0" baseItem="2"/>
  </dataFields>
  <chartFormats count="2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6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4:D16" firstHeaderRow="1" firstDataRow="2" firstDataCol="1" rowPageCount="1" colPageCount="1"/>
  <pivotFields count="6">
    <pivotField axis="axisCol" showAll="0">
      <items count="5">
        <item m="1" x="2"/>
        <item m="1" x="3"/>
        <item x="0"/>
        <item x="1"/>
        <item t="default"/>
      </items>
    </pivotField>
    <pivotField axis="axisPage" showAll="0">
      <items count="6">
        <item m="1" x="3"/>
        <item x="2"/>
        <item m="1" x="4"/>
        <item x="0"/>
        <item x="1"/>
        <item t="default"/>
      </items>
    </pivotField>
    <pivotField axis="axisRow" showAll="0">
      <items count="14">
        <item m="1" x="11"/>
        <item m="1" x="10"/>
        <item x="8"/>
        <item m="1" x="12"/>
        <item x="6"/>
        <item x="9"/>
        <item x="1"/>
        <item x="2"/>
        <item x="3"/>
        <item x="4"/>
        <item x="0"/>
        <item x="5"/>
        <item x="7"/>
        <item t="default"/>
      </items>
    </pivotField>
    <pivotField showAll="0"/>
    <pivotField dataField="1" showAll="0"/>
    <pivotField showAll="0" defaultSubtotal="0"/>
  </pivotFields>
  <rowFields count="1">
    <field x="2"/>
  </rowFields>
  <rowItems count="11"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3">
    <i>
      <x v="2"/>
    </i>
    <i>
      <x v="3"/>
    </i>
    <i t="grand">
      <x/>
    </i>
  </colItems>
  <pageFields count="1">
    <pageField fld="1" item="1" hier="-1"/>
  </pageFields>
  <dataFields count="1">
    <dataField name="Sum of DOLLARS" fld="4" baseField="0" baseItem="0"/>
  </dataFields>
  <chartFormats count="4"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5" firstHeaderRow="1" firstDataRow="1" firstDataCol="1"/>
  <pivotFields count="6">
    <pivotField axis="axisRow" showAll="0">
      <items count="5">
        <item m="1" x="2"/>
        <item m="1" x="3"/>
        <item x="0"/>
        <item x="1"/>
        <item t="default"/>
      </items>
    </pivotField>
    <pivotField showAll="0"/>
    <pivotField showAll="0"/>
    <pivotField showAll="0"/>
    <pivotField dataField="1" showAll="0"/>
    <pivotField showAll="0" defaultSubtotal="0"/>
  </pivotFields>
  <rowFields count="1">
    <field x="0"/>
  </rowFields>
  <rowItems count="3">
    <i>
      <x v="2"/>
    </i>
    <i>
      <x v="3"/>
    </i>
    <i t="grand">
      <x/>
    </i>
  </rowItems>
  <colItems count="1">
    <i/>
  </colItems>
  <dataFields count="1">
    <dataField name="Sum of DOLLA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5" firstHeaderRow="1" firstDataRow="1" firstDataCol="1"/>
  <pivotFields count="7">
    <pivotField axis="axisRow" showAll="0">
      <items count="5">
        <item m="1" x="2"/>
        <item m="1" x="3"/>
        <item x="0"/>
        <item x="1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dataField="1" showAll="0"/>
  </pivotFields>
  <rowFields count="1">
    <field x="0"/>
  </rowFields>
  <rowItems count="3">
    <i>
      <x v="2"/>
    </i>
    <i>
      <x v="3"/>
    </i>
    <i t="grand">
      <x/>
    </i>
  </rowItems>
  <colItems count="1">
    <i/>
  </colItems>
  <dataFields count="1">
    <dataField name="Sum of DOLLAR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D7" firstHeaderRow="1" firstDataRow="2" firstDataCol="1"/>
  <pivotFields count="7">
    <pivotField axis="axisCol" showAll="0">
      <items count="5">
        <item m="1" x="2"/>
        <item m="1" x="3"/>
        <item x="0"/>
        <item x="1"/>
        <item t="default"/>
      </items>
    </pivotField>
    <pivotField axis="axisRow" showAll="0">
      <items count="6">
        <item x="0"/>
        <item m="1" x="2"/>
        <item m="1" x="4"/>
        <item m="1" x="3"/>
        <item x="1"/>
        <item t="default"/>
      </items>
    </pivotField>
    <pivotField showAll="0"/>
    <pivotField showAll="0" defaultSubtotal="0"/>
    <pivotField showAll="0" defaultSubtotal="0"/>
    <pivotField showAll="0" defaultSubtotal="0"/>
    <pivotField dataField="1" numFmtId="164" showAll="0"/>
  </pivotFields>
  <rowFields count="1">
    <field x="1"/>
  </rowFields>
  <rowItems count="3">
    <i>
      <x/>
    </i>
    <i>
      <x v="4"/>
    </i>
    <i t="grand">
      <x/>
    </i>
  </rowItems>
  <colFields count="1">
    <field x="0"/>
  </colFields>
  <colItems count="3">
    <i>
      <x v="2"/>
    </i>
    <i>
      <x v="3"/>
    </i>
    <i t="grand">
      <x/>
    </i>
  </colItems>
  <dataFields count="1">
    <dataField name="Sum of DOLLARS" fld="6" baseField="0" baseItem="0"/>
  </dataFields>
  <chartFormats count="4"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E7" firstHeaderRow="1" firstDataRow="2" firstDataCol="1"/>
  <pivotFields count="7">
    <pivotField axis="axisRow" showAll="0">
      <items count="5">
        <item m="1" x="2"/>
        <item m="1" x="3"/>
        <item x="0"/>
        <item x="1"/>
        <item t="default"/>
      </items>
    </pivotField>
    <pivotField showAll="0"/>
    <pivotField axis="axisCol" showAll="0">
      <items count="5">
        <item m="1" x="3"/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  <pivotField dataField="1" numFmtId="164" showAll="0"/>
  </pivotFields>
  <rowFields count="1">
    <field x="0"/>
  </rowFields>
  <rowItems count="3">
    <i>
      <x v="2"/>
    </i>
    <i>
      <x v="3"/>
    </i>
    <i t="grand">
      <x/>
    </i>
  </rowItems>
  <colFields count="1">
    <field x="2"/>
  </colFields>
  <colItems count="4">
    <i>
      <x v="1"/>
    </i>
    <i>
      <x v="2"/>
    </i>
    <i>
      <x v="3"/>
    </i>
    <i t="grand">
      <x/>
    </i>
  </colItems>
  <dataFields count="1">
    <dataField name="Sum of DOLLARS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C18" firstHeaderRow="1" firstDataRow="2" firstDataCol="1" rowPageCount="1" colPageCount="1"/>
  <pivotFields count="6">
    <pivotField axis="axisPage" showAll="0">
      <items count="5">
        <item m="1" x="2"/>
        <item m="1" x="3"/>
        <item x="0"/>
        <item x="1"/>
        <item t="default"/>
      </items>
    </pivotField>
    <pivotField axis="axisCol" showAll="0">
      <items count="6">
        <item h="1" m="1" x="3"/>
        <item h="1" x="2"/>
        <item h="1" m="1" x="4"/>
        <item x="0"/>
        <item h="1" x="1"/>
        <item t="default"/>
      </items>
    </pivotField>
    <pivotField axis="axisRow" showAll="0">
      <items count="14">
        <item m="1" x="11"/>
        <item m="1" x="10"/>
        <item x="8"/>
        <item m="1" x="12"/>
        <item x="6"/>
        <item x="9"/>
        <item x="1"/>
        <item x="2"/>
        <item x="3"/>
        <item x="4"/>
        <item x="0"/>
        <item x="5"/>
        <item x="7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showAll="0"/>
    <pivotField showAll="0" defaultSubtotal="0"/>
  </pivotFields>
  <rowFields count="2">
    <field x="3"/>
    <field x="2"/>
  </rowFields>
  <rowItems count="14">
    <i>
      <x/>
    </i>
    <i r="1">
      <x v="6"/>
    </i>
    <i r="1">
      <x v="7"/>
    </i>
    <i r="1">
      <x v="8"/>
    </i>
    <i r="1">
      <x v="9"/>
    </i>
    <i>
      <x v="1"/>
    </i>
    <i r="1">
      <x v="4"/>
    </i>
    <i r="1">
      <x v="11"/>
    </i>
    <i r="1">
      <x v="12"/>
    </i>
    <i>
      <x v="2"/>
    </i>
    <i r="1">
      <x v="2"/>
    </i>
    <i r="1">
      <x v="5"/>
    </i>
    <i r="1">
      <x v="10"/>
    </i>
    <i t="grand">
      <x/>
    </i>
  </rowItems>
  <colFields count="1">
    <field x="1"/>
  </colFields>
  <colItems count="2">
    <i>
      <x v="3"/>
    </i>
    <i t="grand">
      <x/>
    </i>
  </colItems>
  <pageFields count="1">
    <pageField fld="0" item="2" hier="-1"/>
  </pageFields>
  <dataFields count="1">
    <dataField name="Sum of DOLLARS" fld="4" baseField="0" baseItem="0"/>
  </dataFields>
  <chartFormats count="4">
    <chartFormat chart="1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C8" firstHeaderRow="1" firstDataRow="2" firstDataCol="1" rowPageCount="1" colPageCount="1"/>
  <pivotFields count="6">
    <pivotField axis="axisPage" showAll="0">
      <items count="5">
        <item m="1" x="2"/>
        <item m="1" x="3"/>
        <item x="0"/>
        <item x="1"/>
        <item t="default"/>
      </items>
    </pivotField>
    <pivotField axis="axisCol" showAll="0">
      <items count="6">
        <item h="1" m="1" x="3"/>
        <item x="2"/>
        <item h="1" m="1" x="4"/>
        <item h="1" x="0"/>
        <item h="1"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2">
    <i>
      <x v="1"/>
    </i>
    <i t="grand">
      <x/>
    </i>
  </colItems>
  <pageFields count="1">
    <pageField fld="0" item="2" hier="-1"/>
  </pageFields>
  <dataFields count="1">
    <dataField name="Sum of DOLLARS" fld="4" baseField="0" baseItem="0"/>
  </dataFields>
  <chartFormats count="6">
    <chartFormat chart="1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4:B13" firstHeaderRow="1" firstDataRow="1" firstDataCol="1" rowPageCount="1" colPageCount="1"/>
  <pivotFields count="6">
    <pivotField axis="axisRow" showAll="0">
      <items count="5">
        <item m="1" x="2"/>
        <item m="1" x="3"/>
        <item x="0"/>
        <item x="1"/>
        <item t="default"/>
      </items>
    </pivotField>
    <pivotField axis="axisRow" showAll="0">
      <items count="6">
        <item m="1" x="3"/>
        <item x="2"/>
        <item m="1" x="4"/>
        <item x="0"/>
        <item x="1"/>
        <item t="default"/>
      </items>
    </pivotField>
    <pivotField showAll="0"/>
    <pivotField axis="axisPage" showAll="0">
      <items count="4">
        <item x="1"/>
        <item x="2"/>
        <item x="0"/>
        <item t="default"/>
      </items>
    </pivotField>
    <pivotField dataField="1" showAll="0"/>
    <pivotField showAll="0" defaultSubtotal="0"/>
  </pivotFields>
  <rowFields count="2">
    <field x="0"/>
    <field x="1"/>
  </rowFields>
  <rowItems count="9">
    <i>
      <x v="2"/>
    </i>
    <i r="1">
      <x v="1"/>
    </i>
    <i r="1">
      <x v="3"/>
    </i>
    <i r="1">
      <x v="4"/>
    </i>
    <i>
      <x v="3"/>
    </i>
    <i r="1">
      <x v="1"/>
    </i>
    <i r="1">
      <x v="3"/>
    </i>
    <i r="1">
      <x v="4"/>
    </i>
    <i t="grand">
      <x/>
    </i>
  </rowItems>
  <colItems count="1">
    <i/>
  </colItems>
  <pageFields count="1">
    <pageField fld="3" item="0" hier="-1"/>
  </pageFields>
  <dataFields count="1">
    <dataField name="Sum of DOLLARS" fld="4" baseField="0" baseItem="0"/>
  </dataFields>
  <chartFormats count="1">
    <chartFormat chart="12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D18" firstHeaderRow="1" firstDataRow="2" firstDataCol="1" rowPageCount="1" colPageCount="1"/>
  <pivotFields count="6">
    <pivotField axis="axisCol" showAll="0">
      <items count="5">
        <item m="1" x="2"/>
        <item m="1" x="3"/>
        <item x="0"/>
        <item x="1"/>
        <item t="default"/>
      </items>
    </pivotField>
    <pivotField axis="axisPage" showAll="0">
      <items count="6">
        <item m="1" x="3"/>
        <item x="2"/>
        <item m="1" x="4"/>
        <item x="0"/>
        <item x="1"/>
        <item t="default"/>
      </items>
    </pivotField>
    <pivotField axis="axisRow" showAll="0">
      <items count="14">
        <item m="1" x="11"/>
        <item m="1" x="10"/>
        <item x="8"/>
        <item m="1" x="12"/>
        <item x="6"/>
        <item x="9"/>
        <item x="1"/>
        <item x="2"/>
        <item x="3"/>
        <item x="4"/>
        <item x="0"/>
        <item x="5"/>
        <item x="7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showAll="0"/>
    <pivotField showAll="0" defaultSubtotal="0"/>
  </pivotFields>
  <rowFields count="2">
    <field x="3"/>
    <field x="2"/>
  </rowFields>
  <rowItems count="14">
    <i>
      <x/>
    </i>
    <i r="1">
      <x v="6"/>
    </i>
    <i r="1">
      <x v="7"/>
    </i>
    <i r="1">
      <x v="8"/>
    </i>
    <i r="1">
      <x v="9"/>
    </i>
    <i>
      <x v="1"/>
    </i>
    <i r="1">
      <x v="4"/>
    </i>
    <i r="1">
      <x v="11"/>
    </i>
    <i r="1">
      <x v="12"/>
    </i>
    <i>
      <x v="2"/>
    </i>
    <i r="1">
      <x v="2"/>
    </i>
    <i r="1">
      <x v="5"/>
    </i>
    <i r="1">
      <x v="10"/>
    </i>
    <i t="grand">
      <x/>
    </i>
  </rowItems>
  <colFields count="1">
    <field x="0"/>
  </colFields>
  <colItems count="3">
    <i>
      <x v="2"/>
    </i>
    <i>
      <x v="3"/>
    </i>
    <i t="grand">
      <x/>
    </i>
  </colItems>
  <pageFields count="1">
    <pageField fld="1" item="1" hier="-1"/>
  </pageFields>
  <dataFields count="1">
    <dataField name="Sum of DOLLARS" fld="4" baseField="0" baseItem="0"/>
  </dataFields>
  <chartFormats count="7">
    <chartFormat chart="1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Benefits" displayName="Benefits" ref="A1:G61" totalsRowShown="0">
  <tableColumns count="7">
    <tableColumn id="1" name="SCENARIO"/>
    <tableColumn id="2" name="COC"/>
    <tableColumn id="3" name="BENEFIT"/>
    <tableColumn id="4" name="TYPE"/>
    <tableColumn id="6" name="BENEFITS" dataDxfId="42" dataCellStyle="Currency"/>
    <tableColumn id="7" name="YEAR" dataDxfId="40" dataCellStyle="Currency"/>
    <tableColumn id="5" name="DOLLARS" dataDxfId="39" dataCellStyle="Currency">
      <calculatedColumnFormula>Benefits[[#This Row],[BENEFITS]]/((1+Overview!$C$7)^(Overview!$C$8-Benefits[[#This Row],[YEAR]]))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osts" displayName="Costs" ref="A1:G7" totalsRowShown="0">
  <tableColumns count="7">
    <tableColumn id="1" name="SCENARIO"/>
    <tableColumn id="2" name="COST"/>
    <tableColumn id="3" name="TYPE"/>
    <tableColumn id="7" name="SCENPOLICYRANK"/>
    <tableColumn id="5" name="COSTS" dataDxfId="41" dataCellStyle="Currency"/>
    <tableColumn id="4" name="YEAR" dataDxfId="53" dataCellStyle="Currency"/>
    <tableColumn id="6" name="DOLLARS" dataDxfId="38">
      <calculatedColumnFormula>Costs[[#This Row],[COSTS]]/((1+Overview!$C$7)^(Overview!$C$8-Costs[[#This Row],[YEAR]]))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CRatio" displayName="BCRatio" ref="J2:N4" totalsRowShown="0">
  <autoFilter ref="J2:N4"/>
  <tableColumns count="5">
    <tableColumn id="1" name="Scenario">
      <calculatedColumnFormula>A3</calculatedColumnFormula>
    </tableColumn>
    <tableColumn id="5" name="Benefit" dataDxfId="11">
      <calculatedColumnFormula>GETPIVOTDATA("Sum of DOLLARS",$A$2,"SCENARIO",A3)</calculatedColumnFormula>
    </tableColumn>
    <tableColumn id="4" name="Cost" dataDxfId="10">
      <calculatedColumnFormula>GETPIVOTDATA("Sum of DOLLARS",$D$2,"SCENARIO",A3)</calculatedColumnFormula>
    </tableColumn>
    <tableColumn id="3" name="ScenPolicyRank" dataDxfId="1">
      <calculatedColumnFormula>GETPIVOTDATA("Average of SCENPOLICYRANK",$G$2,"SCENARIO",A3)</calculatedColumnFormula>
    </tableColumn>
    <tableColumn id="2" name="BCRatio" dataDxfId="52">
      <calculatedColumnFormula>GETPIVOTDATA("DOLLARS",$A$2,"SCENARIO",J3)/GETPIVOTDATA("DOLLARS",$D$2,"SCENARIO",J3)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BenefitsToCost" displayName="BenefitsToCost" ref="E2:H4" totalsRowShown="0">
  <autoFilter ref="E2:H4"/>
  <tableColumns count="4">
    <tableColumn id="1" name="Scenario">
      <calculatedColumnFormula>A3</calculatedColumnFormula>
    </tableColumn>
    <tableColumn id="2" name="Benefit">
      <calculatedColumnFormula>GETPIVOTDATA("Sum of Benefit",$A$2,"Scenario",A3)</calculatedColumnFormula>
    </tableColumn>
    <tableColumn id="3" name="Cost">
      <calculatedColumnFormula>GETPIVOTDATA("Sum of Cost",$A$2,"Scenario",E3)</calculatedColumnFormula>
    </tableColumn>
    <tableColumn id="4" name="BCRatio" dataDxfId="43">
      <calculatedColumnFormula>ROUND(BenefitsToCost[[#This Row],[Benefit]]/BenefitsToCost[[#This Row],[Cost]],2)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BenefitsToCost6" displayName="BenefitsToCost6" ref="F2:K4" totalsRowShown="0">
  <autoFilter ref="F2:K4"/>
  <tableColumns count="6">
    <tableColumn id="1" name="Scenario">
      <calculatedColumnFormula>A3</calculatedColumnFormula>
    </tableColumn>
    <tableColumn id="2" name="Benefit">
      <calculatedColumnFormula>GETPIVOTDATA("Sum of Benefit",$A$2,"Scenario",A3)</calculatedColumnFormula>
    </tableColumn>
    <tableColumn id="3" name="Cost">
      <calculatedColumnFormula>GETPIVOTDATA("Sum of Cost",$A$2,"Scenario",F3)</calculatedColumnFormula>
    </tableColumn>
    <tableColumn id="6" name="Policy Rank" dataDxfId="0">
      <calculatedColumnFormula>GETPIVOTDATA("Average of ScenPolicyRank",$A$2,"Scenario",F3)</calculatedColumnFormula>
    </tableColumn>
    <tableColumn id="5" name="BCDiff" dataDxfId="36">
      <calculatedColumnFormula>BenefitsToCost6[[#This Row],[Benefit]]-BenefitsToCost6[[#This Row],[Cost]]</calculatedColumnFormula>
    </tableColumn>
    <tableColumn id="4" name="BCRatio" dataDxfId="37">
      <calculatedColumnFormula>ROUND(BenefitsToCost6[[#This Row],[Benefit]]/BenefitsToCost6[[#This Row],[Cost]],2)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9"/>
  <sheetViews>
    <sheetView tabSelected="1" workbookViewId="0">
      <selection activeCell="I4" sqref="I4"/>
    </sheetView>
  </sheetViews>
  <sheetFormatPr defaultRowHeight="14.5" x14ac:dyDescent="0.35"/>
  <cols>
    <col min="2" max="2" width="38.7265625" customWidth="1"/>
    <col min="3" max="3" width="17.26953125" customWidth="1"/>
  </cols>
  <sheetData>
    <row r="2" spans="2:3" ht="18.5" x14ac:dyDescent="0.45">
      <c r="B2" s="18" t="s">
        <v>26</v>
      </c>
      <c r="C2" s="6" t="s">
        <v>62</v>
      </c>
    </row>
    <row r="4" spans="2:3" ht="18.5" x14ac:dyDescent="0.45">
      <c r="B4" s="18" t="s">
        <v>23</v>
      </c>
    </row>
    <row r="5" spans="2:3" ht="15.5" x14ac:dyDescent="0.35">
      <c r="B5" s="7" t="s">
        <v>27</v>
      </c>
      <c r="C5" s="9" t="s">
        <v>74</v>
      </c>
    </row>
    <row r="6" spans="2:3" ht="15.5" x14ac:dyDescent="0.35">
      <c r="B6" s="7" t="s">
        <v>28</v>
      </c>
      <c r="C6" s="9" t="s">
        <v>85</v>
      </c>
    </row>
    <row r="7" spans="2:3" x14ac:dyDescent="0.35">
      <c r="B7" t="s">
        <v>71</v>
      </c>
      <c r="C7" s="15">
        <v>3.5000000000000003E-2</v>
      </c>
    </row>
    <row r="8" spans="2:3" x14ac:dyDescent="0.35">
      <c r="B8" t="s">
        <v>72</v>
      </c>
      <c r="C8">
        <v>2045</v>
      </c>
    </row>
    <row r="9" spans="2:3" ht="15.5" x14ac:dyDescent="0.35">
      <c r="B9" s="7"/>
    </row>
    <row r="10" spans="2:3" ht="18.5" x14ac:dyDescent="0.45">
      <c r="B10" s="18" t="s">
        <v>24</v>
      </c>
    </row>
    <row r="11" spans="2:3" ht="15.5" x14ac:dyDescent="0.35">
      <c r="B11" s="7" t="s">
        <v>29</v>
      </c>
      <c r="C11" t="s">
        <v>30</v>
      </c>
    </row>
    <row r="12" spans="2:3" ht="15.5" x14ac:dyDescent="0.35">
      <c r="B12" s="7" t="s">
        <v>39</v>
      </c>
      <c r="C12" t="s">
        <v>31</v>
      </c>
    </row>
    <row r="13" spans="2:3" ht="15.5" x14ac:dyDescent="0.35">
      <c r="B13" s="7" t="s">
        <v>40</v>
      </c>
      <c r="C13" t="s">
        <v>32</v>
      </c>
    </row>
    <row r="14" spans="2:3" ht="15.5" x14ac:dyDescent="0.35">
      <c r="B14" s="7" t="s">
        <v>41</v>
      </c>
      <c r="C14" t="s">
        <v>42</v>
      </c>
    </row>
    <row r="15" spans="2:3" ht="15.5" x14ac:dyDescent="0.35">
      <c r="B15" s="7" t="s">
        <v>43</v>
      </c>
      <c r="C15" t="s">
        <v>48</v>
      </c>
    </row>
    <row r="16" spans="2:3" ht="15.5" x14ac:dyDescent="0.35">
      <c r="B16" s="7" t="s">
        <v>79</v>
      </c>
      <c r="C16" t="s">
        <v>80</v>
      </c>
    </row>
    <row r="17" spans="2:3" ht="15.5" x14ac:dyDescent="0.35">
      <c r="B17" s="7" t="s">
        <v>44</v>
      </c>
      <c r="C17" t="s">
        <v>49</v>
      </c>
    </row>
    <row r="18" spans="2:3" ht="15.5" x14ac:dyDescent="0.35">
      <c r="B18" s="7" t="s">
        <v>45</v>
      </c>
      <c r="C18" t="s">
        <v>50</v>
      </c>
    </row>
    <row r="19" spans="2:3" ht="15.5" x14ac:dyDescent="0.35">
      <c r="B19" s="7" t="s">
        <v>46</v>
      </c>
      <c r="C19" t="s">
        <v>61</v>
      </c>
    </row>
    <row r="20" spans="2:3" ht="15.5" x14ac:dyDescent="0.35">
      <c r="B20" s="7" t="s">
        <v>58</v>
      </c>
      <c r="C20" t="s">
        <v>59</v>
      </c>
    </row>
    <row r="21" spans="2:3" ht="15.5" x14ac:dyDescent="0.35">
      <c r="B21" s="7" t="s">
        <v>86</v>
      </c>
      <c r="C21" t="s">
        <v>87</v>
      </c>
    </row>
    <row r="22" spans="2:3" ht="15.5" x14ac:dyDescent="0.35">
      <c r="B22" s="7" t="s">
        <v>47</v>
      </c>
      <c r="C22" t="s">
        <v>51</v>
      </c>
    </row>
    <row r="23" spans="2:3" ht="15.5" x14ac:dyDescent="0.35">
      <c r="B23" s="7"/>
    </row>
    <row r="24" spans="2:3" ht="18.5" x14ac:dyDescent="0.45">
      <c r="B24" s="18" t="s">
        <v>25</v>
      </c>
    </row>
    <row r="25" spans="2:3" x14ac:dyDescent="0.35">
      <c r="B25" s="8" t="s">
        <v>34</v>
      </c>
    </row>
    <row r="26" spans="2:3" x14ac:dyDescent="0.35">
      <c r="B26" s="8" t="s">
        <v>33</v>
      </c>
    </row>
    <row r="27" spans="2:3" x14ac:dyDescent="0.35">
      <c r="B27" s="8" t="s">
        <v>52</v>
      </c>
    </row>
    <row r="28" spans="2:3" x14ac:dyDescent="0.35">
      <c r="B28" s="8" t="s">
        <v>35</v>
      </c>
    </row>
    <row r="29" spans="2:3" x14ac:dyDescent="0.35">
      <c r="B29" s="8" t="s">
        <v>53</v>
      </c>
    </row>
  </sheetData>
  <hyperlinks>
    <hyperlink ref="B5" location="Benefits!A1" display="Benefits"/>
    <hyperlink ref="B6" location="Costs!A1" display="Costs"/>
    <hyperlink ref="B12" location="CostByScenario!A1" display="CostByScenario"/>
    <hyperlink ref="B13" location="CostByTypeScenario!A1" display="CostByTypeScenario"/>
    <hyperlink ref="B11" location="BCRatio!A1" display="BCRatio"/>
    <hyperlink ref="B14" location="BenefitsPerScenario!A1" display="BenefitsPerScenario"/>
    <hyperlink ref="B15" location="TotalBenefitsPerScenario!A1" display="TotalBenefitsPerScenario"/>
    <hyperlink ref="B17" location="BenefitsByScenario!A1" display="BenefitsByScenario"/>
    <hyperlink ref="B18" location="TotalBenefitsByScenario!A1" display="TotalBenefitsByScenario"/>
    <hyperlink ref="B19" location="BCRatioByScenario!A1" display="BCRatioByScenario"/>
    <hyperlink ref="B22" location="BenefitsRadarByScenario!A1" display="BenefitsRadarByScenario"/>
    <hyperlink ref="B20" location="BenefitToCostByScenario!A1" display="BenefitToCostByScenario"/>
    <hyperlink ref="B16" location="TotalBenefitsPerScenarioCOC!A1" display="TotalBenefitsPerScenarioCOC"/>
    <hyperlink ref="B21" location="BCRatioByPolicyRank!A1" display="BCRatioByPolicyRank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80" zoomScaleNormal="80" workbookViewId="0">
      <selection activeCell="A3" sqref="A3"/>
    </sheetView>
  </sheetViews>
  <sheetFormatPr defaultRowHeight="14.5" x14ac:dyDescent="0.35"/>
  <cols>
    <col min="1" max="1" width="26.54296875" bestFit="1" customWidth="1"/>
    <col min="2" max="2" width="16.453125" bestFit="1" customWidth="1"/>
    <col min="3" max="3" width="6" bestFit="1" customWidth="1"/>
    <col min="4" max="4" width="11" customWidth="1"/>
    <col min="5" max="5" width="25.1796875" customWidth="1"/>
  </cols>
  <sheetData>
    <row r="1" spans="1:5" x14ac:dyDescent="0.35">
      <c r="A1" s="2" t="s">
        <v>10</v>
      </c>
      <c r="B1" t="s">
        <v>17</v>
      </c>
      <c r="E1" t="str">
        <f>"Benefits by Scenario, COC "&amp;BenefitsByScenario!B1</f>
        <v>Benefits by Scenario, COC ALL</v>
      </c>
    </row>
    <row r="3" spans="1:5" x14ac:dyDescent="0.35">
      <c r="A3" s="2" t="s">
        <v>20</v>
      </c>
      <c r="B3" s="2" t="s">
        <v>21</v>
      </c>
    </row>
    <row r="4" spans="1:5" x14ac:dyDescent="0.35">
      <c r="A4" s="2" t="s">
        <v>18</v>
      </c>
      <c r="B4" t="s">
        <v>68</v>
      </c>
      <c r="C4" t="s">
        <v>69</v>
      </c>
      <c r="D4" t="s">
        <v>19</v>
      </c>
    </row>
    <row r="5" spans="1:5" x14ac:dyDescent="0.35">
      <c r="A5" s="3" t="s">
        <v>14</v>
      </c>
      <c r="B5" s="5">
        <v>1940</v>
      </c>
      <c r="C5" s="5">
        <v>1420</v>
      </c>
      <c r="D5" s="5">
        <v>3360</v>
      </c>
    </row>
    <row r="6" spans="1:5" x14ac:dyDescent="0.35">
      <c r="A6" s="4" t="s">
        <v>3</v>
      </c>
      <c r="B6" s="5">
        <v>600</v>
      </c>
      <c r="C6" s="5">
        <v>500</v>
      </c>
      <c r="D6" s="5">
        <v>1100</v>
      </c>
    </row>
    <row r="7" spans="1:5" x14ac:dyDescent="0.35">
      <c r="A7" s="4" t="s">
        <v>4</v>
      </c>
      <c r="B7" s="5">
        <v>300</v>
      </c>
      <c r="C7" s="5">
        <v>200</v>
      </c>
      <c r="D7" s="5">
        <v>500</v>
      </c>
    </row>
    <row r="8" spans="1:5" x14ac:dyDescent="0.35">
      <c r="A8" s="4" t="s">
        <v>5</v>
      </c>
      <c r="B8" s="5">
        <v>700</v>
      </c>
      <c r="C8" s="5">
        <v>400</v>
      </c>
      <c r="D8" s="5">
        <v>1100</v>
      </c>
    </row>
    <row r="9" spans="1:5" x14ac:dyDescent="0.35">
      <c r="A9" s="4" t="s">
        <v>6</v>
      </c>
      <c r="B9" s="5">
        <v>340</v>
      </c>
      <c r="C9" s="5">
        <v>320</v>
      </c>
      <c r="D9" s="5">
        <v>660</v>
      </c>
    </row>
    <row r="10" spans="1:5" x14ac:dyDescent="0.35">
      <c r="A10" s="3" t="s">
        <v>15</v>
      </c>
      <c r="B10" s="5">
        <v>1009</v>
      </c>
      <c r="C10" s="5">
        <v>770</v>
      </c>
      <c r="D10" s="5">
        <v>1779</v>
      </c>
    </row>
    <row r="11" spans="1:5" x14ac:dyDescent="0.35">
      <c r="A11" s="4" t="s">
        <v>7</v>
      </c>
      <c r="B11" s="5">
        <v>111</v>
      </c>
      <c r="C11" s="5">
        <v>80</v>
      </c>
      <c r="D11" s="5">
        <v>191</v>
      </c>
    </row>
    <row r="12" spans="1:5" x14ac:dyDescent="0.35">
      <c r="A12" s="4" t="s">
        <v>67</v>
      </c>
      <c r="B12" s="5">
        <v>676</v>
      </c>
      <c r="C12" s="5">
        <v>600</v>
      </c>
      <c r="D12" s="5">
        <v>1276</v>
      </c>
    </row>
    <row r="13" spans="1:5" x14ac:dyDescent="0.35">
      <c r="A13" s="4" t="s">
        <v>66</v>
      </c>
      <c r="B13" s="5">
        <v>222</v>
      </c>
      <c r="C13" s="5">
        <v>90</v>
      </c>
      <c r="D13" s="5">
        <v>312</v>
      </c>
    </row>
    <row r="14" spans="1:5" x14ac:dyDescent="0.35">
      <c r="A14" s="3" t="s">
        <v>13</v>
      </c>
      <c r="B14" s="5">
        <v>1113</v>
      </c>
      <c r="C14" s="5">
        <v>700</v>
      </c>
      <c r="D14" s="5">
        <v>1813</v>
      </c>
    </row>
    <row r="15" spans="1:5" x14ac:dyDescent="0.35">
      <c r="A15" s="4" t="s">
        <v>8</v>
      </c>
      <c r="B15" s="5">
        <v>600</v>
      </c>
      <c r="C15" s="5">
        <v>500</v>
      </c>
      <c r="D15" s="5">
        <v>1100</v>
      </c>
    </row>
    <row r="16" spans="1:5" x14ac:dyDescent="0.35">
      <c r="A16" s="4" t="s">
        <v>9</v>
      </c>
      <c r="B16" s="5">
        <v>213</v>
      </c>
      <c r="C16" s="5">
        <v>200</v>
      </c>
      <c r="D16" s="5">
        <v>413</v>
      </c>
    </row>
    <row r="17" spans="1:4" x14ac:dyDescent="0.35">
      <c r="A17" s="4" t="s">
        <v>65</v>
      </c>
      <c r="B17" s="5">
        <v>300</v>
      </c>
      <c r="C17" s="5">
        <v>0</v>
      </c>
      <c r="D17" s="5">
        <v>300</v>
      </c>
    </row>
    <row r="18" spans="1:4" x14ac:dyDescent="0.35">
      <c r="A18" s="3" t="s">
        <v>19</v>
      </c>
      <c r="B18" s="5">
        <v>4062</v>
      </c>
      <c r="C18" s="5">
        <v>2890</v>
      </c>
      <c r="D18" s="5">
        <v>6952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D1" zoomScale="80" zoomScaleNormal="80" workbookViewId="0">
      <selection activeCell="E16" sqref="E16"/>
    </sheetView>
  </sheetViews>
  <sheetFormatPr defaultRowHeight="14.5" x14ac:dyDescent="0.35"/>
  <cols>
    <col min="1" max="1" width="15.54296875" customWidth="1"/>
    <col min="2" max="2" width="16.453125" bestFit="1" customWidth="1"/>
    <col min="3" max="3" width="25" bestFit="1" customWidth="1"/>
    <col min="4" max="4" width="20.1796875" customWidth="1"/>
    <col min="5" max="5" width="31.08984375" customWidth="1"/>
  </cols>
  <sheetData>
    <row r="1" spans="1:5" x14ac:dyDescent="0.35">
      <c r="A1" s="2" t="s">
        <v>10</v>
      </c>
      <c r="B1" t="s">
        <v>17</v>
      </c>
      <c r="E1" t="str">
        <f>"Total Benefits by Scenario, COC "&amp;TotalBenefitsByScenario!B1</f>
        <v>Total Benefits by Scenario, COC ALL</v>
      </c>
    </row>
    <row r="3" spans="1:5" x14ac:dyDescent="0.35">
      <c r="A3" s="2" t="s">
        <v>20</v>
      </c>
      <c r="B3" s="2" t="s">
        <v>21</v>
      </c>
    </row>
    <row r="4" spans="1:5" x14ac:dyDescent="0.35">
      <c r="A4" s="2" t="s">
        <v>18</v>
      </c>
      <c r="B4" t="s">
        <v>14</v>
      </c>
      <c r="C4" t="s">
        <v>15</v>
      </c>
      <c r="D4" t="s">
        <v>13</v>
      </c>
      <c r="E4" t="s">
        <v>19</v>
      </c>
    </row>
    <row r="5" spans="1:5" x14ac:dyDescent="0.35">
      <c r="A5" s="3" t="s">
        <v>68</v>
      </c>
      <c r="B5" s="5">
        <v>1940</v>
      </c>
      <c r="C5" s="5">
        <v>1009</v>
      </c>
      <c r="D5" s="5">
        <v>1113</v>
      </c>
      <c r="E5" s="5">
        <v>4062</v>
      </c>
    </row>
    <row r="6" spans="1:5" x14ac:dyDescent="0.35">
      <c r="A6" s="3" t="s">
        <v>69</v>
      </c>
      <c r="B6" s="5">
        <v>1420</v>
      </c>
      <c r="C6" s="5">
        <v>770</v>
      </c>
      <c r="D6" s="5">
        <v>700</v>
      </c>
      <c r="E6" s="5">
        <v>2890</v>
      </c>
    </row>
    <row r="7" spans="1:5" x14ac:dyDescent="0.35">
      <c r="A7" s="3" t="s">
        <v>19</v>
      </c>
      <c r="B7" s="5">
        <v>3360</v>
      </c>
      <c r="C7" s="5">
        <v>1779</v>
      </c>
      <c r="D7" s="5">
        <v>1813</v>
      </c>
      <c r="E7" s="5">
        <v>6952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defaultRowHeight="14.5" x14ac:dyDescent="0.35"/>
  <cols>
    <col min="1" max="1" width="12.36328125" bestFit="1" customWidth="1"/>
    <col min="2" max="2" width="13.7265625" bestFit="1" customWidth="1"/>
  </cols>
  <sheetData>
    <row r="1" spans="1:4" x14ac:dyDescent="0.35">
      <c r="A1" s="2" t="s">
        <v>18</v>
      </c>
      <c r="B1" t="s">
        <v>37</v>
      </c>
      <c r="D1" t="s">
        <v>38</v>
      </c>
    </row>
    <row r="2" spans="1:4" x14ac:dyDescent="0.35">
      <c r="A2" s="3" t="s">
        <v>68</v>
      </c>
      <c r="B2" s="11">
        <v>1.1919385158769682</v>
      </c>
    </row>
    <row r="3" spans="1:4" x14ac:dyDescent="0.35">
      <c r="A3" s="3" t="s">
        <v>69</v>
      </c>
      <c r="B3" s="11">
        <v>1.0561272071752208</v>
      </c>
    </row>
    <row r="4" spans="1:4" x14ac:dyDescent="0.35">
      <c r="A4" s="3" t="s">
        <v>19</v>
      </c>
      <c r="B4" s="11">
        <v>2.2480657230521892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14" sqref="E14"/>
    </sheetView>
  </sheetViews>
  <sheetFormatPr defaultRowHeight="14.5" x14ac:dyDescent="0.35"/>
  <cols>
    <col min="1" max="1" width="12.36328125" customWidth="1"/>
    <col min="2" max="2" width="13.1796875" bestFit="1" customWidth="1"/>
    <col min="3" max="3" width="11.81640625" bestFit="1" customWidth="1"/>
    <col min="5" max="5" width="9.90625" customWidth="1"/>
    <col min="6" max="6" width="8.81640625" customWidth="1"/>
    <col min="8" max="8" width="11.81640625" bestFit="1" customWidth="1"/>
  </cols>
  <sheetData>
    <row r="1" spans="1:8" x14ac:dyDescent="0.35">
      <c r="D1" t="s">
        <v>60</v>
      </c>
    </row>
    <row r="2" spans="1:8" x14ac:dyDescent="0.35">
      <c r="A2" s="2" t="s">
        <v>18</v>
      </c>
      <c r="B2" t="s">
        <v>56</v>
      </c>
      <c r="C2" t="s">
        <v>57</v>
      </c>
      <c r="E2" t="s">
        <v>36</v>
      </c>
      <c r="F2" t="s">
        <v>54</v>
      </c>
      <c r="G2" t="s">
        <v>55</v>
      </c>
      <c r="H2" t="s">
        <v>29</v>
      </c>
    </row>
    <row r="3" spans="1:8" x14ac:dyDescent="0.35">
      <c r="A3" s="3" t="s">
        <v>68</v>
      </c>
      <c r="B3" s="5">
        <v>8129</v>
      </c>
      <c r="C3" s="5">
        <v>6819.9826515540462</v>
      </c>
      <c r="E3" t="str">
        <f>A3</f>
        <v>ALT-A</v>
      </c>
      <c r="F3">
        <f>GETPIVOTDATA("Sum of Benefit",$A$2,"Scenario",A3)</f>
        <v>8129</v>
      </c>
      <c r="G3">
        <f>GETPIVOTDATA("Sum of Cost",$A$2,"Scenario",E3)</f>
        <v>6819.9826515540462</v>
      </c>
      <c r="H3" s="10">
        <f>ROUND(BenefitsToCost[[#This Row],[Benefit]]/BenefitsToCost[[#This Row],[Cost]],2)</f>
        <v>1.19</v>
      </c>
    </row>
    <row r="4" spans="1:8" x14ac:dyDescent="0.35">
      <c r="A4" s="3" t="s">
        <v>69</v>
      </c>
      <c r="B4" s="5">
        <v>5780</v>
      </c>
      <c r="C4" s="5">
        <v>5472.8255845804069</v>
      </c>
      <c r="E4" t="str">
        <f>A4</f>
        <v>ALT-B</v>
      </c>
      <c r="F4">
        <f>GETPIVOTDATA("Sum of Benefit",$A$2,"Scenario",A4)</f>
        <v>5780</v>
      </c>
      <c r="G4">
        <f>GETPIVOTDATA("Sum of Cost",$A$2,"Scenario",E4)</f>
        <v>5472.8255845804069</v>
      </c>
      <c r="H4" s="10">
        <f>ROUND(BenefitsToCost[[#This Row],[Benefit]]/BenefitsToCost[[#This Row],[Cost]],2)</f>
        <v>1.06</v>
      </c>
    </row>
    <row r="5" spans="1:8" x14ac:dyDescent="0.35">
      <c r="A5" s="3" t="s">
        <v>19</v>
      </c>
      <c r="B5" s="5">
        <v>13909</v>
      </c>
      <c r="C5" s="5">
        <v>12292.808236134453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T8" sqref="T8"/>
    </sheetView>
  </sheetViews>
  <sheetFormatPr defaultRowHeight="14.5" x14ac:dyDescent="0.35"/>
  <cols>
    <col min="1" max="1" width="12.36328125" customWidth="1"/>
    <col min="2" max="2" width="13.1796875" customWidth="1"/>
    <col min="3" max="3" width="11.81640625" customWidth="1"/>
    <col min="4" max="4" width="21.7265625" bestFit="1" customWidth="1"/>
    <col min="5" max="5" width="9.453125" customWidth="1"/>
    <col min="6" max="6" width="9.90625" customWidth="1"/>
    <col min="7" max="7" width="8.81640625" customWidth="1"/>
    <col min="9" max="9" width="12.54296875" bestFit="1" customWidth="1"/>
    <col min="11" max="11" width="11.81640625" customWidth="1"/>
  </cols>
  <sheetData>
    <row r="1" spans="1:11" x14ac:dyDescent="0.35">
      <c r="D1" t="s">
        <v>84</v>
      </c>
    </row>
    <row r="2" spans="1:11" x14ac:dyDescent="0.35">
      <c r="A2" s="2" t="s">
        <v>18</v>
      </c>
      <c r="B2" t="s">
        <v>56</v>
      </c>
      <c r="C2" t="s">
        <v>57</v>
      </c>
      <c r="D2" t="s">
        <v>91</v>
      </c>
      <c r="F2" t="s">
        <v>36</v>
      </c>
      <c r="G2" t="s">
        <v>54</v>
      </c>
      <c r="H2" t="s">
        <v>55</v>
      </c>
      <c r="I2" t="s">
        <v>83</v>
      </c>
      <c r="J2" t="s">
        <v>81</v>
      </c>
      <c r="K2" t="s">
        <v>29</v>
      </c>
    </row>
    <row r="3" spans="1:11" x14ac:dyDescent="0.35">
      <c r="A3" s="3" t="s">
        <v>68</v>
      </c>
      <c r="B3" s="5">
        <v>8129</v>
      </c>
      <c r="C3" s="5">
        <v>6819.9826515540462</v>
      </c>
      <c r="D3" s="5">
        <v>3</v>
      </c>
      <c r="E3" s="5"/>
      <c r="F3" t="str">
        <f>A3</f>
        <v>ALT-A</v>
      </c>
      <c r="G3">
        <f>GETPIVOTDATA("Sum of Benefit",$A$2,"Scenario",A3)</f>
        <v>8129</v>
      </c>
      <c r="H3">
        <f>GETPIVOTDATA("Sum of Cost",$A$2,"Scenario",F3)</f>
        <v>6819.9826515540462</v>
      </c>
      <c r="I3">
        <f t="shared" ref="I3:I4" si="0">GETPIVOTDATA("Average of ScenPolicyRank",$A$2,"Scenario",F3)</f>
        <v>3</v>
      </c>
      <c r="J3">
        <f>BenefitsToCost6[[#This Row],[Benefit]]-BenefitsToCost6[[#This Row],[Cost]]</f>
        <v>1309.0173484459538</v>
      </c>
      <c r="K3" s="10">
        <f>ROUND(BenefitsToCost6[[#This Row],[Benefit]]/BenefitsToCost6[[#This Row],[Cost]],2)</f>
        <v>1.19</v>
      </c>
    </row>
    <row r="4" spans="1:11" x14ac:dyDescent="0.35">
      <c r="A4" s="3" t="s">
        <v>69</v>
      </c>
      <c r="B4" s="5">
        <v>5780</v>
      </c>
      <c r="C4" s="5">
        <v>5472.8255845804069</v>
      </c>
      <c r="D4" s="5">
        <v>4</v>
      </c>
      <c r="E4" s="5"/>
      <c r="F4" t="str">
        <f>A4</f>
        <v>ALT-B</v>
      </c>
      <c r="G4">
        <f>GETPIVOTDATA("Sum of Benefit",$A$2,"Scenario",A4)</f>
        <v>5780</v>
      </c>
      <c r="H4">
        <f>GETPIVOTDATA("Sum of Cost",$A$2,"Scenario",F4)</f>
        <v>5472.8255845804069</v>
      </c>
      <c r="I4">
        <f t="shared" si="0"/>
        <v>4</v>
      </c>
      <c r="J4">
        <f>BenefitsToCost6[[#This Row],[Benefit]]-BenefitsToCost6[[#This Row],[Cost]]</f>
        <v>307.17441541959306</v>
      </c>
      <c r="K4" s="10">
        <f>ROUND(BenefitsToCost6[[#This Row],[Benefit]]/BenefitsToCost6[[#This Row],[Cost]],2)</f>
        <v>1.06</v>
      </c>
    </row>
    <row r="5" spans="1:11" x14ac:dyDescent="0.35">
      <c r="A5" s="3" t="s">
        <v>19</v>
      </c>
      <c r="B5" s="5">
        <v>13909</v>
      </c>
      <c r="C5" s="5">
        <v>12292.808236134453</v>
      </c>
      <c r="D5" s="5">
        <v>3.5</v>
      </c>
      <c r="E5" s="5"/>
    </row>
  </sheetData>
  <pageMargins left="0.7" right="0.7" top="0.75" bottom="0.75" header="0.3" footer="0.3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80" zoomScaleNormal="80" workbookViewId="0">
      <selection activeCell="D21" sqref="D21"/>
    </sheetView>
  </sheetViews>
  <sheetFormatPr defaultRowHeight="14.5" x14ac:dyDescent="0.35"/>
  <cols>
    <col min="1" max="1" width="21.81640625" bestFit="1" customWidth="1"/>
    <col min="2" max="2" width="16.453125" bestFit="1" customWidth="1"/>
    <col min="3" max="3" width="6" bestFit="1" customWidth="1"/>
    <col min="4" max="4" width="26.26953125" bestFit="1" customWidth="1"/>
  </cols>
  <sheetData>
    <row r="2" spans="1:4" x14ac:dyDescent="0.35">
      <c r="A2" s="2" t="s">
        <v>10</v>
      </c>
      <c r="B2" t="s">
        <v>17</v>
      </c>
      <c r="D2" t="str">
        <f>"Benefits by Scenario, COC "&amp;B2</f>
        <v>Benefits by Scenario, COC ALL</v>
      </c>
    </row>
    <row r="4" spans="1:4" x14ac:dyDescent="0.35">
      <c r="A4" s="2" t="s">
        <v>20</v>
      </c>
      <c r="B4" s="2" t="s">
        <v>21</v>
      </c>
    </row>
    <row r="5" spans="1:4" x14ac:dyDescent="0.35">
      <c r="A5" s="2" t="s">
        <v>18</v>
      </c>
      <c r="B5" t="s">
        <v>68</v>
      </c>
      <c r="C5" t="s">
        <v>69</v>
      </c>
      <c r="D5" t="s">
        <v>19</v>
      </c>
    </row>
    <row r="6" spans="1:4" x14ac:dyDescent="0.35">
      <c r="A6" s="3" t="s">
        <v>8</v>
      </c>
      <c r="B6" s="5">
        <v>600</v>
      </c>
      <c r="C6" s="5">
        <v>500</v>
      </c>
      <c r="D6" s="5">
        <v>1100</v>
      </c>
    </row>
    <row r="7" spans="1:4" x14ac:dyDescent="0.35">
      <c r="A7" s="3" t="s">
        <v>7</v>
      </c>
      <c r="B7" s="5">
        <v>111</v>
      </c>
      <c r="C7" s="5">
        <v>80</v>
      </c>
      <c r="D7" s="5">
        <v>191</v>
      </c>
    </row>
    <row r="8" spans="1:4" x14ac:dyDescent="0.35">
      <c r="A8" s="3" t="s">
        <v>9</v>
      </c>
      <c r="B8" s="5">
        <v>213</v>
      </c>
      <c r="C8" s="5">
        <v>200</v>
      </c>
      <c r="D8" s="5">
        <v>413</v>
      </c>
    </row>
    <row r="9" spans="1:4" x14ac:dyDescent="0.35">
      <c r="A9" s="3" t="s">
        <v>3</v>
      </c>
      <c r="B9" s="5">
        <v>600</v>
      </c>
      <c r="C9" s="5">
        <v>500</v>
      </c>
      <c r="D9" s="5">
        <v>1100</v>
      </c>
    </row>
    <row r="10" spans="1:4" x14ac:dyDescent="0.35">
      <c r="A10" s="3" t="s">
        <v>4</v>
      </c>
      <c r="B10" s="5">
        <v>300</v>
      </c>
      <c r="C10" s="5">
        <v>200</v>
      </c>
      <c r="D10" s="5">
        <v>500</v>
      </c>
    </row>
    <row r="11" spans="1:4" x14ac:dyDescent="0.35">
      <c r="A11" s="3" t="s">
        <v>5</v>
      </c>
      <c r="B11" s="5">
        <v>700</v>
      </c>
      <c r="C11" s="5">
        <v>400</v>
      </c>
      <c r="D11" s="5">
        <v>1100</v>
      </c>
    </row>
    <row r="12" spans="1:4" x14ac:dyDescent="0.35">
      <c r="A12" s="3" t="s">
        <v>6</v>
      </c>
      <c r="B12" s="5">
        <v>340</v>
      </c>
      <c r="C12" s="5">
        <v>320</v>
      </c>
      <c r="D12" s="5">
        <v>660</v>
      </c>
    </row>
    <row r="13" spans="1:4" x14ac:dyDescent="0.35">
      <c r="A13" s="3" t="s">
        <v>65</v>
      </c>
      <c r="B13" s="5">
        <v>300</v>
      </c>
      <c r="C13" s="5">
        <v>0</v>
      </c>
      <c r="D13" s="5">
        <v>300</v>
      </c>
    </row>
    <row r="14" spans="1:4" x14ac:dyDescent="0.35">
      <c r="A14" s="3" t="s">
        <v>67</v>
      </c>
      <c r="B14" s="5">
        <v>676</v>
      </c>
      <c r="C14" s="5">
        <v>600</v>
      </c>
      <c r="D14" s="5">
        <v>1276</v>
      </c>
    </row>
    <row r="15" spans="1:4" x14ac:dyDescent="0.35">
      <c r="A15" s="3" t="s">
        <v>66</v>
      </c>
      <c r="B15" s="5">
        <v>222</v>
      </c>
      <c r="C15" s="5">
        <v>90</v>
      </c>
      <c r="D15" s="5">
        <v>312</v>
      </c>
    </row>
    <row r="16" spans="1:4" x14ac:dyDescent="0.35">
      <c r="A16" s="3" t="s">
        <v>19</v>
      </c>
      <c r="B16" s="5">
        <v>4062</v>
      </c>
      <c r="C16" s="5">
        <v>2890</v>
      </c>
      <c r="D16" s="5">
        <v>6952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1"/>
  <sheetViews>
    <sheetView zoomScaleNormal="100" workbookViewId="0">
      <selection activeCell="I9" sqref="I9"/>
    </sheetView>
  </sheetViews>
  <sheetFormatPr defaultColWidth="8.81640625" defaultRowHeight="14.5" x14ac:dyDescent="0.35"/>
  <cols>
    <col min="1" max="1" width="9.26953125" bestFit="1" customWidth="1"/>
    <col min="2" max="2" width="11.81640625" bestFit="1" customWidth="1"/>
    <col min="3" max="3" width="21.6328125" bestFit="1" customWidth="1"/>
    <col min="4" max="4" width="24" bestFit="1" customWidth="1"/>
    <col min="5" max="5" width="8.26953125" bestFit="1" customWidth="1"/>
    <col min="6" max="6" width="6.6328125" customWidth="1"/>
    <col min="7" max="7" width="9.453125" style="17" customWidth="1"/>
    <col min="10" max="10" width="1.90625" bestFit="1" customWidth="1"/>
    <col min="11" max="11" width="21.453125" bestFit="1" customWidth="1"/>
    <col min="12" max="12" width="4.81640625" bestFit="1" customWidth="1"/>
  </cols>
  <sheetData>
    <row r="1" spans="1:7" x14ac:dyDescent="0.35">
      <c r="A1" t="s">
        <v>2</v>
      </c>
      <c r="B1" t="s">
        <v>10</v>
      </c>
      <c r="C1" t="s">
        <v>0</v>
      </c>
      <c r="D1" t="s">
        <v>12</v>
      </c>
      <c r="E1" s="13" t="s">
        <v>73</v>
      </c>
      <c r="F1" s="13" t="s">
        <v>70</v>
      </c>
      <c r="G1" s="16" t="s">
        <v>11</v>
      </c>
    </row>
    <row r="2" spans="1:7" x14ac:dyDescent="0.35">
      <c r="A2" t="s">
        <v>68</v>
      </c>
      <c r="B2" t="s">
        <v>63</v>
      </c>
      <c r="C2" t="s">
        <v>65</v>
      </c>
      <c r="D2" t="s">
        <v>13</v>
      </c>
      <c r="E2" s="1">
        <v>200</v>
      </c>
      <c r="F2" s="1">
        <v>2040</v>
      </c>
      <c r="G2" s="17">
        <f>Benefits[[#This Row],[BENEFITS]]/((1+Overview!$C$7)^(Overview!$C$8-Benefits[[#This Row],[YEAR]]))</f>
        <v>168.39463337170483</v>
      </c>
    </row>
    <row r="3" spans="1:7" x14ac:dyDescent="0.35">
      <c r="A3" t="s">
        <v>68</v>
      </c>
      <c r="B3" t="s">
        <v>63</v>
      </c>
      <c r="C3" t="s">
        <v>3</v>
      </c>
      <c r="D3" t="s">
        <v>14</v>
      </c>
      <c r="E3" s="1">
        <v>200</v>
      </c>
      <c r="F3" s="1">
        <v>2040</v>
      </c>
      <c r="G3" s="17">
        <f>Benefits[[#This Row],[BENEFITS]]/((1+Overview!$C$7)^(Overview!$C$8-Benefits[[#This Row],[YEAR]]))</f>
        <v>168.39463337170483</v>
      </c>
    </row>
    <row r="4" spans="1:7" x14ac:dyDescent="0.35">
      <c r="A4" t="s">
        <v>68</v>
      </c>
      <c r="B4" t="s">
        <v>63</v>
      </c>
      <c r="C4" t="s">
        <v>4</v>
      </c>
      <c r="D4" t="s">
        <v>14</v>
      </c>
      <c r="E4" s="1">
        <v>200</v>
      </c>
      <c r="F4" s="1">
        <v>2040</v>
      </c>
      <c r="G4" s="17">
        <f>Benefits[[#This Row],[BENEFITS]]/((1+Overview!$C$7)^(Overview!$C$8-Benefits[[#This Row],[YEAR]]))</f>
        <v>168.39463337170483</v>
      </c>
    </row>
    <row r="5" spans="1:7" x14ac:dyDescent="0.35">
      <c r="A5" t="s">
        <v>68</v>
      </c>
      <c r="B5" t="s">
        <v>63</v>
      </c>
      <c r="C5" t="s">
        <v>5</v>
      </c>
      <c r="D5" t="s">
        <v>14</v>
      </c>
      <c r="E5" s="1">
        <v>400</v>
      </c>
      <c r="F5" s="1">
        <v>2040</v>
      </c>
      <c r="G5" s="17">
        <f>Benefits[[#This Row],[BENEFITS]]/((1+Overview!$C$7)^(Overview!$C$8-Benefits[[#This Row],[YEAR]]))</f>
        <v>336.78926674340966</v>
      </c>
    </row>
    <row r="6" spans="1:7" x14ac:dyDescent="0.35">
      <c r="A6" t="s">
        <v>68</v>
      </c>
      <c r="B6" t="s">
        <v>63</v>
      </c>
      <c r="C6" t="s">
        <v>6</v>
      </c>
      <c r="D6" t="s">
        <v>14</v>
      </c>
      <c r="E6" s="1">
        <v>140</v>
      </c>
      <c r="F6" s="1">
        <v>2040</v>
      </c>
      <c r="G6" s="17">
        <f>Benefits[[#This Row],[BENEFITS]]/((1+Overview!$C$7)^(Overview!$C$8-Benefits[[#This Row],[YEAR]]))</f>
        <v>117.87624336019339</v>
      </c>
    </row>
    <row r="7" spans="1:7" x14ac:dyDescent="0.35">
      <c r="A7" t="s">
        <v>68</v>
      </c>
      <c r="B7" t="s">
        <v>63</v>
      </c>
      <c r="C7" t="s">
        <v>67</v>
      </c>
      <c r="D7" t="s">
        <v>15</v>
      </c>
      <c r="E7" s="1">
        <v>400</v>
      </c>
      <c r="F7" s="1">
        <v>2040</v>
      </c>
      <c r="G7" s="17">
        <f>Benefits[[#This Row],[BENEFITS]]/((1+Overview!$C$7)^(Overview!$C$8-Benefits[[#This Row],[YEAR]]))</f>
        <v>336.78926674340966</v>
      </c>
    </row>
    <row r="8" spans="1:7" x14ac:dyDescent="0.35">
      <c r="A8" t="s">
        <v>68</v>
      </c>
      <c r="B8" t="s">
        <v>63</v>
      </c>
      <c r="C8" t="s">
        <v>7</v>
      </c>
      <c r="D8" t="s">
        <v>15</v>
      </c>
      <c r="E8" s="1">
        <v>66</v>
      </c>
      <c r="F8" s="1">
        <v>2040</v>
      </c>
      <c r="G8" s="17">
        <f>Benefits[[#This Row],[BENEFITS]]/((1+Overview!$C$7)^(Overview!$C$8-Benefits[[#This Row],[YEAR]]))</f>
        <v>55.570229012662594</v>
      </c>
    </row>
    <row r="9" spans="1:7" x14ac:dyDescent="0.35">
      <c r="A9" t="s">
        <v>68</v>
      </c>
      <c r="B9" t="s">
        <v>63</v>
      </c>
      <c r="C9" t="s">
        <v>66</v>
      </c>
      <c r="D9" t="s">
        <v>15</v>
      </c>
      <c r="E9" s="1">
        <v>120</v>
      </c>
      <c r="F9" s="1">
        <v>2040</v>
      </c>
      <c r="G9" s="17">
        <f>Benefits[[#This Row],[BENEFITS]]/((1+Overview!$C$7)^(Overview!$C$8-Benefits[[#This Row],[YEAR]]))</f>
        <v>101.0367800230229</v>
      </c>
    </row>
    <row r="10" spans="1:7" x14ac:dyDescent="0.35">
      <c r="A10" t="s">
        <v>68</v>
      </c>
      <c r="B10" t="s">
        <v>63</v>
      </c>
      <c r="C10" t="s">
        <v>8</v>
      </c>
      <c r="D10" t="s">
        <v>13</v>
      </c>
      <c r="E10" s="1">
        <v>300</v>
      </c>
      <c r="F10" s="1">
        <v>2040</v>
      </c>
      <c r="G10" s="17">
        <f>Benefits[[#This Row],[BENEFITS]]/((1+Overview!$C$7)^(Overview!$C$8-Benefits[[#This Row],[YEAR]]))</f>
        <v>252.59195005755726</v>
      </c>
    </row>
    <row r="11" spans="1:7" x14ac:dyDescent="0.35">
      <c r="A11" t="s">
        <v>68</v>
      </c>
      <c r="B11" t="s">
        <v>63</v>
      </c>
      <c r="C11" t="s">
        <v>9</v>
      </c>
      <c r="D11" t="s">
        <v>13</v>
      </c>
      <c r="E11" s="1">
        <v>111</v>
      </c>
      <c r="F11" s="1">
        <v>2040</v>
      </c>
      <c r="G11" s="17">
        <f>Benefits[[#This Row],[BENEFITS]]/((1+Overview!$C$7)^(Overview!$C$8-Benefits[[#This Row],[YEAR]]))</f>
        <v>93.459021521296179</v>
      </c>
    </row>
    <row r="12" spans="1:7" x14ac:dyDescent="0.35">
      <c r="A12" t="s">
        <v>69</v>
      </c>
      <c r="B12" t="s">
        <v>63</v>
      </c>
      <c r="C12" t="s">
        <v>65</v>
      </c>
      <c r="D12" t="s">
        <v>13</v>
      </c>
      <c r="E12" s="1">
        <v>0</v>
      </c>
      <c r="F12" s="1">
        <v>2040</v>
      </c>
      <c r="G12" s="17">
        <f>Benefits[[#This Row],[BENEFITS]]/((1+Overview!$C$7)^(Overview!$C$8-Benefits[[#This Row],[YEAR]]))</f>
        <v>0</v>
      </c>
    </row>
    <row r="13" spans="1:7" x14ac:dyDescent="0.35">
      <c r="A13" t="s">
        <v>69</v>
      </c>
      <c r="B13" t="s">
        <v>63</v>
      </c>
      <c r="C13" t="s">
        <v>3</v>
      </c>
      <c r="D13" t="s">
        <v>14</v>
      </c>
      <c r="E13" s="1">
        <v>150</v>
      </c>
      <c r="F13" s="1">
        <v>2040</v>
      </c>
      <c r="G13" s="17">
        <f>Benefits[[#This Row],[BENEFITS]]/((1+Overview!$C$7)^(Overview!$C$8-Benefits[[#This Row],[YEAR]]))</f>
        <v>126.29597502877863</v>
      </c>
    </row>
    <row r="14" spans="1:7" x14ac:dyDescent="0.35">
      <c r="A14" t="s">
        <v>69</v>
      </c>
      <c r="B14" t="s">
        <v>63</v>
      </c>
      <c r="C14" t="s">
        <v>4</v>
      </c>
      <c r="D14" t="s">
        <v>14</v>
      </c>
      <c r="E14" s="1">
        <v>100</v>
      </c>
      <c r="F14" s="1">
        <v>2040</v>
      </c>
      <c r="G14" s="17">
        <f>Benefits[[#This Row],[BENEFITS]]/((1+Overview!$C$7)^(Overview!$C$8-Benefits[[#This Row],[YEAR]]))</f>
        <v>84.197316685852414</v>
      </c>
    </row>
    <row r="15" spans="1:7" x14ac:dyDescent="0.35">
      <c r="A15" t="s">
        <v>69</v>
      </c>
      <c r="B15" t="s">
        <v>63</v>
      </c>
      <c r="C15" t="s">
        <v>5</v>
      </c>
      <c r="D15" t="s">
        <v>14</v>
      </c>
      <c r="E15" s="1">
        <v>250</v>
      </c>
      <c r="F15" s="1">
        <v>2040</v>
      </c>
      <c r="G15" s="17">
        <f>Benefits[[#This Row],[BENEFITS]]/((1+Overview!$C$7)^(Overview!$C$8-Benefits[[#This Row],[YEAR]]))</f>
        <v>210.49329171463106</v>
      </c>
    </row>
    <row r="16" spans="1:7" x14ac:dyDescent="0.35">
      <c r="A16" t="s">
        <v>69</v>
      </c>
      <c r="B16" t="s">
        <v>63</v>
      </c>
      <c r="C16" t="s">
        <v>6</v>
      </c>
      <c r="D16" t="s">
        <v>14</v>
      </c>
      <c r="E16" s="1">
        <v>150</v>
      </c>
      <c r="F16" s="1">
        <v>2040</v>
      </c>
      <c r="G16" s="17">
        <f>Benefits[[#This Row],[BENEFITS]]/((1+Overview!$C$7)^(Overview!$C$8-Benefits[[#This Row],[YEAR]]))</f>
        <v>126.29597502877863</v>
      </c>
    </row>
    <row r="17" spans="1:7" x14ac:dyDescent="0.35">
      <c r="A17" t="s">
        <v>69</v>
      </c>
      <c r="B17" t="s">
        <v>63</v>
      </c>
      <c r="C17" t="s">
        <v>67</v>
      </c>
      <c r="D17" t="s">
        <v>15</v>
      </c>
      <c r="E17" s="1">
        <v>400</v>
      </c>
      <c r="F17" s="1">
        <v>2040</v>
      </c>
      <c r="G17" s="17">
        <f>Benefits[[#This Row],[BENEFITS]]/((1+Overview!$C$7)^(Overview!$C$8-Benefits[[#This Row],[YEAR]]))</f>
        <v>336.78926674340966</v>
      </c>
    </row>
    <row r="18" spans="1:7" x14ac:dyDescent="0.35">
      <c r="A18" t="s">
        <v>69</v>
      </c>
      <c r="B18" t="s">
        <v>63</v>
      </c>
      <c r="C18" t="s">
        <v>7</v>
      </c>
      <c r="D18" t="s">
        <v>15</v>
      </c>
      <c r="E18" s="1">
        <v>50</v>
      </c>
      <c r="F18" s="1">
        <v>2040</v>
      </c>
      <c r="G18" s="17">
        <f>Benefits[[#This Row],[BENEFITS]]/((1+Overview!$C$7)^(Overview!$C$8-Benefits[[#This Row],[YEAR]]))</f>
        <v>42.098658342926207</v>
      </c>
    </row>
    <row r="19" spans="1:7" x14ac:dyDescent="0.35">
      <c r="A19" t="s">
        <v>69</v>
      </c>
      <c r="B19" t="s">
        <v>63</v>
      </c>
      <c r="C19" t="s">
        <v>66</v>
      </c>
      <c r="D19" t="s">
        <v>15</v>
      </c>
      <c r="E19" s="1">
        <v>45</v>
      </c>
      <c r="F19" s="1">
        <v>2040</v>
      </c>
      <c r="G19" s="17">
        <f>Benefits[[#This Row],[BENEFITS]]/((1+Overview!$C$7)^(Overview!$C$8-Benefits[[#This Row],[YEAR]]))</f>
        <v>37.888792508633585</v>
      </c>
    </row>
    <row r="20" spans="1:7" x14ac:dyDescent="0.35">
      <c r="A20" t="s">
        <v>69</v>
      </c>
      <c r="B20" t="s">
        <v>63</v>
      </c>
      <c r="C20" t="s">
        <v>8</v>
      </c>
      <c r="D20" t="s">
        <v>13</v>
      </c>
      <c r="E20" s="1">
        <v>260</v>
      </c>
      <c r="F20" s="1">
        <v>2040</v>
      </c>
      <c r="G20" s="17">
        <f>Benefits[[#This Row],[BENEFITS]]/((1+Overview!$C$7)^(Overview!$C$8-Benefits[[#This Row],[YEAR]]))</f>
        <v>218.91302338321628</v>
      </c>
    </row>
    <row r="21" spans="1:7" x14ac:dyDescent="0.35">
      <c r="A21" t="s">
        <v>69</v>
      </c>
      <c r="B21" t="s">
        <v>63</v>
      </c>
      <c r="C21" t="s">
        <v>9</v>
      </c>
      <c r="D21" t="s">
        <v>13</v>
      </c>
      <c r="E21" s="1">
        <v>100</v>
      </c>
      <c r="F21" s="1">
        <v>2040</v>
      </c>
      <c r="G21" s="17">
        <f>Benefits[[#This Row],[BENEFITS]]/((1+Overview!$C$7)^(Overview!$C$8-Benefits[[#This Row],[YEAR]]))</f>
        <v>84.197316685852414</v>
      </c>
    </row>
    <row r="22" spans="1:7" x14ac:dyDescent="0.35">
      <c r="A22" t="s">
        <v>68</v>
      </c>
      <c r="B22" t="s">
        <v>64</v>
      </c>
      <c r="C22" t="s">
        <v>65</v>
      </c>
      <c r="D22" t="s">
        <v>13</v>
      </c>
      <c r="E22" s="1">
        <v>100</v>
      </c>
      <c r="F22" s="1">
        <v>2040</v>
      </c>
      <c r="G22" s="17">
        <f>Benefits[[#This Row],[BENEFITS]]/((1+Overview!$C$7)^(Overview!$C$8-Benefits[[#This Row],[YEAR]]))</f>
        <v>84.197316685852414</v>
      </c>
    </row>
    <row r="23" spans="1:7" x14ac:dyDescent="0.35">
      <c r="A23" t="s">
        <v>68</v>
      </c>
      <c r="B23" t="s">
        <v>64</v>
      </c>
      <c r="C23" t="s">
        <v>3</v>
      </c>
      <c r="D23" t="s">
        <v>14</v>
      </c>
      <c r="E23" s="1">
        <v>400</v>
      </c>
      <c r="F23" s="1">
        <v>2040</v>
      </c>
      <c r="G23" s="17">
        <f>Benefits[[#This Row],[BENEFITS]]/((1+Overview!$C$7)^(Overview!$C$8-Benefits[[#This Row],[YEAR]]))</f>
        <v>336.78926674340966</v>
      </c>
    </row>
    <row r="24" spans="1:7" x14ac:dyDescent="0.35">
      <c r="A24" t="s">
        <v>68</v>
      </c>
      <c r="B24" t="s">
        <v>64</v>
      </c>
      <c r="C24" t="s">
        <v>4</v>
      </c>
      <c r="D24" t="s">
        <v>14</v>
      </c>
      <c r="E24" s="1">
        <v>100</v>
      </c>
      <c r="F24" s="1">
        <v>2040</v>
      </c>
      <c r="G24" s="17">
        <f>Benefits[[#This Row],[BENEFITS]]/((1+Overview!$C$7)^(Overview!$C$8-Benefits[[#This Row],[YEAR]]))</f>
        <v>84.197316685852414</v>
      </c>
    </row>
    <row r="25" spans="1:7" x14ac:dyDescent="0.35">
      <c r="A25" t="s">
        <v>68</v>
      </c>
      <c r="B25" t="s">
        <v>64</v>
      </c>
      <c r="C25" t="s">
        <v>5</v>
      </c>
      <c r="D25" t="s">
        <v>14</v>
      </c>
      <c r="E25" s="1">
        <v>300</v>
      </c>
      <c r="F25" s="1">
        <v>2040</v>
      </c>
      <c r="G25" s="17">
        <f>Benefits[[#This Row],[BENEFITS]]/((1+Overview!$C$7)^(Overview!$C$8-Benefits[[#This Row],[YEAR]]))</f>
        <v>252.59195005755726</v>
      </c>
    </row>
    <row r="26" spans="1:7" x14ac:dyDescent="0.35">
      <c r="A26" t="s">
        <v>68</v>
      </c>
      <c r="B26" t="s">
        <v>64</v>
      </c>
      <c r="C26" t="s">
        <v>6</v>
      </c>
      <c r="D26" t="s">
        <v>14</v>
      </c>
      <c r="E26" s="1">
        <v>200</v>
      </c>
      <c r="F26" s="1">
        <v>2040</v>
      </c>
      <c r="G26" s="17">
        <f>Benefits[[#This Row],[BENEFITS]]/((1+Overview!$C$7)^(Overview!$C$8-Benefits[[#This Row],[YEAR]]))</f>
        <v>168.39463337170483</v>
      </c>
    </row>
    <row r="27" spans="1:7" x14ac:dyDescent="0.35">
      <c r="A27" t="s">
        <v>68</v>
      </c>
      <c r="B27" t="s">
        <v>64</v>
      </c>
      <c r="C27" t="s">
        <v>67</v>
      </c>
      <c r="D27" t="s">
        <v>15</v>
      </c>
      <c r="E27" s="1">
        <v>276</v>
      </c>
      <c r="F27" s="1">
        <v>2040</v>
      </c>
      <c r="G27" s="17">
        <f>Benefits[[#This Row],[BENEFITS]]/((1+Overview!$C$7)^(Overview!$C$8-Benefits[[#This Row],[YEAR]]))</f>
        <v>232.38459405295268</v>
      </c>
    </row>
    <row r="28" spans="1:7" x14ac:dyDescent="0.35">
      <c r="A28" t="s">
        <v>68</v>
      </c>
      <c r="B28" t="s">
        <v>64</v>
      </c>
      <c r="C28" t="s">
        <v>7</v>
      </c>
      <c r="D28" t="s">
        <v>15</v>
      </c>
      <c r="E28" s="1">
        <v>50</v>
      </c>
      <c r="F28" s="1">
        <v>2040</v>
      </c>
      <c r="G28" s="17">
        <f>Benefits[[#This Row],[BENEFITS]]/((1+Overview!$C$7)^(Overview!$C$8-Benefits[[#This Row],[YEAR]]))</f>
        <v>42.098658342926207</v>
      </c>
    </row>
    <row r="29" spans="1:7" x14ac:dyDescent="0.35">
      <c r="A29" t="s">
        <v>68</v>
      </c>
      <c r="B29" t="s">
        <v>64</v>
      </c>
      <c r="C29" t="s">
        <v>66</v>
      </c>
      <c r="D29" t="s">
        <v>15</v>
      </c>
      <c r="E29" s="1">
        <v>102</v>
      </c>
      <c r="F29" s="1">
        <v>2040</v>
      </c>
      <c r="G29" s="17">
        <f>Benefits[[#This Row],[BENEFITS]]/((1+Overview!$C$7)^(Overview!$C$8-Benefits[[#This Row],[YEAR]]))</f>
        <v>85.88126301956946</v>
      </c>
    </row>
    <row r="30" spans="1:7" x14ac:dyDescent="0.35">
      <c r="A30" t="s">
        <v>68</v>
      </c>
      <c r="B30" t="s">
        <v>64</v>
      </c>
      <c r="C30" t="s">
        <v>8</v>
      </c>
      <c r="D30" t="s">
        <v>13</v>
      </c>
      <c r="E30" s="1">
        <v>300</v>
      </c>
      <c r="F30" s="1">
        <v>2040</v>
      </c>
      <c r="G30" s="17">
        <f>Benefits[[#This Row],[BENEFITS]]/((1+Overview!$C$7)^(Overview!$C$8-Benefits[[#This Row],[YEAR]]))</f>
        <v>252.59195005755726</v>
      </c>
    </row>
    <row r="31" spans="1:7" x14ac:dyDescent="0.35">
      <c r="A31" t="s">
        <v>68</v>
      </c>
      <c r="B31" t="s">
        <v>64</v>
      </c>
      <c r="C31" t="s">
        <v>9</v>
      </c>
      <c r="D31" t="s">
        <v>13</v>
      </c>
      <c r="E31" s="1">
        <v>102</v>
      </c>
      <c r="F31" s="1">
        <v>2040</v>
      </c>
      <c r="G31" s="17">
        <f>Benefits[[#This Row],[BENEFITS]]/((1+Overview!$C$7)^(Overview!$C$8-Benefits[[#This Row],[YEAR]]))</f>
        <v>85.88126301956946</v>
      </c>
    </row>
    <row r="32" spans="1:7" x14ac:dyDescent="0.35">
      <c r="A32" t="s">
        <v>69</v>
      </c>
      <c r="B32" t="s">
        <v>64</v>
      </c>
      <c r="C32" t="s">
        <v>65</v>
      </c>
      <c r="D32" t="s">
        <v>13</v>
      </c>
      <c r="E32" s="1">
        <v>0</v>
      </c>
      <c r="F32" s="1">
        <v>2040</v>
      </c>
      <c r="G32" s="17">
        <f>Benefits[[#This Row],[BENEFITS]]/((1+Overview!$C$7)^(Overview!$C$8-Benefits[[#This Row],[YEAR]]))</f>
        <v>0</v>
      </c>
    </row>
    <row r="33" spans="1:7" x14ac:dyDescent="0.35">
      <c r="A33" t="s">
        <v>69</v>
      </c>
      <c r="B33" t="s">
        <v>64</v>
      </c>
      <c r="C33" t="s">
        <v>3</v>
      </c>
      <c r="D33" t="s">
        <v>14</v>
      </c>
      <c r="E33" s="1">
        <v>350</v>
      </c>
      <c r="F33" s="1">
        <v>2040</v>
      </c>
      <c r="G33" s="17">
        <f>Benefits[[#This Row],[BENEFITS]]/((1+Overview!$C$7)^(Overview!$C$8-Benefits[[#This Row],[YEAR]]))</f>
        <v>294.69060840048348</v>
      </c>
    </row>
    <row r="34" spans="1:7" x14ac:dyDescent="0.35">
      <c r="A34" t="s">
        <v>69</v>
      </c>
      <c r="B34" t="s">
        <v>64</v>
      </c>
      <c r="C34" t="s">
        <v>4</v>
      </c>
      <c r="D34" t="s">
        <v>14</v>
      </c>
      <c r="E34" s="1">
        <v>100</v>
      </c>
      <c r="F34" s="1">
        <v>2040</v>
      </c>
      <c r="G34" s="17">
        <f>Benefits[[#This Row],[BENEFITS]]/((1+Overview!$C$7)^(Overview!$C$8-Benefits[[#This Row],[YEAR]]))</f>
        <v>84.197316685852414</v>
      </c>
    </row>
    <row r="35" spans="1:7" x14ac:dyDescent="0.35">
      <c r="A35" t="s">
        <v>69</v>
      </c>
      <c r="B35" t="s">
        <v>64</v>
      </c>
      <c r="C35" t="s">
        <v>5</v>
      </c>
      <c r="D35" t="s">
        <v>14</v>
      </c>
      <c r="E35" s="1">
        <v>150</v>
      </c>
      <c r="F35" s="1">
        <v>2040</v>
      </c>
      <c r="G35" s="17">
        <f>Benefits[[#This Row],[BENEFITS]]/((1+Overview!$C$7)^(Overview!$C$8-Benefits[[#This Row],[YEAR]]))</f>
        <v>126.29597502877863</v>
      </c>
    </row>
    <row r="36" spans="1:7" x14ac:dyDescent="0.35">
      <c r="A36" t="s">
        <v>69</v>
      </c>
      <c r="B36" t="s">
        <v>64</v>
      </c>
      <c r="C36" t="s">
        <v>6</v>
      </c>
      <c r="D36" t="s">
        <v>14</v>
      </c>
      <c r="E36" s="1">
        <v>170</v>
      </c>
      <c r="F36" s="1">
        <v>2040</v>
      </c>
      <c r="G36" s="17">
        <f>Benefits[[#This Row],[BENEFITS]]/((1+Overview!$C$7)^(Overview!$C$8-Benefits[[#This Row],[YEAR]]))</f>
        <v>143.13543836594911</v>
      </c>
    </row>
    <row r="37" spans="1:7" x14ac:dyDescent="0.35">
      <c r="A37" t="s">
        <v>69</v>
      </c>
      <c r="B37" t="s">
        <v>64</v>
      </c>
      <c r="C37" t="s">
        <v>67</v>
      </c>
      <c r="D37" t="s">
        <v>15</v>
      </c>
      <c r="E37" s="1">
        <v>200</v>
      </c>
      <c r="F37" s="1">
        <v>2040</v>
      </c>
      <c r="G37" s="17">
        <f>Benefits[[#This Row],[BENEFITS]]/((1+Overview!$C$7)^(Overview!$C$8-Benefits[[#This Row],[YEAR]]))</f>
        <v>168.39463337170483</v>
      </c>
    </row>
    <row r="38" spans="1:7" x14ac:dyDescent="0.35">
      <c r="A38" t="s">
        <v>69</v>
      </c>
      <c r="B38" t="s">
        <v>64</v>
      </c>
      <c r="C38" t="s">
        <v>7</v>
      </c>
      <c r="D38" t="s">
        <v>15</v>
      </c>
      <c r="E38" s="1">
        <v>30</v>
      </c>
      <c r="F38" s="1">
        <v>2040</v>
      </c>
      <c r="G38" s="17">
        <f>Benefits[[#This Row],[BENEFITS]]/((1+Overview!$C$7)^(Overview!$C$8-Benefits[[#This Row],[YEAR]]))</f>
        <v>25.259195005755725</v>
      </c>
    </row>
    <row r="39" spans="1:7" x14ac:dyDescent="0.35">
      <c r="A39" t="s">
        <v>69</v>
      </c>
      <c r="B39" t="s">
        <v>64</v>
      </c>
      <c r="C39" t="s">
        <v>66</v>
      </c>
      <c r="D39" t="s">
        <v>15</v>
      </c>
      <c r="E39" s="1">
        <v>45</v>
      </c>
      <c r="F39" s="1">
        <v>2040</v>
      </c>
      <c r="G39" s="17">
        <f>Benefits[[#This Row],[BENEFITS]]/((1+Overview!$C$7)^(Overview!$C$8-Benefits[[#This Row],[YEAR]]))</f>
        <v>37.888792508633585</v>
      </c>
    </row>
    <row r="40" spans="1:7" x14ac:dyDescent="0.35">
      <c r="A40" t="s">
        <v>69</v>
      </c>
      <c r="B40" t="s">
        <v>64</v>
      </c>
      <c r="C40" t="s">
        <v>8</v>
      </c>
      <c r="D40" t="s">
        <v>13</v>
      </c>
      <c r="E40" s="1">
        <v>240</v>
      </c>
      <c r="F40" s="1">
        <v>2040</v>
      </c>
      <c r="G40" s="17">
        <f>Benefits[[#This Row],[BENEFITS]]/((1+Overview!$C$7)^(Overview!$C$8-Benefits[[#This Row],[YEAR]]))</f>
        <v>202.0735600460458</v>
      </c>
    </row>
    <row r="41" spans="1:7" x14ac:dyDescent="0.35">
      <c r="A41" t="s">
        <v>69</v>
      </c>
      <c r="B41" t="s">
        <v>64</v>
      </c>
      <c r="C41" t="s">
        <v>9</v>
      </c>
      <c r="D41" t="s">
        <v>13</v>
      </c>
      <c r="E41" s="1">
        <v>100</v>
      </c>
      <c r="F41" s="1">
        <v>2040</v>
      </c>
      <c r="G41" s="17">
        <f>Benefits[[#This Row],[BENEFITS]]/((1+Overview!$C$7)^(Overview!$C$8-Benefits[[#This Row],[YEAR]]))</f>
        <v>84.197316685852414</v>
      </c>
    </row>
    <row r="42" spans="1:7" x14ac:dyDescent="0.35">
      <c r="A42" t="s">
        <v>68</v>
      </c>
      <c r="B42" t="s">
        <v>17</v>
      </c>
      <c r="C42" t="s">
        <v>65</v>
      </c>
      <c r="D42" t="s">
        <v>13</v>
      </c>
      <c r="E42" s="1">
        <v>300</v>
      </c>
      <c r="F42" s="1">
        <v>2040</v>
      </c>
      <c r="G42" s="17">
        <f>Benefits[[#This Row],[BENEFITS]]/((1+Overview!$C$7)^(Overview!$C$8-Benefits[[#This Row],[YEAR]]))</f>
        <v>252.59195005755726</v>
      </c>
    </row>
    <row r="43" spans="1:7" x14ac:dyDescent="0.35">
      <c r="A43" t="s">
        <v>68</v>
      </c>
      <c r="B43" t="s">
        <v>17</v>
      </c>
      <c r="C43" t="s">
        <v>3</v>
      </c>
      <c r="D43" t="s">
        <v>14</v>
      </c>
      <c r="E43" s="1">
        <v>600</v>
      </c>
      <c r="F43" s="1">
        <v>2040</v>
      </c>
      <c r="G43" s="17">
        <f>Benefits[[#This Row],[BENEFITS]]/((1+Overview!$C$7)^(Overview!$C$8-Benefits[[#This Row],[YEAR]]))</f>
        <v>505.18390011511451</v>
      </c>
    </row>
    <row r="44" spans="1:7" x14ac:dyDescent="0.35">
      <c r="A44" t="s">
        <v>68</v>
      </c>
      <c r="B44" t="s">
        <v>17</v>
      </c>
      <c r="C44" t="s">
        <v>4</v>
      </c>
      <c r="D44" t="s">
        <v>14</v>
      </c>
      <c r="E44" s="1">
        <v>300</v>
      </c>
      <c r="F44" s="1">
        <v>2040</v>
      </c>
      <c r="G44" s="17">
        <f>Benefits[[#This Row],[BENEFITS]]/((1+Overview!$C$7)^(Overview!$C$8-Benefits[[#This Row],[YEAR]]))</f>
        <v>252.59195005755726</v>
      </c>
    </row>
    <row r="45" spans="1:7" x14ac:dyDescent="0.35">
      <c r="A45" t="s">
        <v>68</v>
      </c>
      <c r="B45" t="s">
        <v>17</v>
      </c>
      <c r="C45" t="s">
        <v>5</v>
      </c>
      <c r="D45" t="s">
        <v>14</v>
      </c>
      <c r="E45" s="1">
        <v>700</v>
      </c>
      <c r="F45" s="1">
        <v>2040</v>
      </c>
      <c r="G45" s="17">
        <f>Benefits[[#This Row],[BENEFITS]]/((1+Overview!$C$7)^(Overview!$C$8-Benefits[[#This Row],[YEAR]]))</f>
        <v>589.38121680096697</v>
      </c>
    </row>
    <row r="46" spans="1:7" x14ac:dyDescent="0.35">
      <c r="A46" t="s">
        <v>68</v>
      </c>
      <c r="B46" t="s">
        <v>17</v>
      </c>
      <c r="C46" t="s">
        <v>6</v>
      </c>
      <c r="D46" t="s">
        <v>14</v>
      </c>
      <c r="E46" s="1">
        <v>340</v>
      </c>
      <c r="F46" s="1">
        <v>2040</v>
      </c>
      <c r="G46" s="17">
        <f>Benefits[[#This Row],[BENEFITS]]/((1+Overview!$C$7)^(Overview!$C$8-Benefits[[#This Row],[YEAR]]))</f>
        <v>286.27087673189823</v>
      </c>
    </row>
    <row r="47" spans="1:7" x14ac:dyDescent="0.35">
      <c r="A47" t="s">
        <v>68</v>
      </c>
      <c r="B47" t="s">
        <v>17</v>
      </c>
      <c r="C47" t="s">
        <v>67</v>
      </c>
      <c r="D47" t="s">
        <v>15</v>
      </c>
      <c r="E47" s="1">
        <v>676</v>
      </c>
      <c r="F47" s="1">
        <v>2040</v>
      </c>
      <c r="G47" s="17">
        <f>Benefits[[#This Row],[BENEFITS]]/((1+Overview!$C$7)^(Overview!$C$8-Benefits[[#This Row],[YEAR]]))</f>
        <v>569.17386079636231</v>
      </c>
    </row>
    <row r="48" spans="1:7" x14ac:dyDescent="0.35">
      <c r="A48" t="s">
        <v>68</v>
      </c>
      <c r="B48" t="s">
        <v>17</v>
      </c>
      <c r="C48" t="s">
        <v>7</v>
      </c>
      <c r="D48" t="s">
        <v>15</v>
      </c>
      <c r="E48" s="1">
        <v>111</v>
      </c>
      <c r="F48" s="1">
        <v>2040</v>
      </c>
      <c r="G48" s="17">
        <f>Benefits[[#This Row],[BENEFITS]]/((1+Overview!$C$7)^(Overview!$C$8-Benefits[[#This Row],[YEAR]]))</f>
        <v>93.459021521296179</v>
      </c>
    </row>
    <row r="49" spans="1:7" x14ac:dyDescent="0.35">
      <c r="A49" t="s">
        <v>68</v>
      </c>
      <c r="B49" t="s">
        <v>17</v>
      </c>
      <c r="C49" t="s">
        <v>66</v>
      </c>
      <c r="D49" t="s">
        <v>15</v>
      </c>
      <c r="E49" s="1">
        <v>222</v>
      </c>
      <c r="F49" s="1">
        <v>2040</v>
      </c>
      <c r="G49" s="17">
        <f>Benefits[[#This Row],[BENEFITS]]/((1+Overview!$C$7)^(Overview!$C$8-Benefits[[#This Row],[YEAR]]))</f>
        <v>186.91804304259236</v>
      </c>
    </row>
    <row r="50" spans="1:7" x14ac:dyDescent="0.35">
      <c r="A50" t="s">
        <v>68</v>
      </c>
      <c r="B50" t="s">
        <v>17</v>
      </c>
      <c r="C50" t="s">
        <v>8</v>
      </c>
      <c r="D50" t="s">
        <v>13</v>
      </c>
      <c r="E50" s="1">
        <v>600</v>
      </c>
      <c r="F50" s="1">
        <v>2040</v>
      </c>
      <c r="G50" s="17">
        <f>Benefits[[#This Row],[BENEFITS]]/((1+Overview!$C$7)^(Overview!$C$8-Benefits[[#This Row],[YEAR]]))</f>
        <v>505.18390011511451</v>
      </c>
    </row>
    <row r="51" spans="1:7" x14ac:dyDescent="0.35">
      <c r="A51" t="s">
        <v>68</v>
      </c>
      <c r="B51" t="s">
        <v>17</v>
      </c>
      <c r="C51" t="s">
        <v>9</v>
      </c>
      <c r="D51" t="s">
        <v>13</v>
      </c>
      <c r="E51" s="1">
        <v>213</v>
      </c>
      <c r="F51" s="1">
        <v>2040</v>
      </c>
      <c r="G51" s="17">
        <f>Benefits[[#This Row],[BENEFITS]]/((1+Overview!$C$7)^(Overview!$C$8-Benefits[[#This Row],[YEAR]]))</f>
        <v>179.34028454086564</v>
      </c>
    </row>
    <row r="52" spans="1:7" x14ac:dyDescent="0.35">
      <c r="A52" t="s">
        <v>69</v>
      </c>
      <c r="B52" t="s">
        <v>17</v>
      </c>
      <c r="C52" t="s">
        <v>65</v>
      </c>
      <c r="D52" t="s">
        <v>13</v>
      </c>
      <c r="E52" s="1">
        <v>0</v>
      </c>
      <c r="F52" s="1">
        <v>2040</v>
      </c>
      <c r="G52" s="17">
        <f>Benefits[[#This Row],[BENEFITS]]/((1+Overview!$C$7)^(Overview!$C$8-Benefits[[#This Row],[YEAR]]))</f>
        <v>0</v>
      </c>
    </row>
    <row r="53" spans="1:7" x14ac:dyDescent="0.35">
      <c r="A53" t="s">
        <v>69</v>
      </c>
      <c r="B53" t="s">
        <v>17</v>
      </c>
      <c r="C53" t="s">
        <v>3</v>
      </c>
      <c r="D53" t="s">
        <v>14</v>
      </c>
      <c r="E53" s="1">
        <v>500</v>
      </c>
      <c r="F53" s="1">
        <v>2040</v>
      </c>
      <c r="G53" s="17">
        <f>Benefits[[#This Row],[BENEFITS]]/((1+Overview!$C$7)^(Overview!$C$8-Benefits[[#This Row],[YEAR]]))</f>
        <v>420.98658342926211</v>
      </c>
    </row>
    <row r="54" spans="1:7" x14ac:dyDescent="0.35">
      <c r="A54" t="s">
        <v>69</v>
      </c>
      <c r="B54" t="s">
        <v>17</v>
      </c>
      <c r="C54" t="s">
        <v>4</v>
      </c>
      <c r="D54" t="s">
        <v>14</v>
      </c>
      <c r="E54" s="1">
        <v>200</v>
      </c>
      <c r="F54" s="1">
        <v>2040</v>
      </c>
      <c r="G54" s="17">
        <f>Benefits[[#This Row],[BENEFITS]]/((1+Overview!$C$7)^(Overview!$C$8-Benefits[[#This Row],[YEAR]]))</f>
        <v>168.39463337170483</v>
      </c>
    </row>
    <row r="55" spans="1:7" x14ac:dyDescent="0.35">
      <c r="A55" t="s">
        <v>69</v>
      </c>
      <c r="B55" t="s">
        <v>17</v>
      </c>
      <c r="C55" t="s">
        <v>5</v>
      </c>
      <c r="D55" t="s">
        <v>14</v>
      </c>
      <c r="E55" s="1">
        <v>400</v>
      </c>
      <c r="F55" s="1">
        <v>2040</v>
      </c>
      <c r="G55" s="17">
        <f>Benefits[[#This Row],[BENEFITS]]/((1+Overview!$C$7)^(Overview!$C$8-Benefits[[#This Row],[YEAR]]))</f>
        <v>336.78926674340966</v>
      </c>
    </row>
    <row r="56" spans="1:7" x14ac:dyDescent="0.35">
      <c r="A56" t="s">
        <v>69</v>
      </c>
      <c r="B56" t="s">
        <v>17</v>
      </c>
      <c r="C56" t="s">
        <v>6</v>
      </c>
      <c r="D56" t="s">
        <v>14</v>
      </c>
      <c r="E56" s="1">
        <v>320</v>
      </c>
      <c r="F56" s="1">
        <v>2040</v>
      </c>
      <c r="G56" s="17">
        <f>Benefits[[#This Row],[BENEFITS]]/((1+Overview!$C$7)^(Overview!$C$8-Benefits[[#This Row],[YEAR]]))</f>
        <v>269.43141339472771</v>
      </c>
    </row>
    <row r="57" spans="1:7" x14ac:dyDescent="0.35">
      <c r="A57" t="s">
        <v>69</v>
      </c>
      <c r="B57" t="s">
        <v>17</v>
      </c>
      <c r="C57" t="s">
        <v>67</v>
      </c>
      <c r="D57" t="s">
        <v>15</v>
      </c>
      <c r="E57" s="1">
        <v>600</v>
      </c>
      <c r="F57" s="1">
        <v>2040</v>
      </c>
      <c r="G57" s="17">
        <f>Benefits[[#This Row],[BENEFITS]]/((1+Overview!$C$7)^(Overview!$C$8-Benefits[[#This Row],[YEAR]]))</f>
        <v>505.18390011511451</v>
      </c>
    </row>
    <row r="58" spans="1:7" x14ac:dyDescent="0.35">
      <c r="A58" t="s">
        <v>69</v>
      </c>
      <c r="B58" t="s">
        <v>17</v>
      </c>
      <c r="C58" t="s">
        <v>7</v>
      </c>
      <c r="D58" t="s">
        <v>15</v>
      </c>
      <c r="E58" s="1">
        <v>80</v>
      </c>
      <c r="F58" s="1">
        <v>2040</v>
      </c>
      <c r="G58" s="17">
        <f>Benefits[[#This Row],[BENEFITS]]/((1+Overview!$C$7)^(Overview!$C$8-Benefits[[#This Row],[YEAR]]))</f>
        <v>67.357853348681928</v>
      </c>
    </row>
    <row r="59" spans="1:7" x14ac:dyDescent="0.35">
      <c r="A59" t="s">
        <v>69</v>
      </c>
      <c r="B59" t="s">
        <v>17</v>
      </c>
      <c r="C59" t="s">
        <v>66</v>
      </c>
      <c r="D59" t="s">
        <v>15</v>
      </c>
      <c r="E59" s="1">
        <v>90</v>
      </c>
      <c r="F59" s="1">
        <v>2040</v>
      </c>
      <c r="G59" s="17">
        <f>Benefits[[#This Row],[BENEFITS]]/((1+Overview!$C$7)^(Overview!$C$8-Benefits[[#This Row],[YEAR]]))</f>
        <v>75.777585017267171</v>
      </c>
    </row>
    <row r="60" spans="1:7" x14ac:dyDescent="0.35">
      <c r="A60" t="s">
        <v>69</v>
      </c>
      <c r="B60" t="s">
        <v>17</v>
      </c>
      <c r="C60" t="s">
        <v>8</v>
      </c>
      <c r="D60" t="s">
        <v>13</v>
      </c>
      <c r="E60" s="1">
        <v>500</v>
      </c>
      <c r="F60" s="1">
        <v>2040</v>
      </c>
      <c r="G60" s="17">
        <f>Benefits[[#This Row],[BENEFITS]]/((1+Overview!$C$7)^(Overview!$C$8-Benefits[[#This Row],[YEAR]]))</f>
        <v>420.98658342926211</v>
      </c>
    </row>
    <row r="61" spans="1:7" x14ac:dyDescent="0.35">
      <c r="A61" t="s">
        <v>69</v>
      </c>
      <c r="B61" t="s">
        <v>17</v>
      </c>
      <c r="C61" t="s">
        <v>9</v>
      </c>
      <c r="D61" t="s">
        <v>13</v>
      </c>
      <c r="E61" s="1">
        <v>200</v>
      </c>
      <c r="F61" s="1">
        <v>2040</v>
      </c>
      <c r="G61" s="17">
        <f>Benefits[[#This Row],[BENEFITS]]/((1+Overview!$C$7)^(Overview!$C$8-Benefits[[#This Row],[YEAR]]))</f>
        <v>168.39463337170483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0" sqref="D10"/>
    </sheetView>
  </sheetViews>
  <sheetFormatPr defaultColWidth="22.6328125" defaultRowHeight="14.5" x14ac:dyDescent="0.35"/>
  <cols>
    <col min="1" max="1" width="11.26953125" customWidth="1"/>
    <col min="2" max="2" width="9.36328125" bestFit="1" customWidth="1"/>
    <col min="3" max="3" width="18.90625" bestFit="1" customWidth="1"/>
    <col min="4" max="4" width="15.7265625" bestFit="1" customWidth="1"/>
    <col min="5" max="5" width="8.26953125" bestFit="1" customWidth="1"/>
    <col min="6" max="6" width="7.453125" style="5" customWidth="1"/>
    <col min="7" max="7" width="9.54296875" customWidth="1"/>
  </cols>
  <sheetData>
    <row r="1" spans="1:7" x14ac:dyDescent="0.35">
      <c r="A1" t="s">
        <v>2</v>
      </c>
      <c r="B1" t="s">
        <v>1</v>
      </c>
      <c r="C1" t="s">
        <v>12</v>
      </c>
      <c r="D1" t="s">
        <v>88</v>
      </c>
      <c r="E1" s="14" t="s">
        <v>75</v>
      </c>
      <c r="F1" s="14" t="s">
        <v>70</v>
      </c>
      <c r="G1" s="16" t="s">
        <v>11</v>
      </c>
    </row>
    <row r="2" spans="1:7" x14ac:dyDescent="0.35">
      <c r="A2" t="s">
        <v>68</v>
      </c>
      <c r="B2" t="s">
        <v>22</v>
      </c>
      <c r="C2" t="s">
        <v>16</v>
      </c>
      <c r="D2">
        <v>3</v>
      </c>
      <c r="E2" s="1">
        <v>7000</v>
      </c>
      <c r="F2" s="1">
        <v>2040</v>
      </c>
      <c r="G2" s="17">
        <f>Costs[[#This Row],[COSTS]]/((1+Overview!$C$7)^(Overview!$C$8-Costs[[#This Row],[YEAR]]))</f>
        <v>5893.8121680096692</v>
      </c>
    </row>
    <row r="3" spans="1:7" x14ac:dyDescent="0.35">
      <c r="A3" t="s">
        <v>68</v>
      </c>
      <c r="B3" t="s">
        <v>78</v>
      </c>
      <c r="C3" t="s">
        <v>76</v>
      </c>
      <c r="D3">
        <v>3</v>
      </c>
      <c r="E3" s="1">
        <v>1000</v>
      </c>
      <c r="F3" s="1">
        <v>2040</v>
      </c>
      <c r="G3" s="17">
        <f>Costs[[#This Row],[COSTS]]/((1+Overview!$C$7)^(Overview!$C$8-Costs[[#This Row],[YEAR]]))</f>
        <v>841.97316685852422</v>
      </c>
    </row>
    <row r="4" spans="1:7" x14ac:dyDescent="0.35">
      <c r="A4" t="s">
        <v>68</v>
      </c>
      <c r="B4" t="s">
        <v>78</v>
      </c>
      <c r="C4" t="s">
        <v>77</v>
      </c>
      <c r="D4">
        <v>3</v>
      </c>
      <c r="E4" s="1">
        <v>100</v>
      </c>
      <c r="F4" s="1">
        <v>2040</v>
      </c>
      <c r="G4" s="17">
        <f>Costs[[#This Row],[COSTS]]/((1+Overview!$C$7)^(Overview!$C$8-Costs[[#This Row],[YEAR]]))</f>
        <v>84.197316685852414</v>
      </c>
    </row>
    <row r="5" spans="1:7" x14ac:dyDescent="0.35">
      <c r="A5" t="s">
        <v>69</v>
      </c>
      <c r="B5" t="s">
        <v>22</v>
      </c>
      <c r="C5" t="s">
        <v>16</v>
      </c>
      <c r="D5">
        <v>4</v>
      </c>
      <c r="E5" s="1">
        <v>6000</v>
      </c>
      <c r="F5" s="1">
        <v>2040</v>
      </c>
      <c r="G5" s="17">
        <f>Costs[[#This Row],[COSTS]]/((1+Overview!$C$7)^(Overview!$C$8-Costs[[#This Row],[YEAR]]))</f>
        <v>5051.8390011511447</v>
      </c>
    </row>
    <row r="6" spans="1:7" x14ac:dyDescent="0.35">
      <c r="A6" t="s">
        <v>69</v>
      </c>
      <c r="B6" t="s">
        <v>78</v>
      </c>
      <c r="C6" t="s">
        <v>76</v>
      </c>
      <c r="D6">
        <v>4</v>
      </c>
      <c r="E6" s="1">
        <v>500</v>
      </c>
      <c r="F6" s="1">
        <v>2040</v>
      </c>
      <c r="G6" s="17">
        <f>Costs[[#This Row],[COSTS]]/((1+Overview!$C$7)^(Overview!$C$8-Costs[[#This Row],[YEAR]]))</f>
        <v>420.98658342926211</v>
      </c>
    </row>
    <row r="7" spans="1:7" x14ac:dyDescent="0.35">
      <c r="A7" t="s">
        <v>69</v>
      </c>
      <c r="B7" t="s">
        <v>78</v>
      </c>
      <c r="C7" t="s">
        <v>77</v>
      </c>
      <c r="D7">
        <v>4</v>
      </c>
      <c r="E7" s="1">
        <v>0</v>
      </c>
      <c r="F7" s="1">
        <v>2040</v>
      </c>
      <c r="G7" s="17">
        <f>Costs[[#This Row],[COSTS]]/((1+Overview!$C$7)^(Overview!$C$8-Costs[[#This Row],[YEAR]]))</f>
        <v>0</v>
      </c>
    </row>
    <row r="8" spans="1:7" x14ac:dyDescent="0.35">
      <c r="F8" s="1"/>
    </row>
    <row r="9" spans="1:7" x14ac:dyDescent="0.35">
      <c r="F9" s="1"/>
    </row>
    <row r="10" spans="1:7" x14ac:dyDescent="0.35">
      <c r="F10" s="1"/>
    </row>
    <row r="11" spans="1:7" x14ac:dyDescent="0.35">
      <c r="F11" s="1"/>
    </row>
    <row r="12" spans="1:7" x14ac:dyDescent="0.35">
      <c r="F12" s="1"/>
    </row>
    <row r="13" spans="1:7" x14ac:dyDescent="0.35">
      <c r="F13" s="1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workbookViewId="0">
      <selection activeCell="M3" sqref="M3"/>
    </sheetView>
  </sheetViews>
  <sheetFormatPr defaultRowHeight="14.5" x14ac:dyDescent="0.35"/>
  <cols>
    <col min="1" max="1" width="12.36328125" bestFit="1" customWidth="1"/>
    <col min="2" max="2" width="14.6328125" bestFit="1" customWidth="1"/>
    <col min="4" max="4" width="12.36328125" customWidth="1"/>
    <col min="5" max="5" width="14.6328125" bestFit="1" customWidth="1"/>
    <col min="7" max="7" width="12.36328125" customWidth="1"/>
    <col min="8" max="8" width="25.36328125" bestFit="1" customWidth="1"/>
    <col min="9" max="9" width="9.6328125" customWidth="1"/>
    <col min="10" max="10" width="10.1796875" bestFit="1" customWidth="1"/>
    <col min="11" max="12" width="10.1796875" customWidth="1"/>
    <col min="13" max="13" width="16" bestFit="1" customWidth="1"/>
    <col min="14" max="14" width="11.81640625" bestFit="1" customWidth="1"/>
  </cols>
  <sheetData>
    <row r="1" spans="1:14" x14ac:dyDescent="0.35">
      <c r="A1" t="s">
        <v>27</v>
      </c>
      <c r="D1" t="s">
        <v>28</v>
      </c>
      <c r="G1" t="s">
        <v>82</v>
      </c>
    </row>
    <row r="2" spans="1:14" x14ac:dyDescent="0.35">
      <c r="A2" s="2" t="s">
        <v>18</v>
      </c>
      <c r="B2" t="s">
        <v>20</v>
      </c>
      <c r="D2" s="2" t="s">
        <v>18</v>
      </c>
      <c r="E2" t="s">
        <v>20</v>
      </c>
      <c r="G2" s="2" t="s">
        <v>18</v>
      </c>
      <c r="H2" t="s">
        <v>89</v>
      </c>
      <c r="J2" t="s">
        <v>36</v>
      </c>
      <c r="K2" t="s">
        <v>54</v>
      </c>
      <c r="L2" t="s">
        <v>55</v>
      </c>
      <c r="M2" t="s">
        <v>90</v>
      </c>
      <c r="N2" t="s">
        <v>29</v>
      </c>
    </row>
    <row r="3" spans="1:14" x14ac:dyDescent="0.35">
      <c r="A3" s="3" t="s">
        <v>68</v>
      </c>
      <c r="B3" s="5">
        <v>8129</v>
      </c>
      <c r="D3" s="3" t="s">
        <v>68</v>
      </c>
      <c r="E3" s="5">
        <v>6819.9826515540462</v>
      </c>
      <c r="G3" s="3" t="s">
        <v>68</v>
      </c>
      <c r="H3" s="5">
        <v>3</v>
      </c>
      <c r="J3" t="str">
        <f>A3</f>
        <v>ALT-A</v>
      </c>
      <c r="K3">
        <f t="shared" ref="K3:K4" si="0">GETPIVOTDATA("Sum of DOLLARS",$A$2,"SCENARIO",A3)</f>
        <v>8129</v>
      </c>
      <c r="L3">
        <f t="shared" ref="L3:L4" si="1">GETPIVOTDATA("Sum of DOLLARS",$D$2,"SCENARIO",A3)</f>
        <v>6819.9826515540462</v>
      </c>
      <c r="M3">
        <f t="shared" ref="M3:M4" si="2">GETPIVOTDATA("Average of SCENPOLICYRANK",$G$2,"SCENARIO",A3)</f>
        <v>3</v>
      </c>
      <c r="N3" s="12">
        <f t="shared" ref="N3:N4" si="3">GETPIVOTDATA("DOLLARS",$A$2,"SCENARIO",J3)/GETPIVOTDATA("DOLLARS",$D$2,"SCENARIO",J3)</f>
        <v>1.1919385158769682</v>
      </c>
    </row>
    <row r="4" spans="1:14" x14ac:dyDescent="0.35">
      <c r="A4" s="3" t="s">
        <v>69</v>
      </c>
      <c r="B4" s="5">
        <v>5780</v>
      </c>
      <c r="D4" s="3" t="s">
        <v>69</v>
      </c>
      <c r="E4" s="5">
        <v>5472.8255845804069</v>
      </c>
      <c r="G4" s="3" t="s">
        <v>69</v>
      </c>
      <c r="H4" s="5">
        <v>4</v>
      </c>
      <c r="J4" t="str">
        <f>A4</f>
        <v>ALT-B</v>
      </c>
      <c r="K4">
        <f t="shared" si="0"/>
        <v>5780</v>
      </c>
      <c r="L4">
        <f t="shared" si="1"/>
        <v>5472.8255845804069</v>
      </c>
      <c r="M4">
        <f t="shared" si="2"/>
        <v>4</v>
      </c>
      <c r="N4" s="12">
        <f t="shared" si="3"/>
        <v>1.0561272071752208</v>
      </c>
    </row>
    <row r="5" spans="1:14" x14ac:dyDescent="0.35">
      <c r="A5" s="3" t="s">
        <v>19</v>
      </c>
      <c r="B5" s="5">
        <v>13909</v>
      </c>
      <c r="D5" s="3" t="s">
        <v>19</v>
      </c>
      <c r="E5" s="5">
        <v>12292.808236134453</v>
      </c>
      <c r="G5" s="3" t="s">
        <v>19</v>
      </c>
      <c r="H5" s="5">
        <v>3.5</v>
      </c>
    </row>
  </sheetData>
  <dataConsolidate>
    <dataRefs count="1">
      <dataRef name="Benefits"/>
    </dataRefs>
  </dataConsolidate>
  <pageMargins left="0.7" right="0.7" top="0.75" bottom="0.75" header="0.3" footer="0.3"/>
  <pageSetup orientation="portrait" r:id="rId4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B6" sqref="B6"/>
    </sheetView>
  </sheetViews>
  <sheetFormatPr defaultRowHeight="14.5" x14ac:dyDescent="0.35"/>
  <cols>
    <col min="1" max="1" width="14.6328125" bestFit="1" customWidth="1"/>
    <col min="2" max="2" width="15.26953125" customWidth="1"/>
    <col min="3" max="4" width="11.81640625" bestFit="1" customWidth="1"/>
  </cols>
  <sheetData>
    <row r="3" spans="1:4" x14ac:dyDescent="0.35">
      <c r="A3" s="2" t="s">
        <v>20</v>
      </c>
      <c r="B3" s="2" t="s">
        <v>21</v>
      </c>
    </row>
    <row r="4" spans="1:4" x14ac:dyDescent="0.35">
      <c r="A4" s="2" t="s">
        <v>18</v>
      </c>
      <c r="B4" t="s">
        <v>68</v>
      </c>
      <c r="C4" t="s">
        <v>69</v>
      </c>
      <c r="D4" t="s">
        <v>19</v>
      </c>
    </row>
    <row r="5" spans="1:4" x14ac:dyDescent="0.35">
      <c r="A5" s="3" t="s">
        <v>22</v>
      </c>
      <c r="B5" s="5">
        <v>5893.8121680096692</v>
      </c>
      <c r="C5" s="5">
        <v>5051.8390011511447</v>
      </c>
      <c r="D5" s="5">
        <v>10945.651169160814</v>
      </c>
    </row>
    <row r="6" spans="1:4" x14ac:dyDescent="0.35">
      <c r="A6" s="3" t="s">
        <v>78</v>
      </c>
      <c r="B6" s="5">
        <v>926.17048354437668</v>
      </c>
      <c r="C6" s="5">
        <v>420.98658342926211</v>
      </c>
      <c r="D6" s="5">
        <v>1347.1570669736388</v>
      </c>
    </row>
    <row r="7" spans="1:4" x14ac:dyDescent="0.35">
      <c r="A7" s="3" t="s">
        <v>19</v>
      </c>
      <c r="B7" s="5">
        <v>6819.9826515540462</v>
      </c>
      <c r="C7" s="5">
        <v>5472.8255845804069</v>
      </c>
      <c r="D7" s="5">
        <v>12292.808236134453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3" sqref="A3"/>
    </sheetView>
  </sheetViews>
  <sheetFormatPr defaultRowHeight="14.5" x14ac:dyDescent="0.35"/>
  <cols>
    <col min="1" max="1" width="14.6328125" customWidth="1"/>
    <col min="2" max="2" width="15.26953125" customWidth="1"/>
    <col min="3" max="3" width="19.1796875" bestFit="1" customWidth="1"/>
    <col min="4" max="5" width="11.81640625" bestFit="1" customWidth="1"/>
    <col min="6" max="6" width="11.36328125" customWidth="1"/>
    <col min="7" max="7" width="10.7265625" customWidth="1"/>
    <col min="8" max="8" width="10.7265625" bestFit="1" customWidth="1"/>
  </cols>
  <sheetData>
    <row r="3" spans="1:5" x14ac:dyDescent="0.35">
      <c r="A3" s="2" t="s">
        <v>20</v>
      </c>
      <c r="B3" s="2" t="s">
        <v>21</v>
      </c>
    </row>
    <row r="4" spans="1:5" x14ac:dyDescent="0.35">
      <c r="A4" s="2" t="s">
        <v>18</v>
      </c>
      <c r="B4" t="s">
        <v>16</v>
      </c>
      <c r="C4" t="s">
        <v>76</v>
      </c>
      <c r="D4" t="s">
        <v>77</v>
      </c>
      <c r="E4" t="s">
        <v>19</v>
      </c>
    </row>
    <row r="5" spans="1:5" x14ac:dyDescent="0.35">
      <c r="A5" s="3" t="s">
        <v>68</v>
      </c>
      <c r="B5" s="5">
        <v>5893.8121680096692</v>
      </c>
      <c r="C5" s="5">
        <v>841.97316685852422</v>
      </c>
      <c r="D5" s="5">
        <v>84.197316685852414</v>
      </c>
      <c r="E5" s="5">
        <v>6819.9826515540462</v>
      </c>
    </row>
    <row r="6" spans="1:5" x14ac:dyDescent="0.35">
      <c r="A6" s="3" t="s">
        <v>69</v>
      </c>
      <c r="B6" s="5">
        <v>5051.8390011511447</v>
      </c>
      <c r="C6" s="5">
        <v>420.98658342926211</v>
      </c>
      <c r="D6" s="5">
        <v>0</v>
      </c>
      <c r="E6" s="5">
        <v>5472.8255845804069</v>
      </c>
    </row>
    <row r="7" spans="1:5" x14ac:dyDescent="0.35">
      <c r="A7" s="3" t="s">
        <v>19</v>
      </c>
      <c r="B7" s="5">
        <v>10945.651169160814</v>
      </c>
      <c r="C7" s="5">
        <v>1262.9597502877864</v>
      </c>
      <c r="D7" s="5">
        <v>84.197316685852414</v>
      </c>
      <c r="E7" s="5">
        <v>12292.808236134453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80" zoomScaleNormal="80" workbookViewId="0">
      <selection activeCell="D25" sqref="D25"/>
    </sheetView>
  </sheetViews>
  <sheetFormatPr defaultRowHeight="14.5" x14ac:dyDescent="0.35"/>
  <cols>
    <col min="1" max="1" width="26.54296875" bestFit="1" customWidth="1"/>
    <col min="2" max="2" width="16.453125" bestFit="1" customWidth="1"/>
    <col min="3" max="4" width="11" bestFit="1" customWidth="1"/>
    <col min="5" max="5" width="25.6328125" bestFit="1" customWidth="1"/>
  </cols>
  <sheetData>
    <row r="1" spans="1:5" x14ac:dyDescent="0.35">
      <c r="A1" s="2" t="s">
        <v>2</v>
      </c>
      <c r="B1" t="s">
        <v>68</v>
      </c>
      <c r="E1" t="str">
        <f>"Benefits by COC, Scenario "&amp;BenefitsPerScenario!B1</f>
        <v>Benefits by COC, Scenario ALT-A</v>
      </c>
    </row>
    <row r="3" spans="1:5" x14ac:dyDescent="0.35">
      <c r="A3" s="2" t="s">
        <v>20</v>
      </c>
      <c r="B3" s="2" t="s">
        <v>21</v>
      </c>
    </row>
    <row r="4" spans="1:5" x14ac:dyDescent="0.35">
      <c r="A4" s="2" t="s">
        <v>18</v>
      </c>
      <c r="B4" t="s">
        <v>63</v>
      </c>
      <c r="C4" t="s">
        <v>19</v>
      </c>
    </row>
    <row r="5" spans="1:5" x14ac:dyDescent="0.35">
      <c r="A5" s="3" t="s">
        <v>14</v>
      </c>
      <c r="B5" s="5">
        <v>940</v>
      </c>
      <c r="C5" s="5">
        <v>940</v>
      </c>
    </row>
    <row r="6" spans="1:5" x14ac:dyDescent="0.35">
      <c r="A6" s="4" t="s">
        <v>3</v>
      </c>
      <c r="B6" s="5">
        <v>200</v>
      </c>
      <c r="C6" s="5">
        <v>200</v>
      </c>
    </row>
    <row r="7" spans="1:5" x14ac:dyDescent="0.35">
      <c r="A7" s="4" t="s">
        <v>4</v>
      </c>
      <c r="B7" s="5">
        <v>200</v>
      </c>
      <c r="C7" s="5">
        <v>200</v>
      </c>
    </row>
    <row r="8" spans="1:5" x14ac:dyDescent="0.35">
      <c r="A8" s="4" t="s">
        <v>5</v>
      </c>
      <c r="B8" s="5">
        <v>400</v>
      </c>
      <c r="C8" s="5">
        <v>400</v>
      </c>
    </row>
    <row r="9" spans="1:5" x14ac:dyDescent="0.35">
      <c r="A9" s="4" t="s">
        <v>6</v>
      </c>
      <c r="B9" s="5">
        <v>140</v>
      </c>
      <c r="C9" s="5">
        <v>140</v>
      </c>
    </row>
    <row r="10" spans="1:5" x14ac:dyDescent="0.35">
      <c r="A10" s="3" t="s">
        <v>15</v>
      </c>
      <c r="B10" s="5">
        <v>586</v>
      </c>
      <c r="C10" s="5">
        <v>586</v>
      </c>
    </row>
    <row r="11" spans="1:5" x14ac:dyDescent="0.35">
      <c r="A11" s="4" t="s">
        <v>7</v>
      </c>
      <c r="B11" s="5">
        <v>66</v>
      </c>
      <c r="C11" s="5">
        <v>66</v>
      </c>
    </row>
    <row r="12" spans="1:5" x14ac:dyDescent="0.35">
      <c r="A12" s="4" t="s">
        <v>67</v>
      </c>
      <c r="B12" s="5">
        <v>400</v>
      </c>
      <c r="C12" s="5">
        <v>400</v>
      </c>
    </row>
    <row r="13" spans="1:5" x14ac:dyDescent="0.35">
      <c r="A13" s="4" t="s">
        <v>66</v>
      </c>
      <c r="B13" s="5">
        <v>120</v>
      </c>
      <c r="C13" s="5">
        <v>120</v>
      </c>
    </row>
    <row r="14" spans="1:5" x14ac:dyDescent="0.35">
      <c r="A14" s="3" t="s">
        <v>13</v>
      </c>
      <c r="B14" s="5">
        <v>611</v>
      </c>
      <c r="C14" s="5">
        <v>611</v>
      </c>
    </row>
    <row r="15" spans="1:5" x14ac:dyDescent="0.35">
      <c r="A15" s="4" t="s">
        <v>8</v>
      </c>
      <c r="B15" s="5">
        <v>300</v>
      </c>
      <c r="C15" s="5">
        <v>300</v>
      </c>
    </row>
    <row r="16" spans="1:5" x14ac:dyDescent="0.35">
      <c r="A16" s="4" t="s">
        <v>9</v>
      </c>
      <c r="B16" s="5">
        <v>111</v>
      </c>
      <c r="C16" s="5">
        <v>111</v>
      </c>
    </row>
    <row r="17" spans="1:3" x14ac:dyDescent="0.35">
      <c r="A17" s="4" t="s">
        <v>65</v>
      </c>
      <c r="B17" s="5">
        <v>200</v>
      </c>
      <c r="C17" s="5">
        <v>200</v>
      </c>
    </row>
    <row r="18" spans="1:3" x14ac:dyDescent="0.35">
      <c r="A18" s="3" t="s">
        <v>19</v>
      </c>
      <c r="B18" s="5">
        <v>2137</v>
      </c>
      <c r="C18" s="5">
        <v>2137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B1" zoomScale="80" zoomScaleNormal="80" workbookViewId="0">
      <selection activeCell="A3" sqref="A3"/>
    </sheetView>
  </sheetViews>
  <sheetFormatPr defaultRowHeight="14.5" x14ac:dyDescent="0.35"/>
  <cols>
    <col min="1" max="1" width="24" customWidth="1"/>
    <col min="2" max="2" width="16.453125" bestFit="1" customWidth="1"/>
    <col min="3" max="3" width="11" bestFit="1" customWidth="1"/>
    <col min="4" max="4" width="5.08984375" bestFit="1" customWidth="1"/>
    <col min="5" max="5" width="33.81640625" bestFit="1" customWidth="1"/>
  </cols>
  <sheetData>
    <row r="1" spans="1:5" x14ac:dyDescent="0.35">
      <c r="A1" s="2" t="s">
        <v>2</v>
      </c>
      <c r="B1" t="s">
        <v>68</v>
      </c>
      <c r="E1" t="str">
        <f>"Benefits by Type and COC, Scenario "&amp;TotalBenefitsPerScenario!B1</f>
        <v>Benefits by Type and COC, Scenario ALT-A</v>
      </c>
    </row>
    <row r="3" spans="1:5" x14ac:dyDescent="0.35">
      <c r="A3" s="2" t="s">
        <v>20</v>
      </c>
      <c r="B3" s="2" t="s">
        <v>21</v>
      </c>
    </row>
    <row r="4" spans="1:5" x14ac:dyDescent="0.35">
      <c r="A4" s="2" t="s">
        <v>18</v>
      </c>
      <c r="B4" t="s">
        <v>17</v>
      </c>
      <c r="C4" t="s">
        <v>19</v>
      </c>
    </row>
    <row r="5" spans="1:5" x14ac:dyDescent="0.35">
      <c r="A5" s="3" t="s">
        <v>14</v>
      </c>
      <c r="B5" s="5">
        <v>1940</v>
      </c>
      <c r="C5" s="5">
        <v>1940</v>
      </c>
    </row>
    <row r="6" spans="1:5" x14ac:dyDescent="0.35">
      <c r="A6" s="3" t="s">
        <v>15</v>
      </c>
      <c r="B6" s="5">
        <v>1009</v>
      </c>
      <c r="C6" s="5">
        <v>1009</v>
      </c>
    </row>
    <row r="7" spans="1:5" x14ac:dyDescent="0.35">
      <c r="A7" s="3" t="s">
        <v>13</v>
      </c>
      <c r="B7" s="5">
        <v>1113</v>
      </c>
      <c r="C7" s="5">
        <v>1113</v>
      </c>
    </row>
    <row r="8" spans="1:5" x14ac:dyDescent="0.35">
      <c r="A8" s="3" t="s">
        <v>19</v>
      </c>
      <c r="B8" s="5">
        <v>4062</v>
      </c>
      <c r="C8" s="5">
        <v>4062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80" zoomScaleNormal="80" workbookViewId="0">
      <selection activeCell="E9" sqref="E9"/>
    </sheetView>
  </sheetViews>
  <sheetFormatPr defaultRowHeight="14.5" x14ac:dyDescent="0.35"/>
  <cols>
    <col min="1" max="1" width="15.7265625" customWidth="1"/>
    <col min="2" max="2" width="18.36328125" customWidth="1"/>
    <col min="3" max="3" width="8.1796875" customWidth="1"/>
    <col min="4" max="4" width="12.36328125" customWidth="1"/>
    <col min="5" max="5" width="11" customWidth="1"/>
  </cols>
  <sheetData>
    <row r="1" spans="1:5" x14ac:dyDescent="0.35">
      <c r="E1" t="str">
        <f>B2&amp;" Benefits by Type by COC"</f>
        <v>Economic Vitality Benefits by Type by COC</v>
      </c>
    </row>
    <row r="2" spans="1:5" x14ac:dyDescent="0.35">
      <c r="A2" s="2" t="s">
        <v>12</v>
      </c>
      <c r="B2" t="s">
        <v>14</v>
      </c>
    </row>
    <row r="4" spans="1:5" x14ac:dyDescent="0.35">
      <c r="A4" s="2" t="s">
        <v>18</v>
      </c>
      <c r="B4" t="s">
        <v>20</v>
      </c>
    </row>
    <row r="5" spans="1:5" x14ac:dyDescent="0.35">
      <c r="A5" s="3" t="s">
        <v>68</v>
      </c>
      <c r="B5" s="5">
        <v>3880</v>
      </c>
    </row>
    <row r="6" spans="1:5" x14ac:dyDescent="0.35">
      <c r="A6" s="4" t="s">
        <v>17</v>
      </c>
      <c r="B6" s="5">
        <v>1940</v>
      </c>
    </row>
    <row r="7" spans="1:5" x14ac:dyDescent="0.35">
      <c r="A7" s="4" t="s">
        <v>63</v>
      </c>
      <c r="B7" s="5">
        <v>940</v>
      </c>
    </row>
    <row r="8" spans="1:5" x14ac:dyDescent="0.35">
      <c r="A8" s="4" t="s">
        <v>64</v>
      </c>
      <c r="B8" s="5">
        <v>1000</v>
      </c>
    </row>
    <row r="9" spans="1:5" x14ac:dyDescent="0.35">
      <c r="A9" s="3" t="s">
        <v>69</v>
      </c>
      <c r="B9" s="5">
        <v>2840</v>
      </c>
    </row>
    <row r="10" spans="1:5" x14ac:dyDescent="0.35">
      <c r="A10" s="4" t="s">
        <v>17</v>
      </c>
      <c r="B10" s="5">
        <v>1420</v>
      </c>
    </row>
    <row r="11" spans="1:5" x14ac:dyDescent="0.35">
      <c r="A11" s="4" t="s">
        <v>63</v>
      </c>
      <c r="B11" s="5">
        <v>650</v>
      </c>
    </row>
    <row r="12" spans="1:5" x14ac:dyDescent="0.35">
      <c r="A12" s="4" t="s">
        <v>64</v>
      </c>
      <c r="B12" s="5">
        <v>770</v>
      </c>
    </row>
    <row r="13" spans="1:5" x14ac:dyDescent="0.35">
      <c r="A13" s="3" t="s">
        <v>19</v>
      </c>
      <c r="B13" s="5">
        <v>6720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n Z a S U o w T B K n A A A A + A A A A B I A H A B D b 2 5 m a W c v U G F j a 2 F n Z S 5 4 b W w g o h g A K K A U A A A A A A A A A A A A A A A A A A A A A A A A A A A A h Y 9 B D o I w F E S v Q r q n L U W N m k 9 Z u J X E h G j c N q V C I x R D i + V u L j y S V 5 B E U X c u Z / I m e f O 4 3 S E d m j q 4 q s 7 q 1 i Q o w h Q F y s i 2 0 K Z M U O 9 O 4 R K l H H Z C n k W p g h E 2 d j 1 Y n a D K u c u a E O 8 9 9 j F u u 5 I w S i N y z L a 5 r F Q j Q m 2 s E 0 Y q 9 F k V / 1 e I w + E l w x m O V 3 g 2 Z w s c s R j I V E O m z R d h o z G m Q H 5 K 2 P S 1 6 z v F l Q n 3 O Z A p A n m / 4 E 9 Q S w M E F A A C A A g A m n Z a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p 2 W k k o i k e 4 D g A A A B E A A A A T A B w A R m 9 y b X V s Y X M v U 2 V j d G l v b j E u b S C i G A A o o B Q A A A A A A A A A A A A A A A A A A A A A A A A A A A A r T k 0 u y c z P U w i G 0 I b W A F B L A Q I t A B Q A A g A I A J p 2 W k l K M E w S p w A A A P g A A A A S A A A A A A A A A A A A A A A A A A A A A A B D b 2 5 m a W c v U G F j a 2 F n Z S 5 4 b W x Q S w E C L Q A U A A I A C A C a d l p J D 8 r p q 6 Q A A A D p A A A A E w A A A A A A A A A A A A A A A A D z A A A A W 0 N v b n R l b n R f V H l w Z X N d L n h t b F B L A Q I t A B Q A A g A I A J p 2 W k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G V a A l D I i a R a v Y L V O c 4 k 9 7 A A A A A A I A A A A A A A N m A A D A A A A A E A A A A I K k / 4 T c 2 N Q D 9 V A X / 0 s Q V 1 c A A A A A B I A A A K A A A A A Q A A A A X 4 d 0 j V t z 2 N y M o j 0 0 A 7 o x t l A A A A A / k F J C 1 X 3 n 7 Q X s w m Y B G W k z h y a c q + 2 M P S h Y g I 3 D v z I X o x T 1 w b g C 5 w 8 3 n 0 A 7 Y 8 c z Q h 7 + q c 3 0 1 F M o Q 6 O 8 o 0 s d v H p W x + f e e I G Q 9 4 A + A G Y W m z r z 4 h Q A A A A l P C Z f I k 3 z J 2 m 5 E s C 4 0 4 p D X n 3 j M Q = = < / D a t a M a s h u p > 
</file>

<file path=customXml/itemProps1.xml><?xml version="1.0" encoding="utf-8"?>
<ds:datastoreItem xmlns:ds="http://schemas.openxmlformats.org/officeDocument/2006/customXml" ds:itemID="{875E092E-7AC7-412A-B809-034C011584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Overview</vt:lpstr>
      <vt:lpstr>Benefits</vt:lpstr>
      <vt:lpstr>Costs</vt:lpstr>
      <vt:lpstr>BCRatio</vt:lpstr>
      <vt:lpstr>CostByScenario</vt:lpstr>
      <vt:lpstr>CostByTypeScenario</vt:lpstr>
      <vt:lpstr>BenefitsPerScenario</vt:lpstr>
      <vt:lpstr>TotalBenefitsPerScenario</vt:lpstr>
      <vt:lpstr>TotalBenefitsPerScenarioCOC</vt:lpstr>
      <vt:lpstr>BenefitsByScenario</vt:lpstr>
      <vt:lpstr>TotalBenefitsByScenario</vt:lpstr>
      <vt:lpstr>BCRatioByScenario</vt:lpstr>
      <vt:lpstr>BenefitToCostByScenario</vt:lpstr>
      <vt:lpstr>BCRatioByPolicyRank</vt:lpstr>
      <vt:lpstr>BenefitsRadarByScenario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Stabler</dc:creator>
  <cp:lastModifiedBy>Ben Stabler</cp:lastModifiedBy>
  <dcterms:created xsi:type="dcterms:W3CDTF">2016-10-21T02:10:46Z</dcterms:created>
  <dcterms:modified xsi:type="dcterms:W3CDTF">2016-12-31T03:23:19Z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8e00f89a-f8d8-4a97-ac60-ceea2c6b27b0</vt:lpwstr>
  </property>
</Properties>
</file>