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drawings/drawing11.xml" ContentType="application/vnd.openxmlformats-officedocument.drawing+xml"/>
  <Override PartName="/xl/drawings/drawing12.xml" ContentType="application/vnd.openxmlformats-officedocument.drawing+xml"/>
  <Override PartName="/xl/ctrlProps/ctrlProp15.xml" ContentType="application/vnd.ms-excel.controlproperties+xml"/>
  <Override PartName="/xl/ctrlProps/ctrlProp16.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3.xml" ContentType="application/vnd.openxmlformats-officedocument.drawing+xml"/>
  <Override PartName="/xl/activeX/activeX11.xml" ContentType="application/vnd.ms-office.activeX+xml"/>
  <Override PartName="/xl/activeX/activeX11.bin" ContentType="application/vnd.ms-office.activeX"/>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harts/chart10.xml" ContentType="application/vnd.openxmlformats-officedocument.drawingml.chart+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46.xml" ContentType="application/vnd.ms-excel.controlproperties+xml"/>
  <Override PartName="/xl/drawings/drawing17.xml" ContentType="application/vnd.openxmlformats-officedocument.drawing+xml"/>
  <Override PartName="/xl/charts/chart11.xml" ContentType="application/vnd.openxmlformats-officedocument.drawingml.chart+xml"/>
  <Override PartName="/xl/drawings/drawing18.xml" ContentType="application/vnd.openxmlformats-officedocument.drawing+xml"/>
  <Override PartName="/xl/activeX/activeX19.xml" ContentType="application/vnd.ms-office.activeX+xml"/>
  <Override PartName="/xl/activeX/activeX19.bin" ContentType="application/vnd.ms-office.activeX"/>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9.xml" ContentType="application/vnd.openxmlformats-officedocument.drawing+xml"/>
  <Override PartName="/xl/activeX/activeX20.xml" ContentType="application/vnd.ms-office.activeX+xml"/>
  <Override PartName="/xl/activeX/activeX20.bin" ContentType="application/vnd.ms-office.activeX"/>
  <Override PartName="/xl/ctrlProps/ctrlProp51.xml" ContentType="application/vnd.ms-excel.controlproperties+xml"/>
  <Override PartName="/xl/ctrlProps/ctrlProp52.xml" ContentType="application/vnd.ms-excel.controlproperties+xml"/>
  <Override PartName="/xl/drawings/drawing20.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21.xml" ContentType="application/vnd.openxmlformats-officedocument.drawing+xml"/>
  <Override PartName="/xl/activeX/activeX21.xml" ContentType="application/vnd.ms-office.activeX+xml"/>
  <Override PartName="/xl/activeX/activeX21.bin" ContentType="application/vnd.ms-office.activeX"/>
  <Override PartName="/xl/charts/chart14.xml" ContentType="application/vnd.openxmlformats-officedocument.drawingml.chart+xml"/>
  <Override PartName="/xl/drawings/drawing22.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trlProps/ctrlProp58.xml" ContentType="application/vnd.ms-excel.controlproperties+xml"/>
  <Override PartName="/xl/drawings/drawing28.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29.xml" ContentType="application/vnd.openxmlformats-officedocument.drawing+xml"/>
  <Override PartName="/xl/comments1.xml" ContentType="application/vnd.openxmlformats-officedocument.spreadsheetml.comments+xml"/>
  <Override PartName="/xl/drawings/drawing3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autoCompressPictures="0"/>
  <mc:AlternateContent xmlns:mc="http://schemas.openxmlformats.org/markup-compatibility/2006">
    <mc:Choice Requires="x15">
      <x15ac:absPath xmlns:x15ac="http://schemas.microsoft.com/office/spreadsheetml/2010/11/ac" url="https://icfonline.sharepoint.com/teams/SLBAdmin/Shared Documents/SIT/LGGIT and Tribal/2023 Tools, Memos, and User's Guides/Copies to Deliver (Links Broken)/2024.1/"/>
    </mc:Choice>
  </mc:AlternateContent>
  <xr:revisionPtr revIDLastSave="55" documentId="8_{9EF2D802-8097-44F8-8B8E-4A5CCB12A085}" xr6:coauthVersionLast="47" xr6:coauthVersionMax="47" xr10:uidLastSave="{C3B782E1-AFF6-4793-98B1-E7EB87CC247E}"/>
  <bookViews>
    <workbookView xWindow="-110" yWindow="-110" windowWidth="22780" windowHeight="14660" tabRatio="756" xr2:uid="{DD0C520E-FF92-4E96-81CF-6BE9157B718F}"/>
  </bookViews>
  <sheets>
    <sheet name="Introduction" sheetId="1" r:id="rId1"/>
    <sheet name="Read Me" sheetId="42" r:id="rId2"/>
    <sheet name="TOC" sheetId="2" r:id="rId3"/>
    <sheet name="Definitions" sheetId="40" r:id="rId4"/>
    <sheet name="Control Sheet" sheetId="3" r:id="rId5"/>
    <sheet name="CompletionTracker" sheetId="39" state="hidden" r:id="rId6"/>
    <sheet name="Stationary-Entry" sheetId="5" r:id="rId7"/>
    <sheet name="StatTemplateReadMe" sheetId="46" state="hidden" r:id="rId8"/>
    <sheet name="Stationary-Data" sheetId="6" r:id="rId9"/>
    <sheet name="Stationary-Calcs" sheetId="7" r:id="rId10"/>
    <sheet name="ElecTemplateReadMe" sheetId="47" state="hidden" r:id="rId11"/>
    <sheet name="Mobile-Entry" sheetId="11" r:id="rId12"/>
    <sheet name="Mobile-Data" sheetId="12" r:id="rId13"/>
    <sheet name="MobTemplateReadMe" sheetId="48" state="hidden" r:id="rId14"/>
    <sheet name="Mobile-Detail Calcs" sheetId="37" r:id="rId15"/>
    <sheet name="Mobile-Summary" sheetId="13" r:id="rId16"/>
    <sheet name="Solid Waste-Control" sheetId="14" r:id="rId17"/>
    <sheet name="Solid Waste-Entry" sheetId="15" r:id="rId18"/>
    <sheet name="Wastewater-Control" sheetId="18" r:id="rId19"/>
    <sheet name="Wastewater-Entry" sheetId="17" r:id="rId20"/>
    <sheet name="Wastewater- Calcs" sheetId="38" r:id="rId21"/>
    <sheet name="Electricity-Entry" sheetId="54" r:id="rId22"/>
    <sheet name="Electricity-Data" sheetId="9" r:id="rId23"/>
    <sheet name="Electricity LocationBased-Calcs" sheetId="10" r:id="rId24"/>
    <sheet name="Employee Commute" sheetId="20" state="hidden" r:id="rId25"/>
    <sheet name="Electricity MarketBased-Calcs" sheetId="53" r:id="rId26"/>
    <sheet name="Water" sheetId="21" r:id="rId27"/>
    <sheet name="Agriculture &amp; Land Management" sheetId="49" r:id="rId28"/>
    <sheet name="Urban Forestry" sheetId="50" r:id="rId29"/>
    <sheet name="Waste Production" sheetId="51" r:id="rId30"/>
    <sheet name="Additional Emission Sources" sheetId="22" r:id="rId31"/>
    <sheet name="Summary-Emissions" sheetId="55" r:id="rId32"/>
    <sheet name="Factors" sheetId="4" r:id="rId33"/>
    <sheet name="Background Controls" sheetId="33" r:id="rId34"/>
    <sheet name="Help" sheetId="35" state="hidden" r:id="rId35"/>
    <sheet name="Commercial End Use Study" sheetId="43" state="hidden" r:id="rId36"/>
    <sheet name="Detail Type Data" sheetId="44" state="hidden" r:id="rId37"/>
    <sheet name="Notes" sheetId="52" r:id="rId38"/>
  </sheets>
  <functionGroups builtInGroupCount="19"/>
  <definedNames>
    <definedName name="_ftn1" localSheetId="3">Definitions!$C$25</definedName>
    <definedName name="_ftnref1" localSheetId="3">Definitions!$C$14</definedName>
    <definedName name="addtl_source_count">'Additional Emission Sources'!$E$12</definedName>
    <definedName name="addtl_source_entry">'Additional Emission Sources'!$B$16:$K$25</definedName>
    <definedName name="baseline_mob_HDV">'Detail Type Data'!$C$123</definedName>
    <definedName name="baseline_mob_LtTruck">'Detail Type Data'!$C$122</definedName>
    <definedName name="baseline_mob_pass">'Detail Type Data'!$C$121</definedName>
    <definedName name="bldg_type_list">'Background Controls'!$O$5:$O$43</definedName>
    <definedName name="bldgtype_elec_health">'Detail Type Data'!$C$55</definedName>
    <definedName name="bldgtype_elec_office">'Detail Type Data'!$C$49</definedName>
    <definedName name="bldgtype_elec_OutLight">'Detail Type Data'!$C$53</definedName>
    <definedName name="bldgtype_elec_school">'Detail Type Data'!$C$54</definedName>
    <definedName name="bldgtype_elec_total">'Detail Type Data'!$C$87</definedName>
    <definedName name="bldgtype_elec_warehouse">'Detail Type Data'!$C$50</definedName>
    <definedName name="bldgtype_elec_water">'Detail Type Data'!$C$51</definedName>
    <definedName name="bldgtype_elec_wwt">'Detail Type Data'!$C$52</definedName>
    <definedName name="bldgtype_stat_office">'Detail Type Data'!$N$5</definedName>
    <definedName name="bldgtype_stat_OutLight" localSheetId="10">'Detail Type Data'!#REF!</definedName>
    <definedName name="bldgtype_stat_OutLight" localSheetId="13">'Detail Type Data'!#REF!</definedName>
    <definedName name="C_to_CO2">Factors!$C$23</definedName>
    <definedName name="CH4_CO2e">Factors!$C$20</definedName>
    <definedName name="CO2_CO2e">Factors!$C$19</definedName>
    <definedName name="commute_factors">Factors!$A$322:$D$330</definedName>
    <definedName name="comp_AdditionalSources">CompletionTracker!$B$20</definedName>
    <definedName name="comp_AgLandManagement">CompletionTracker!$B$17</definedName>
    <definedName name="comp_control">CompletionTracker!$B$4</definedName>
    <definedName name="comp_ElectricityData">CompletionTracker!$B$8</definedName>
    <definedName name="comp_ElectricityEntry">CompletionTracker!$B$7</definedName>
    <definedName name="comp_EmployeeCommute">CompletionTracker!$B$15</definedName>
    <definedName name="comp_MobileData">CompletionTracker!$B$10</definedName>
    <definedName name="comp_MobileEntry">CompletionTracker!$B$9</definedName>
    <definedName name="comp_part">'Background Controls'!$Q$5:$Q$7</definedName>
    <definedName name="comp_StatData">CompletionTracker!$B$6</definedName>
    <definedName name="comp_StatEntry">CompletionTracker!$B$5</definedName>
    <definedName name="comp_SWControl">CompletionTracker!$B$11</definedName>
    <definedName name="comp_SWEntry">CompletionTracker!$B$12</definedName>
    <definedName name="comp_UrbanForestry">CompletionTracker!$B$18</definedName>
    <definedName name="comp_WasteProd">CompletionTracker!$B$19</definedName>
    <definedName name="comp_Water">CompletionTracker!$B$16</definedName>
    <definedName name="comp_WWControl">CompletionTracker!$B$13</definedName>
    <definedName name="comp_WWEntry">CompletionTracker!$B$14</definedName>
    <definedName name="contractual_instrument_entries">'Electricity-Data'!$G$9:$G$1048576</definedName>
    <definedName name="DepartmentList">'Background Controls'!$I$5:$I$8</definedName>
    <definedName name="dept_count">'Background Controls'!$I$3</definedName>
    <definedName name="egridnames">Factors!$A$92:$A$117</definedName>
    <definedName name="elec_AddFlag">'Electricity-Entry'!$A$10</definedName>
    <definedName name="elec_calc_deptCH4_location_adjusted">'Electricity MarketBased-Calcs'!$B$293:$I$313</definedName>
    <definedName name="elec_calc_deptCO2_location_adjusted">'Electricity MarketBased-Calcs'!$B$268:$I$288</definedName>
    <definedName name="elec_calc_deptN2O_location_adjusted">'Electricity MarketBased-Calcs'!$B$318:$I$338</definedName>
    <definedName name="elec_calcs_back1" localSheetId="25">'Electricity MarketBased-Calcs'!$A$108</definedName>
    <definedName name="elec_calcs_back1">'Electricity LocationBased-Calcs'!$A$108</definedName>
    <definedName name="elec_calcs_back2" localSheetId="25">'Electricity MarketBased-Calcs'!$A$118</definedName>
    <definedName name="elec_calcs_back2">'Electricity LocationBased-Calcs'!$A$118</definedName>
    <definedName name="elec_calcs_back3" localSheetId="25">'Electricity MarketBased-Calcs'!$A$128</definedName>
    <definedName name="elec_calcs_back3">'Electricity LocationBased-Calcs'!$A$128</definedName>
    <definedName name="elec_calcs_back4" localSheetId="25">'Electricity MarketBased-Calcs'!$A$240</definedName>
    <definedName name="elec_calcs_back4">'Electricity LocationBased-Calcs'!$A$138</definedName>
    <definedName name="elec_calcs_back5" localSheetId="25">'Electricity MarketBased-Calcs'!$A$265</definedName>
    <definedName name="elec_calcs_back5">'Electricity LocationBased-Calcs'!$A$163</definedName>
    <definedName name="elec_calcs_back6" localSheetId="25">'Electricity MarketBased-Calcs'!$A$290</definedName>
    <definedName name="elec_calcs_back6">'Electricity LocationBased-Calcs'!$A$188</definedName>
    <definedName name="elec_calcs_back7" localSheetId="25">'Electricity MarketBased-Calcs'!$A$315</definedName>
    <definedName name="elec_calcs_back7">'Electricity LocationBased-Calcs'!$A$213</definedName>
    <definedName name="elec_calcs_deptCH4">'Electricity LocationBased-Calcs'!$B$191:$I$210</definedName>
    <definedName name="elec_calcs_deptCH4_contractual" localSheetId="25">'Electricity MarketBased-Calcs'!$B$191:$I$210</definedName>
    <definedName name="elec_calcs_deptCO2">'Electricity LocationBased-Calcs'!$B$166:$I$185</definedName>
    <definedName name="elec_calcs_deptCO2_contractual" localSheetId="25">'Electricity MarketBased-Calcs'!$B$166:$I$185</definedName>
    <definedName name="elec_calcs_deptN2O">'Electricity LocationBased-Calcs'!$B$216:$I$235</definedName>
    <definedName name="elec_calcs_deptN2O_contractual" localSheetId="25">'Electricity MarketBased-Calcs'!$B$216:$I$235</definedName>
    <definedName name="elec_calcs_elecTable" localSheetId="25">'Electricity MarketBased-Calcs'!$B$62</definedName>
    <definedName name="elec_calcs_elecTable">'Electricity LocationBased-Calcs'!$B$62</definedName>
    <definedName name="elec_calcs_emissionsTable" localSheetId="25">'Electricity MarketBased-Calcs'!$B$18</definedName>
    <definedName name="elec_calcs_emissionsTable">'Electricity LocationBased-Calcs'!$B$18</definedName>
    <definedName name="elec_calcs_totalCO2e" localSheetId="25">'Electricity MarketBased-Calcs'!$F$40</definedName>
    <definedName name="elec_calcs_totalCO2e">'Electricity LocationBased-Calcs'!$F$40</definedName>
    <definedName name="elec_calcs_totalkWh">'Electricity LocationBased-Calcs'!$C$84</definedName>
    <definedName name="elec_colindex_MyYear">'Background Controls'!$B$18</definedName>
    <definedName name="elec_contract_factors">'Electricity-Data'!$G$9:$J$1048576</definedName>
    <definedName name="elec_control_factors">'Control Sheet'!$D$44:$G$50</definedName>
    <definedName name="elec_CurrentID">'Electricity-Data'!$A$7</definedName>
    <definedName name="elec_data">'Electricity-Data'!$A$9:$K$1048576</definedName>
    <definedName name="elec_data_bldgtype">'Electricity-Data'!$F$9:$F$1048576</definedName>
    <definedName name="elec_data_consump">'Electricity-Data'!$E$9:$E$1048576</definedName>
    <definedName name="elec_data_contract">'Electricity-Data'!$G$9:$G$1048576</definedName>
    <definedName name="elec_data_contract_binary">'Electricity-Data'!$K$9:$K$1048576</definedName>
    <definedName name="elec_data_dept">'Electricity-Data'!$C$9:$C$1048576</definedName>
    <definedName name="elec_data_utility">'Electricity-Data'!$D$9:$D$1048576</definedName>
    <definedName name="elec_entry_bldgtype" localSheetId="21">'Electricity-Entry'!$D$10</definedName>
    <definedName name="elec_entry_bldgtype">'Electricity-Entry'!$D$10</definedName>
    <definedName name="elec_entry_CH4_ER">'Electricity-Entry'!$F$16</definedName>
    <definedName name="elec_entry_CO2_ER">'Electricity-Entry'!$E$16</definedName>
    <definedName name="elec_entry_consumption" localSheetId="21">'Electricity-Entry'!$C$16</definedName>
    <definedName name="elec_entry_consumption">'Electricity-Entry'!$C$16</definedName>
    <definedName name="elec_entry_contract">'Electricity-Entry'!$F$10</definedName>
    <definedName name="elec_entry_contract_descript">'Electricity-Entry'!$B$16</definedName>
    <definedName name="elec_entry_dept" localSheetId="25">'Electricity-Entry'!$E$10</definedName>
    <definedName name="elec_entry_dept" localSheetId="21">'Electricity-Entry'!$E$10</definedName>
    <definedName name="elec_entry_dept">'Electricity-Entry'!$E$10</definedName>
    <definedName name="elec_entry_desc">'Electricity-Entry'!$C$10</definedName>
    <definedName name="elec_entry_description">'Electricity-Entry'!$C$10</definedName>
    <definedName name="elec_entry_ID" localSheetId="21">'Electricity-Entry'!$B$10</definedName>
    <definedName name="elec_entry_ID">'Electricity-Entry'!$B$10</definedName>
    <definedName name="elec_entry_N2O_ER">'Electricity-Entry'!$G$16</definedName>
    <definedName name="elec_entry_utility" localSheetId="21">'Electricity-Entry'!$D$16</definedName>
    <definedName name="elec_entry_utility">'Electricity-Entry'!$D$16</definedName>
    <definedName name="elec_EntryRow">'Background Controls'!$B$15</definedName>
    <definedName name="elec_factors_CH4">Factors!$A$120:$AB$146</definedName>
    <definedName name="elec_factors_CO2">Factors!$A$91:$AB$117</definedName>
    <definedName name="elec_factors_N2O">Factors!$A$150:$AB$176</definedName>
    <definedName name="elec_MaxID">'Background Controls'!$B$17</definedName>
    <definedName name="elec_MinID">'Background Controls'!$B$16</definedName>
    <definedName name="elec_UtilitiesList">'Background Controls'!$M$5:$M$13</definedName>
    <definedName name="ft3_m3">Factors!$C$12</definedName>
    <definedName name="ft3CH4_MTCH4">Factors!$C$17</definedName>
    <definedName name="g_kg">Factors!$C$8</definedName>
    <definedName name="g_MT">Factors!$C$14</definedName>
    <definedName name="gal_MG">Factors!$C$16</definedName>
    <definedName name="GWP_CH4">Factors!$C$20</definedName>
    <definedName name="GWP_N2O">Factors!$C$21</definedName>
    <definedName name="kg_mt">Factors!$C$7</definedName>
    <definedName name="kWh_MWh">Factors!$C$5</definedName>
    <definedName name="lb_kg">Factors!$C$15</definedName>
    <definedName name="lb_mt">Factors!$C$6</definedName>
    <definedName name="Liters_to_gallon">Factors!$C$24</definedName>
    <definedName name="mcf_scf">Factors!$C$11</definedName>
    <definedName name="mob_AddFlag">'Mobile-Entry'!$A$18</definedName>
    <definedName name="mob_entry_dept">'Mobile-Entry'!$D$18</definedName>
    <definedName name="mob_entry_description">'Mobile-Entry'!$C$18</definedName>
    <definedName name="mob_entry_fuel">'Mobile-Entry'!$E$22</definedName>
    <definedName name="mob_entry_fuelconsumption">'Mobile-Entry'!$C$27</definedName>
    <definedName name="mob_entry_ID">'Mobile-Entry'!$B$18</definedName>
    <definedName name="mob_entry_vehmodel">'Mobile-Entry'!$D$22</definedName>
    <definedName name="mob_entry_vehtype">'Mobile-Entry'!$C$22</definedName>
    <definedName name="mob_entry_vehyear">'Mobile-Entry'!$B$22</definedName>
    <definedName name="mob_entry_vmt">'Mobile-Entry'!$C$28</definedName>
    <definedName name="mob_EntryRow">'Background Controls'!$B$11</definedName>
    <definedName name="mob_fuel_CO2_efs">Factors!$A$188:$E$201</definedName>
    <definedName name="mob_FuelList">OFFSET('Background Controls'!$B$43,0,0,'Background Controls'!$C$42,1)</definedName>
    <definedName name="mob_MaxID">'Background Controls'!$B$13</definedName>
    <definedName name="mob_MinID">'Background Controls'!$B$12</definedName>
    <definedName name="mob_nonCO2_current_dept">'Mobile-Detail Calcs'!$C$162</definedName>
    <definedName name="mob_nonCO2_nonhwy">'Detail Type Data'!$C$137:$C$156</definedName>
    <definedName name="mob_nonCO2_outputs">'Mobile-Detail Calcs'!$C$251:$D$271</definedName>
    <definedName name="mob_nonCO2byType">'Detail Type Data'!$P$93:$AI$117</definedName>
    <definedName name="mob_nonHwy_emissionsIY">'Detail Type Data'!$I$126</definedName>
    <definedName name="mob_onroad_baseline">'Detail Type Data'!$I$129</definedName>
    <definedName name="mob_reminder">'Mobile-Entry'!$H$33</definedName>
    <definedName name="mob_summ_chart">'Mobile-Summary'!$S$61</definedName>
    <definedName name="mob_temp_nonCO2byType">'Detail Type Data'!$J$93:$N$117</definedName>
    <definedName name="mob_temp_nonHwy">'Mobile-Detail Calcs'!$E$246</definedName>
    <definedName name="mob_tempCH4">'Mobile-Detail Calcs'!$C$247</definedName>
    <definedName name="mob_tempN2O">'Mobile-Detail Calcs'!$D$247</definedName>
    <definedName name="mob_VehicleTypes">'Background Controls'!$A$29:$A$38</definedName>
    <definedName name="MobCurrentID">'Mobile-Data'!$A$7</definedName>
    <definedName name="mt_shortton">Factors!$C$18</definedName>
    <definedName name="MTCH4_per_ft3">Factors!$C$17</definedName>
    <definedName name="MyCity">'Control Sheet'!$D$5</definedName>
    <definedName name="MyDepartmentCount">'Control Sheet'!$D$12</definedName>
    <definedName name="MyLFCount">'Solid Waste-Control'!$C$25</definedName>
    <definedName name="MyPopulation">'Control Sheet'!$D$7</definedName>
    <definedName name="MyYear">'Control Sheet'!$D$6</definedName>
    <definedName name="N2O_CO2e">Factors!$C$21</definedName>
    <definedName name="N2O_N2ON">Factors!$C$370</definedName>
    <definedName name="office_percent">'Detail Type Data'!$D$49</definedName>
    <definedName name="Oil_barrel_to_gallon">Factors!$C$22</definedName>
    <definedName name="perday_peryr">Factors!$C$13</definedName>
    <definedName name="PPA_for_residential">'Electricity-Entry'!$C$10</definedName>
    <definedName name="Residential_A">'Electricity-Data'!#REF!</definedName>
    <definedName name="scf_mcf">Factors!$C$10</definedName>
    <definedName name="scope_list">'Background Controls'!$S$5:$S$7</definedName>
    <definedName name="stat_AddFlag">'Stationary-Entry'!$A$9</definedName>
    <definedName name="stat_calcs_CH4_deptFT">'Stationary-Calcs'!$B$227:$S$248</definedName>
    <definedName name="stat_calcs_CH4byFuel">'Stationary-Calcs'!$B$138:$I$153</definedName>
    <definedName name="stat_calcs_CO2_deptFT">'Stationary-Calcs'!$B$203:$S$224</definedName>
    <definedName name="stat_calcs_CO2byFuel">'Stationary-Calcs'!$B$118:$I$133</definedName>
    <definedName name="stat_calcs_consump_deptFT">'Stationary-Calcs'!$B$177:$U$197</definedName>
    <definedName name="stat_calcs_DeptChart">'Stationary-Calcs'!$X$49</definedName>
    <definedName name="stat_calcs_E_deptFT">'Stationary-Calcs'!$B$276:$S$297</definedName>
    <definedName name="stat_calcs_FTChart">'Stationary-Calcs'!$X$96</definedName>
    <definedName name="stat_calcs_N2O_deptFT">'Stationary-Calcs'!$B$251:$S$272</definedName>
    <definedName name="stat_calcs_N2ObyFuel">'Stationary-Calcs'!$B$158:$I$173</definedName>
    <definedName name="stat_calcs_table1">'Stationary-Calcs'!$B$21</definedName>
    <definedName name="stat_calcs_table10">'Stationary-Calcs'!$A$226</definedName>
    <definedName name="stat_calcs_table11">'Stationary-Calcs'!$A$250</definedName>
    <definedName name="stat_calcs_table12">'Stationary-Calcs'!$A$274</definedName>
    <definedName name="stat_calcs_table2">'Stationary-Calcs'!$B$73</definedName>
    <definedName name="stat_calcs_table3">'Stationary-Calcs'!$I$21</definedName>
    <definedName name="stat_calcs_table4">'Stationary-Calcs'!$I$73</definedName>
    <definedName name="stat_calcs_table5">'Stationary-Calcs'!$A$115</definedName>
    <definedName name="stat_calcs_table6">'Stationary-Calcs'!$A$135</definedName>
    <definedName name="stat_calcs_table7">'Stationary-Calcs'!$A$155</definedName>
    <definedName name="stat_calcs_table8">'Stationary-Calcs'!$A$175</definedName>
    <definedName name="stat_calcs_table9">'Stationary-Calcs'!$A$202</definedName>
    <definedName name="stat_calcs_totalCO2e">'Stationary-Calcs'!$F$43</definedName>
    <definedName name="stat_calcs_totalMMBtu">'Stationary-Calcs'!$M$43</definedName>
    <definedName name="stat_CurrentID">'Stationary-Data'!$A$7</definedName>
    <definedName name="stat_data_bldgtype">'Stationary-Data'!$G$9:$G$1048576</definedName>
    <definedName name="stat_data_consump">'Stationary-Data'!$E$9:$E$1048576</definedName>
    <definedName name="stat_data_dept">'Stationary-Data'!$C$9:$C$1048576</definedName>
    <definedName name="stat_data_FuelType">'Stationary-Data'!$D$9:$D$1048576</definedName>
    <definedName name="stat_entry_bldgtype">'Stationary-Entry'!$D$9</definedName>
    <definedName name="stat_entry_consumption">'Stationary-Entry'!$C$15</definedName>
    <definedName name="stat_entry_dept">'Stationary-Entry'!$E$9</definedName>
    <definedName name="stat_entry_description">'Stationary-Entry'!$C$9</definedName>
    <definedName name="stat_entry_fuel">'Stationary-Entry'!$B$15</definedName>
    <definedName name="stat_entry_ID">'Stationary-Entry'!$B$9</definedName>
    <definedName name="stat_EntryRow">'Background Controls'!$B$20</definedName>
    <definedName name="stat_factors">Factors!$B$30:$G$45</definedName>
    <definedName name="stat_FuelsList">'Background Controls'!$N$5:$N$20</definedName>
    <definedName name="stat_MaxID">'Background Controls'!$B$22</definedName>
    <definedName name="stat_MinID">'Background Controls'!$B$21</definedName>
    <definedName name="summary_emissions_elec" localSheetId="31">'Summary-Emissions'!$I$18</definedName>
    <definedName name="summary_emissions_mob" localSheetId="31">'Summary-Emissions'!$I$15</definedName>
    <definedName name="summary_emissions_stat" localSheetId="31">'Summary-Emissions'!$I$14</definedName>
    <definedName name="summary_emissions_SW" localSheetId="31">'Summary-Emissions'!$I$16</definedName>
    <definedName name="summary_emissions_water" localSheetId="31">'Summary-Emissions'!$I$20</definedName>
    <definedName name="summary_emissions_wwt" localSheetId="31">'Summary-Emissions'!$I$17</definedName>
    <definedName name="SW_anyComp">'Solid Waste-Control'!$N$31</definedName>
    <definedName name="SW_anyNo">'Solid Waste-Control'!$N$30</definedName>
    <definedName name="SW_anyPart">'Solid Waste-Control'!$N$32</definedName>
    <definedName name="SW_anyYes">'Solid Waste-Control'!$N$29</definedName>
    <definedName name="SW_control_YN">'Solid Waste-Control'!$A$10</definedName>
    <definedName name="sw_department">'Solid Waste-Control'!$C$21</definedName>
    <definedName name="SW_entry_compCollecteff">'Solid Waste-Entry'!$F$44:$F$53</definedName>
    <definedName name="SW_entry_compF">'Solid Waste-Entry'!$D$44:$D$53</definedName>
    <definedName name="SW_entry_compUseDef">'Solid Waste-Entry'!$Q$43</definedName>
    <definedName name="SW_entry_compusedef2">'Solid Waste-Entry'!$Q$44</definedName>
    <definedName name="SW_entry_partCollectEff">'Solid Waste-Entry'!$F$63:$F$72</definedName>
    <definedName name="SW_entry_partF">'Solid Waste-Entry'!$D$63:$D$72</definedName>
    <definedName name="SW_entry_partUseDef">'Solid Waste-Entry'!$Q$62</definedName>
    <definedName name="SW_entry_partUseDef2">'Solid Waste-Entry'!$Q$63</definedName>
    <definedName name="SW_factors_DE">'Solid Waste-Entry'!$E$44</definedName>
    <definedName name="SW_factors_MMSCFtoCH4">'Solid Waste-Entry'!$H$44</definedName>
    <definedName name="SW_factors_OF">'Solid Waste-Entry'!$G$44</definedName>
    <definedName name="SW_LF10name">'Solid Waste-Control'!$C$37</definedName>
    <definedName name="SW_LF10q1">'Solid Waste-Control'!$E$37</definedName>
    <definedName name="SW_LF10q2">'Solid Waste-Control'!$G$37</definedName>
    <definedName name="SW_LF1name">'Solid Waste-Control'!$C$28</definedName>
    <definedName name="SW_LF1q1">'Solid Waste-Control'!$E$28</definedName>
    <definedName name="SW_LF1q2">'Solid Waste-Control'!$G$28</definedName>
    <definedName name="SW_LF2name">'Solid Waste-Control'!$C$29</definedName>
    <definedName name="SW_LF2q1">'Solid Waste-Control'!$E$29</definedName>
    <definedName name="SW_LF2q2">'Solid Waste-Control'!$G$29</definedName>
    <definedName name="SW_LF3name">'Solid Waste-Control'!$C$30</definedName>
    <definedName name="SW_LF3q1">'Solid Waste-Control'!$E$30</definedName>
    <definedName name="SW_LF3q2">'Solid Waste-Control'!$G$30</definedName>
    <definedName name="SW_LF4name">'Solid Waste-Control'!$C$31</definedName>
    <definedName name="SW_LF4q1">'Solid Waste-Control'!$E$31</definedName>
    <definedName name="SW_LF4q2">'Solid Waste-Control'!$G$31</definedName>
    <definedName name="SW_LF5name">'Solid Waste-Control'!$C$32</definedName>
    <definedName name="SW_LF5q1">'Solid Waste-Control'!$E$32</definedName>
    <definedName name="SW_LF5q2">'Solid Waste-Control'!$G$32</definedName>
    <definedName name="SW_LF6name">'Solid Waste-Control'!$C$33</definedName>
    <definedName name="SW_LF6q1">'Solid Waste-Control'!$E$33</definedName>
    <definedName name="SW_LF6q2">'Solid Waste-Control'!$G$33</definedName>
    <definedName name="SW_LF7name">'Solid Waste-Control'!$C$34</definedName>
    <definedName name="SW_LF7q1">'Solid Waste-Control'!$E$34</definedName>
    <definedName name="SW_LF7q2">'Solid Waste-Control'!$G$34</definedName>
    <definedName name="SW_LF8name">'Solid Waste-Control'!$C$35</definedName>
    <definedName name="SW_LF8q1">'Solid Waste-Control'!$E$35</definedName>
    <definedName name="SW_LF8q2">'Solid Waste-Control'!$G$35</definedName>
    <definedName name="SW_LF9name">'Solid Waste-Control'!$C$36</definedName>
    <definedName name="SW_LF9q1">'Solid Waste-Control'!$E$36</definedName>
    <definedName name="SW_LF9q2">'Solid Waste-Control'!$G$36</definedName>
    <definedName name="ToolName">'Background Controls'!$B$4</definedName>
    <definedName name="utilities_list">OFFSET('Background Controls'!$B$62,0,0,'Background Controls'!$C$61+1,1)</definedName>
    <definedName name="Variable_Carbon_Coefficients">Factors!$A$61:$AK$71</definedName>
    <definedName name="Variable_Carbon_Content">Factors!$A$67:$AK$78</definedName>
    <definedName name="Variable_Heat_Content">Factors!$A$77:$AK$80</definedName>
    <definedName name="water_DeptChart">Water!$R$78</definedName>
    <definedName name="water_entry">Water!$B$27:$D$47</definedName>
    <definedName name="water_factors_elec">Factors!$A$352:$AA$355</definedName>
    <definedName name="water_factors_intensity">Factors!$A$342:$C$346</definedName>
    <definedName name="water_list">'Background Controls'!$P$5:$P$8</definedName>
    <definedName name="water_SourceChart">Water!$R$103</definedName>
    <definedName name="wwt_calcs_Peff_aerobic">'Wastewater- Calcs'!$H$77</definedName>
    <definedName name="wwt_calcs_Peff_anaerobic">'Wastewater- Calcs'!$H$76</definedName>
    <definedName name="wwt_calcs_Peff_nit">'Wastewater- Calcs'!$H$78</definedName>
    <definedName name="wwt_calcs_Peff_noNit">'Wastewater- Calcs'!$H$79</definedName>
    <definedName name="wwt_control_q10">'Wastewater-Control'!$S$19</definedName>
    <definedName name="wwt_control_q2">'Wastewater-Control'!$S$11</definedName>
    <definedName name="wwt_control_q3">'Wastewater-Control'!$S$12</definedName>
    <definedName name="wwt_control_q4">'Wastewater-Control'!$S$13</definedName>
    <definedName name="wwt_control_q5">'Wastewater-Control'!$S$14</definedName>
    <definedName name="wwt_control_q6">'Wastewater-Control'!$S$15</definedName>
    <definedName name="wwt_control_q7">'Wastewater-Control'!$S$16</definedName>
    <definedName name="wwt_control_q8">'Wastewater-Control'!$S$17</definedName>
    <definedName name="wwt_control_q9">'Wastewater-Control'!$S$18</definedName>
    <definedName name="wwt_department">'Wastewater-Control'!$C$7</definedName>
    <definedName name="wwt_entry_biogas">'Wastewater-Entry'!$B$29</definedName>
    <definedName name="wwt_entry_biogasCH4">'Wastewater-Entry'!$B$32</definedName>
    <definedName name="wwt_entry_BODinput">'Wastewater-Entry'!$B$35</definedName>
    <definedName name="wwt_entry_BODremoved">'Wastewater-Entry'!$B$38</definedName>
    <definedName name="wwt_entry_indusNload">'Wastewater-Entry'!$B$41</definedName>
    <definedName name="wwt_entry_Neffluent">'Wastewater-Entry'!$B$44</definedName>
    <definedName name="wwt_entry_popAerobic">'Wastewater-Entry'!$B$21</definedName>
    <definedName name="wwt_entry_popAnaerobic">'Wastewater-Entry'!$B$18</definedName>
    <definedName name="wwt_entry_popNit">'Wastewater-Entry'!$B$12</definedName>
    <definedName name="wwt_entry_popNoNit">'Wastewater-Entry'!$B$15</definedName>
    <definedName name="wwt_entry_popSeptic">'Wastewater-Entry'!$B$24</definedName>
    <definedName name="wwt_factor_CH4density">Factors!$C$296</definedName>
    <definedName name="wwt_factors_anaerobicCF">Factors!$C$301</definedName>
    <definedName name="wwt_factors_biogas_def">Factors!$C$298</definedName>
    <definedName name="wwt_factors_BOD5load_def">Factors!$C$305</definedName>
    <definedName name="wwt_factors_DE">Factors!$C$297</definedName>
    <definedName name="wwt_factors_EFeff">Factors!$C$308</definedName>
    <definedName name="wwt_factors_EFnitdenit">Factors!$C$306</definedName>
    <definedName name="wwt_factors_EFnoNit">Factors!$C$307</definedName>
    <definedName name="wwt_factors_FCH4_def">Factors!$C$299</definedName>
    <definedName name="wwt_factors_FInd">Factors!$C$302</definedName>
    <definedName name="wwt_factors_Fp_def">Factors!$C$303</definedName>
    <definedName name="wwt_factors_MaxCapacity">Factors!$C$300</definedName>
    <definedName name="wwt_factors_N2O_N2">Factors!$C$309</definedName>
    <definedName name="wwt_factors_nitdenit_def">Factors!$C$313</definedName>
    <definedName name="wwt_factors_NloadTot">Factors!$C$310</definedName>
    <definedName name="wwt_factors_nonitdenit_def">Factors!$C$314</definedName>
    <definedName name="wwt_factors_NupAerobic">Factors!$C$311</definedName>
    <definedName name="wwt_factors_NupAnaerobic">Factors!$C$312</definedName>
    <definedName name="wwt_factors_septicCF">Factors!$C$304</definedName>
    <definedName name="yes_no">'Background Controls'!$R$5:$R$6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 i="4" l="1"/>
  <c r="C31" i="4" s="1"/>
  <c r="F32" i="4"/>
  <c r="D32" i="4" s="1"/>
  <c r="D33" i="4"/>
  <c r="E33" i="4"/>
  <c r="D35" i="4"/>
  <c r="E35" i="4"/>
  <c r="D36" i="4"/>
  <c r="E36" i="4"/>
  <c r="D37" i="4"/>
  <c r="E37" i="4"/>
  <c r="C38" i="4"/>
  <c r="D38" i="4"/>
  <c r="E38" i="4"/>
  <c r="F39" i="4"/>
  <c r="F40" i="4"/>
  <c r="D41" i="4"/>
  <c r="F41" i="4"/>
  <c r="E41" i="4" s="1"/>
  <c r="F42" i="4"/>
  <c r="F43" i="4"/>
  <c r="D45" i="4"/>
  <c r="E45" i="4"/>
  <c r="E43" i="4" l="1"/>
  <c r="E40" i="4"/>
  <c r="D43" i="4"/>
  <c r="D40" i="4"/>
  <c r="E32" i="4"/>
  <c r="E42" i="4"/>
  <c r="E39" i="4"/>
  <c r="E31" i="4"/>
  <c r="D42" i="4"/>
  <c r="D39" i="4"/>
  <c r="D31" i="4"/>
  <c r="B10" i="54" l="1"/>
  <c r="B353" i="4"/>
  <c r="C21" i="14"/>
  <c r="N3" i="55"/>
  <c r="G64" i="15"/>
  <c r="G65" i="15"/>
  <c r="G66" i="15"/>
  <c r="G67" i="15"/>
  <c r="G68" i="15"/>
  <c r="G69" i="15"/>
  <c r="G70" i="15"/>
  <c r="G71" i="15"/>
  <c r="G72" i="15"/>
  <c r="G63" i="15"/>
  <c r="P255" i="4"/>
  <c r="O257" i="4"/>
  <c r="N255" i="4"/>
  <c r="M255" i="4"/>
  <c r="L258" i="4"/>
  <c r="K255" i="4"/>
  <c r="H256" i="4"/>
  <c r="G254" i="4"/>
  <c r="F255" i="4"/>
  <c r="E257" i="4"/>
  <c r="D255" i="4"/>
  <c r="C255" i="4"/>
  <c r="O209" i="37" l="1"/>
  <c r="P209" i="37"/>
  <c r="N209" i="37"/>
  <c r="M209" i="37"/>
  <c r="L209" i="37"/>
  <c r="Y209" i="37"/>
  <c r="U209" i="37"/>
  <c r="Z209" i="37"/>
  <c r="X209" i="37"/>
  <c r="Q209" i="37"/>
  <c r="W209" i="37"/>
  <c r="V209" i="37"/>
  <c r="D254" i="4"/>
  <c r="E256" i="4"/>
  <c r="G258" i="4"/>
  <c r="H255" i="4"/>
  <c r="L257" i="4"/>
  <c r="N254" i="4"/>
  <c r="O256" i="4"/>
  <c r="D258" i="4"/>
  <c r="E255" i="4"/>
  <c r="G257" i="4"/>
  <c r="K254" i="4"/>
  <c r="L256" i="4"/>
  <c r="N258" i="4"/>
  <c r="O255" i="4"/>
  <c r="D257" i="4"/>
  <c r="F254" i="4"/>
  <c r="G256" i="4"/>
  <c r="K258" i="4"/>
  <c r="L255" i="4"/>
  <c r="N257" i="4"/>
  <c r="P254" i="4"/>
  <c r="C254" i="4"/>
  <c r="D256" i="4"/>
  <c r="F258" i="4"/>
  <c r="G255" i="4"/>
  <c r="K257" i="4"/>
  <c r="M254" i="4"/>
  <c r="N256" i="4"/>
  <c r="P258" i="4"/>
  <c r="C258" i="4"/>
  <c r="F257" i="4"/>
  <c r="H254" i="4"/>
  <c r="K256" i="4"/>
  <c r="M258" i="4"/>
  <c r="P257" i="4"/>
  <c r="C257" i="4"/>
  <c r="E254" i="4"/>
  <c r="F256" i="4"/>
  <c r="H258" i="4"/>
  <c r="M257" i="4"/>
  <c r="O254" i="4"/>
  <c r="P256" i="4"/>
  <c r="C256" i="4"/>
  <c r="E258" i="4"/>
  <c r="H257" i="4"/>
  <c r="L254" i="4"/>
  <c r="M256" i="4"/>
  <c r="O258" i="4"/>
  <c r="L129" i="55"/>
  <c r="L131" i="55"/>
  <c r="L132" i="55"/>
  <c r="L133" i="55"/>
  <c r="L134" i="55"/>
  <c r="L135" i="55"/>
  <c r="L136" i="55"/>
  <c r="L137" i="55"/>
  <c r="L138" i="55"/>
  <c r="L139" i="55"/>
  <c r="L140" i="55"/>
  <c r="L141" i="55"/>
  <c r="L142" i="55"/>
  <c r="L143" i="55"/>
  <c r="L144" i="55"/>
  <c r="L145" i="55"/>
  <c r="L146" i="55"/>
  <c r="L147" i="55"/>
  <c r="D209" i="37"/>
  <c r="E209" i="37"/>
  <c r="F209" i="37"/>
  <c r="G209" i="37"/>
  <c r="H209" i="37"/>
  <c r="C209" i="37"/>
  <c r="AA209" i="37" l="1"/>
  <c r="R209" i="37"/>
  <c r="F52" i="4" l="1"/>
  <c r="E50" i="4"/>
  <c r="D50" i="4"/>
  <c r="E56" i="4"/>
  <c r="E55" i="4"/>
  <c r="E54" i="4"/>
  <c r="D56" i="4"/>
  <c r="D55" i="4"/>
  <c r="D54" i="4"/>
  <c r="C172" i="7" l="1"/>
  <c r="P29" i="4" l="1"/>
  <c r="J85" i="7"/>
  <c r="J86" i="7"/>
  <c r="J87" i="7"/>
  <c r="J88" i="7"/>
  <c r="C148" i="7"/>
  <c r="H148" i="7"/>
  <c r="C149" i="7"/>
  <c r="H149" i="7"/>
  <c r="C150" i="7"/>
  <c r="H150" i="7"/>
  <c r="C128" i="7"/>
  <c r="C129" i="7"/>
  <c r="C130" i="7"/>
  <c r="C127" i="7"/>
  <c r="H147" i="7"/>
  <c r="H151" i="7"/>
  <c r="H152" i="7"/>
  <c r="E153" i="7"/>
  <c r="H153" i="7"/>
  <c r="C168" i="7"/>
  <c r="H168" i="7"/>
  <c r="C169" i="7"/>
  <c r="H169" i="7"/>
  <c r="C170" i="7"/>
  <c r="H170" i="7"/>
  <c r="M177" i="7"/>
  <c r="M203" i="7" s="1"/>
  <c r="F50" i="4" l="1"/>
  <c r="F30" i="4" s="1"/>
  <c r="C37" i="4"/>
  <c r="F44" i="4"/>
  <c r="C44" i="4" s="1"/>
  <c r="C33" i="4"/>
  <c r="F34" i="4"/>
  <c r="E148" i="7"/>
  <c r="E169" i="7"/>
  <c r="E150" i="7"/>
  <c r="E53" i="4"/>
  <c r="D53" i="4"/>
  <c r="E147" i="7" s="1"/>
  <c r="AI62" i="4"/>
  <c r="AJ62" i="4" s="1"/>
  <c r="AK62" i="4" s="1"/>
  <c r="AI63" i="4"/>
  <c r="AJ63" i="4" s="1"/>
  <c r="AK63" i="4" s="1"/>
  <c r="AI64" i="4"/>
  <c r="AJ64" i="4" s="1"/>
  <c r="AK64" i="4" s="1"/>
  <c r="AI65" i="4"/>
  <c r="AJ65" i="4" s="1"/>
  <c r="AK65" i="4" s="1"/>
  <c r="C34" i="4" l="1"/>
  <c r="E34" i="4"/>
  <c r="D34" i="4"/>
  <c r="E44" i="4"/>
  <c r="D44" i="4"/>
  <c r="E30" i="4"/>
  <c r="D30" i="4"/>
  <c r="E149" i="7"/>
  <c r="E168" i="7"/>
  <c r="E170" i="7"/>
  <c r="J89" i="7"/>
  <c r="J90" i="7"/>
  <c r="C173" i="7"/>
  <c r="H172" i="7"/>
  <c r="H173" i="7"/>
  <c r="C152" i="7"/>
  <c r="C153" i="7"/>
  <c r="B133" i="7"/>
  <c r="E133" i="7" s="1"/>
  <c r="B132" i="7"/>
  <c r="C132" i="7" s="1"/>
  <c r="C133" i="7" l="1"/>
  <c r="E52" i="4"/>
  <c r="D52" i="4"/>
  <c r="E173" i="7"/>
  <c r="AI78" i="4"/>
  <c r="AJ78" i="4" s="1"/>
  <c r="AK78" i="4" s="1"/>
  <c r="AI79" i="4"/>
  <c r="AJ79" i="4" s="1"/>
  <c r="AK79" i="4" s="1"/>
  <c r="AI80" i="4"/>
  <c r="AJ80" i="4" s="1"/>
  <c r="AK80" i="4" s="1"/>
  <c r="AI66" i="4"/>
  <c r="AJ66" i="4" s="1"/>
  <c r="AK66" i="4" s="1"/>
  <c r="AI67" i="4"/>
  <c r="AJ67" i="4" s="1"/>
  <c r="AK67" i="4" s="1"/>
  <c r="AI68" i="4"/>
  <c r="AJ68" i="4" s="1"/>
  <c r="AK68" i="4" s="1"/>
  <c r="AI69" i="4"/>
  <c r="AJ69" i="4" s="1"/>
  <c r="AK69" i="4" s="1"/>
  <c r="AI70" i="4"/>
  <c r="AJ70" i="4" s="1"/>
  <c r="AK70" i="4" s="1"/>
  <c r="AI71" i="4"/>
  <c r="AJ71" i="4" s="1"/>
  <c r="AK71" i="4" s="1"/>
  <c r="E151" i="7" l="1"/>
  <c r="C24" i="4" l="1"/>
  <c r="C23" i="4"/>
  <c r="C157" i="44"/>
  <c r="D131" i="44"/>
  <c r="D130" i="44"/>
  <c r="D129" i="44"/>
  <c r="AJ117" i="44"/>
  <c r="G117" i="44" s="1"/>
  <c r="D117" i="44"/>
  <c r="AJ116" i="44"/>
  <c r="G116" i="44" s="1"/>
  <c r="D116" i="44"/>
  <c r="AJ115" i="44"/>
  <c r="G115" i="44" s="1"/>
  <c r="D115" i="44"/>
  <c r="AJ114" i="44"/>
  <c r="G114" i="44" s="1"/>
  <c r="D114" i="44"/>
  <c r="AJ113" i="44"/>
  <c r="G113" i="44" s="1"/>
  <c r="N113" i="44"/>
  <c r="D113" i="44"/>
  <c r="AJ112" i="44"/>
  <c r="G112" i="44" s="1"/>
  <c r="N112" i="44"/>
  <c r="D112" i="44"/>
  <c r="AJ111" i="44"/>
  <c r="G111" i="44" s="1"/>
  <c r="D111" i="44"/>
  <c r="AJ110" i="44"/>
  <c r="G110" i="44" s="1"/>
  <c r="D110" i="44"/>
  <c r="AJ109" i="44"/>
  <c r="G109" i="44" s="1"/>
  <c r="D109" i="44"/>
  <c r="AJ108" i="44"/>
  <c r="G108" i="44" s="1"/>
  <c r="D108" i="44"/>
  <c r="AJ107" i="44"/>
  <c r="G107" i="44" s="1"/>
  <c r="D107" i="44"/>
  <c r="AJ106" i="44"/>
  <c r="G106" i="44" s="1"/>
  <c r="D106" i="44"/>
  <c r="AJ105" i="44"/>
  <c r="G105" i="44" s="1"/>
  <c r="D105" i="44"/>
  <c r="AJ104" i="44"/>
  <c r="G104" i="44" s="1"/>
  <c r="D104" i="44"/>
  <c r="AJ103" i="44"/>
  <c r="G103" i="44" s="1"/>
  <c r="D103" i="44"/>
  <c r="AJ102" i="44"/>
  <c r="G102" i="44" s="1"/>
  <c r="D102" i="44"/>
  <c r="AJ101" i="44"/>
  <c r="G101" i="44" s="1"/>
  <c r="D101" i="44"/>
  <c r="AJ100" i="44"/>
  <c r="G100" i="44" s="1"/>
  <c r="D100" i="44"/>
  <c r="AJ99" i="44"/>
  <c r="G99" i="44" s="1"/>
  <c r="D99" i="44"/>
  <c r="AJ98" i="44"/>
  <c r="G98" i="44" s="1"/>
  <c r="D98" i="44"/>
  <c r="AJ97" i="44"/>
  <c r="G97" i="44" s="1"/>
  <c r="D97" i="44"/>
  <c r="AJ96" i="44"/>
  <c r="G96" i="44" s="1"/>
  <c r="D96" i="44"/>
  <c r="AJ95" i="44"/>
  <c r="G95" i="44" s="1"/>
  <c r="D95" i="44"/>
  <c r="AJ94" i="44"/>
  <c r="G94" i="44" s="1"/>
  <c r="D94" i="44"/>
  <c r="J91" i="44"/>
  <c r="C86" i="44"/>
  <c r="B86" i="44"/>
  <c r="C85" i="44"/>
  <c r="B85" i="44"/>
  <c r="C84" i="44"/>
  <c r="B84" i="44"/>
  <c r="C83" i="44"/>
  <c r="B83" i="44"/>
  <c r="C82" i="44"/>
  <c r="B82" i="44"/>
  <c r="C81" i="44"/>
  <c r="B81" i="44"/>
  <c r="C80" i="44"/>
  <c r="B80" i="44"/>
  <c r="C79" i="44"/>
  <c r="B79" i="44"/>
  <c r="C78" i="44"/>
  <c r="B78" i="44"/>
  <c r="C77" i="44"/>
  <c r="B77" i="44"/>
  <c r="C76" i="44"/>
  <c r="B76" i="44"/>
  <c r="C75" i="44"/>
  <c r="B75" i="44"/>
  <c r="C74" i="44"/>
  <c r="B74" i="44"/>
  <c r="C73" i="44"/>
  <c r="B73" i="44"/>
  <c r="C72" i="44"/>
  <c r="B72" i="44"/>
  <c r="C71" i="44"/>
  <c r="B71" i="44"/>
  <c r="C70" i="44"/>
  <c r="B70" i="44"/>
  <c r="C69" i="44"/>
  <c r="B69" i="44"/>
  <c r="C68" i="44"/>
  <c r="B68" i="44"/>
  <c r="C67" i="44"/>
  <c r="B67" i="44"/>
  <c r="C66" i="44"/>
  <c r="B66" i="44"/>
  <c r="C65" i="44"/>
  <c r="B65" i="44"/>
  <c r="C64" i="44"/>
  <c r="B64" i="44"/>
  <c r="C63" i="44"/>
  <c r="B63" i="44"/>
  <c r="C62" i="44"/>
  <c r="B62" i="44"/>
  <c r="C61" i="44"/>
  <c r="B61" i="44"/>
  <c r="C60" i="44"/>
  <c r="B60" i="44"/>
  <c r="C59" i="44"/>
  <c r="B59" i="44"/>
  <c r="C58" i="44"/>
  <c r="B58" i="44"/>
  <c r="C57" i="44"/>
  <c r="B57" i="44"/>
  <c r="C56" i="44"/>
  <c r="B56" i="44"/>
  <c r="C55" i="44"/>
  <c r="B55" i="44"/>
  <c r="C54" i="44"/>
  <c r="B54" i="44"/>
  <c r="C53" i="44"/>
  <c r="B53" i="44"/>
  <c r="C52" i="44"/>
  <c r="B52" i="44"/>
  <c r="C51" i="44"/>
  <c r="B51" i="44"/>
  <c r="C50" i="44"/>
  <c r="B50" i="44"/>
  <c r="C49" i="44"/>
  <c r="B49"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L4" i="44"/>
  <c r="L55" i="44" s="1"/>
  <c r="K4" i="44"/>
  <c r="K55" i="44" s="1"/>
  <c r="J4" i="44"/>
  <c r="J73" i="44" s="1"/>
  <c r="I4" i="44"/>
  <c r="I73" i="44" s="1"/>
  <c r="H4" i="44"/>
  <c r="H42" i="44" s="1"/>
  <c r="G4" i="44"/>
  <c r="G26" i="44" s="1"/>
  <c r="F4" i="44"/>
  <c r="F26" i="44" s="1"/>
  <c r="D4" i="44"/>
  <c r="D53" i="44" s="1"/>
  <c r="L45" i="43"/>
  <c r="L44" i="43"/>
  <c r="L43" i="43"/>
  <c r="L42" i="43"/>
  <c r="L41" i="43"/>
  <c r="L40" i="43"/>
  <c r="L39" i="43"/>
  <c r="L38" i="43"/>
  <c r="L37" i="43"/>
  <c r="L36" i="43"/>
  <c r="L35" i="43"/>
  <c r="L34" i="43"/>
  <c r="L33" i="43"/>
  <c r="B78" i="33"/>
  <c r="B77" i="33"/>
  <c r="B76" i="33"/>
  <c r="B75" i="33"/>
  <c r="B74" i="33"/>
  <c r="D73" i="33" a="1"/>
  <c r="D73" i="33" s="1"/>
  <c r="B73" i="33" s="1"/>
  <c r="B62" i="33"/>
  <c r="F59" i="33"/>
  <c r="E59" i="33"/>
  <c r="D59" i="33"/>
  <c r="C59" i="33"/>
  <c r="B59" i="33"/>
  <c r="C61" i="33" s="1"/>
  <c r="F58" i="33"/>
  <c r="E58" i="33"/>
  <c r="D58" i="33"/>
  <c r="C58" i="33"/>
  <c r="B58" i="33"/>
  <c r="A28" i="33"/>
  <c r="I28" i="33" s="1"/>
  <c r="I24" i="33"/>
  <c r="B156" i="44" s="1"/>
  <c r="I23" i="33"/>
  <c r="B155" i="44" s="1"/>
  <c r="I22" i="33"/>
  <c r="B154" i="44" s="1"/>
  <c r="I21" i="33"/>
  <c r="B153" i="44" s="1"/>
  <c r="B21" i="33"/>
  <c r="I20" i="33"/>
  <c r="AE93" i="44" s="1"/>
  <c r="B20" i="33"/>
  <c r="B22" i="33" s="1"/>
  <c r="I19" i="33"/>
  <c r="B151" i="44" s="1"/>
  <c r="I18" i="33"/>
  <c r="B150" i="44" s="1"/>
  <c r="B18" i="33"/>
  <c r="G44" i="3" s="1"/>
  <c r="U17" i="33"/>
  <c r="I17" i="33"/>
  <c r="B149" i="44" s="1"/>
  <c r="I16" i="33"/>
  <c r="B148" i="44" s="1"/>
  <c r="B16" i="33"/>
  <c r="I15" i="33"/>
  <c r="B147" i="44" s="1"/>
  <c r="B15" i="33"/>
  <c r="B17" i="33" s="1"/>
  <c r="J14" i="33"/>
  <c r="I14" i="33"/>
  <c r="B146" i="44" s="1"/>
  <c r="J13" i="33"/>
  <c r="I13" i="33"/>
  <c r="B145" i="44" s="1"/>
  <c r="J12" i="33"/>
  <c r="I12" i="33"/>
  <c r="W93" i="44" s="1"/>
  <c r="B12" i="33"/>
  <c r="J11" i="33"/>
  <c r="I11" i="33"/>
  <c r="B143" i="44" s="1"/>
  <c r="B11" i="33"/>
  <c r="B13" i="33" s="1"/>
  <c r="J10" i="33"/>
  <c r="I10" i="33"/>
  <c r="B142" i="44" s="1"/>
  <c r="J9" i="33"/>
  <c r="I9" i="33"/>
  <c r="B141" i="44" s="1"/>
  <c r="J8" i="33"/>
  <c r="I8" i="33"/>
  <c r="B140" i="44" s="1"/>
  <c r="J7" i="33"/>
  <c r="I7" i="33"/>
  <c r="B139" i="44" s="1"/>
  <c r="J6" i="33"/>
  <c r="I6" i="33"/>
  <c r="B138" i="44" s="1"/>
  <c r="J5" i="33"/>
  <c r="I5" i="33"/>
  <c r="B137" i="44" s="1"/>
  <c r="C370" i="4"/>
  <c r="C54" i="49" s="1"/>
  <c r="U355" i="4"/>
  <c r="T355" i="4"/>
  <c r="R355" i="4"/>
  <c r="F355" i="4"/>
  <c r="U354" i="4"/>
  <c r="T354" i="4"/>
  <c r="R354" i="4"/>
  <c r="F354" i="4"/>
  <c r="U353" i="4"/>
  <c r="T353" i="4"/>
  <c r="R353" i="4"/>
  <c r="P353" i="4"/>
  <c r="N353" i="4"/>
  <c r="L353" i="4"/>
  <c r="K353" i="4"/>
  <c r="I353" i="4"/>
  <c r="G353" i="4"/>
  <c r="F353" i="4"/>
  <c r="A351" i="4"/>
  <c r="J332" i="4"/>
  <c r="K327" i="4" s="1"/>
  <c r="C324" i="4" s="1"/>
  <c r="D138" i="20" s="1"/>
  <c r="C309" i="4"/>
  <c r="H66" i="38" s="1"/>
  <c r="P212" i="4"/>
  <c r="O212" i="4"/>
  <c r="N212" i="4"/>
  <c r="M212" i="4"/>
  <c r="L212" i="4"/>
  <c r="K212" i="4"/>
  <c r="H212" i="4"/>
  <c r="G212" i="4"/>
  <c r="F212" i="4"/>
  <c r="E212" i="4"/>
  <c r="D212" i="4"/>
  <c r="C212" i="4"/>
  <c r="E201" i="4"/>
  <c r="B201" i="4"/>
  <c r="M76" i="37" s="1"/>
  <c r="E200" i="4"/>
  <c r="B200" i="4"/>
  <c r="L76" i="37" s="1"/>
  <c r="E199" i="4"/>
  <c r="B199" i="4"/>
  <c r="K76" i="37" s="1"/>
  <c r="B198" i="4"/>
  <c r="E197" i="4"/>
  <c r="B197" i="4"/>
  <c r="J76" i="37" s="1"/>
  <c r="E196" i="4"/>
  <c r="B196" i="4"/>
  <c r="I76" i="37" s="1"/>
  <c r="B195" i="4"/>
  <c r="H76" i="37" s="1"/>
  <c r="E194" i="4"/>
  <c r="B194" i="4"/>
  <c r="D193" i="4"/>
  <c r="C193" i="4"/>
  <c r="G102" i="37" s="1"/>
  <c r="E192" i="4"/>
  <c r="B192" i="4"/>
  <c r="D191" i="4"/>
  <c r="C191" i="4"/>
  <c r="F102" i="37" s="1"/>
  <c r="D190" i="4"/>
  <c r="C190" i="4"/>
  <c r="E102" i="37" s="1"/>
  <c r="E189" i="4"/>
  <c r="B189" i="4"/>
  <c r="D76" i="37" s="1"/>
  <c r="E188" i="4"/>
  <c r="E195" i="4" s="1"/>
  <c r="B188" i="4"/>
  <c r="C76" i="37" s="1"/>
  <c r="Y176" i="4"/>
  <c r="Z176" i="4" s="1"/>
  <c r="AA176" i="4" s="1"/>
  <c r="AB176" i="4" s="1"/>
  <c r="T176" i="4"/>
  <c r="Q176" i="4"/>
  <c r="O176" i="4"/>
  <c r="M176" i="4"/>
  <c r="L176" i="4"/>
  <c r="J176" i="4"/>
  <c r="H176" i="4"/>
  <c r="F176" i="4"/>
  <c r="E176" i="4" s="1"/>
  <c r="D176" i="4" s="1"/>
  <c r="C176" i="4" s="1"/>
  <c r="Y175" i="4"/>
  <c r="Z175" i="4" s="1"/>
  <c r="AA175" i="4" s="1"/>
  <c r="AB175" i="4" s="1"/>
  <c r="T175" i="4"/>
  <c r="Q175" i="4"/>
  <c r="R175" i="4" s="1"/>
  <c r="O175" i="4"/>
  <c r="M175" i="4"/>
  <c r="L175" i="4"/>
  <c r="J175" i="4"/>
  <c r="H175" i="4"/>
  <c r="F175" i="4"/>
  <c r="E175" i="4" s="1"/>
  <c r="D175" i="4" s="1"/>
  <c r="C175" i="4" s="1"/>
  <c r="Y174" i="4"/>
  <c r="Z174" i="4" s="1"/>
  <c r="AA174" i="4" s="1"/>
  <c r="AB174" i="4" s="1"/>
  <c r="T174" i="4"/>
  <c r="Q174" i="4"/>
  <c r="R174" i="4" s="1"/>
  <c r="O174" i="4"/>
  <c r="M174" i="4"/>
  <c r="L174" i="4"/>
  <c r="J174" i="4"/>
  <c r="H174" i="4"/>
  <c r="F174" i="4"/>
  <c r="E174" i="4" s="1"/>
  <c r="D174" i="4" s="1"/>
  <c r="C174" i="4" s="1"/>
  <c r="Y173" i="4"/>
  <c r="Z173" i="4" s="1"/>
  <c r="AA173" i="4" s="1"/>
  <c r="AB173" i="4" s="1"/>
  <c r="T173" i="4"/>
  <c r="Q173" i="4"/>
  <c r="R173" i="4" s="1"/>
  <c r="O173" i="4"/>
  <c r="M173" i="4"/>
  <c r="L173" i="4"/>
  <c r="J173" i="4"/>
  <c r="H173" i="4"/>
  <c r="F173" i="4"/>
  <c r="E173" i="4" s="1"/>
  <c r="D173" i="4" s="1"/>
  <c r="C173" i="4" s="1"/>
  <c r="Y172" i="4"/>
  <c r="Z172" i="4" s="1"/>
  <c r="AA172" i="4" s="1"/>
  <c r="AB172" i="4" s="1"/>
  <c r="T172" i="4"/>
  <c r="Q172" i="4"/>
  <c r="R172" i="4" s="1"/>
  <c r="O172" i="4"/>
  <c r="M172" i="4"/>
  <c r="L172" i="4"/>
  <c r="J172" i="4"/>
  <c r="H172" i="4"/>
  <c r="F172" i="4"/>
  <c r="E172" i="4" s="1"/>
  <c r="D172" i="4" s="1"/>
  <c r="C172" i="4" s="1"/>
  <c r="Y171" i="4"/>
  <c r="Z171" i="4" s="1"/>
  <c r="AA171" i="4" s="1"/>
  <c r="AB171" i="4" s="1"/>
  <c r="T171" i="4"/>
  <c r="Q171" i="4"/>
  <c r="R171" i="4" s="1"/>
  <c r="O171" i="4"/>
  <c r="M171" i="4"/>
  <c r="L171" i="4"/>
  <c r="J171" i="4"/>
  <c r="H171" i="4"/>
  <c r="F171" i="4"/>
  <c r="E171" i="4" s="1"/>
  <c r="D171" i="4" s="1"/>
  <c r="C171" i="4" s="1"/>
  <c r="Y170" i="4"/>
  <c r="Z170" i="4" s="1"/>
  <c r="AA170" i="4" s="1"/>
  <c r="AB170" i="4" s="1"/>
  <c r="T170" i="4"/>
  <c r="Q170" i="4"/>
  <c r="R170" i="4" s="1"/>
  <c r="O170" i="4"/>
  <c r="M170" i="4"/>
  <c r="L170" i="4"/>
  <c r="J170" i="4"/>
  <c r="H170" i="4"/>
  <c r="F170" i="4"/>
  <c r="E170" i="4" s="1"/>
  <c r="D170" i="4" s="1"/>
  <c r="C170" i="4" s="1"/>
  <c r="Y169" i="4"/>
  <c r="Z169" i="4" s="1"/>
  <c r="AA169" i="4" s="1"/>
  <c r="AB169" i="4" s="1"/>
  <c r="T169" i="4"/>
  <c r="Q169" i="4"/>
  <c r="R169" i="4" s="1"/>
  <c r="O169" i="4"/>
  <c r="M169" i="4"/>
  <c r="L169" i="4"/>
  <c r="J169" i="4"/>
  <c r="H169" i="4"/>
  <c r="F169" i="4"/>
  <c r="E169" i="4" s="1"/>
  <c r="D169" i="4" s="1"/>
  <c r="C169" i="4" s="1"/>
  <c r="Y168" i="4"/>
  <c r="Z168" i="4" s="1"/>
  <c r="AA168" i="4" s="1"/>
  <c r="AB168" i="4" s="1"/>
  <c r="T168" i="4"/>
  <c r="Q168" i="4"/>
  <c r="O168" i="4"/>
  <c r="M168" i="4"/>
  <c r="L168" i="4"/>
  <c r="J168" i="4"/>
  <c r="H168" i="4"/>
  <c r="F168" i="4"/>
  <c r="E168" i="4" s="1"/>
  <c r="D168" i="4" s="1"/>
  <c r="C168" i="4" s="1"/>
  <c r="Y167" i="4"/>
  <c r="Z167" i="4" s="1"/>
  <c r="AA167" i="4" s="1"/>
  <c r="AB167" i="4" s="1"/>
  <c r="T167" i="4"/>
  <c r="Q167" i="4"/>
  <c r="R167" i="4" s="1"/>
  <c r="O167" i="4"/>
  <c r="M167" i="4"/>
  <c r="L167" i="4"/>
  <c r="J167" i="4"/>
  <c r="H167" i="4"/>
  <c r="F167" i="4"/>
  <c r="E167" i="4" s="1"/>
  <c r="D167" i="4" s="1"/>
  <c r="C167" i="4" s="1"/>
  <c r="Y166" i="4"/>
  <c r="Z166" i="4" s="1"/>
  <c r="AA166" i="4" s="1"/>
  <c r="AB166" i="4" s="1"/>
  <c r="T166" i="4"/>
  <c r="Q166" i="4"/>
  <c r="R166" i="4" s="1"/>
  <c r="O166" i="4"/>
  <c r="M166" i="4"/>
  <c r="L166" i="4"/>
  <c r="J166" i="4"/>
  <c r="H166" i="4"/>
  <c r="F166" i="4"/>
  <c r="E166" i="4" s="1"/>
  <c r="D166" i="4" s="1"/>
  <c r="C166" i="4" s="1"/>
  <c r="Y165" i="4"/>
  <c r="Z165" i="4" s="1"/>
  <c r="AA165" i="4" s="1"/>
  <c r="AB165" i="4" s="1"/>
  <c r="T165" i="4"/>
  <c r="Q165" i="4"/>
  <c r="R165" i="4" s="1"/>
  <c r="O165" i="4"/>
  <c r="M165" i="4"/>
  <c r="L165" i="4"/>
  <c r="J165" i="4"/>
  <c r="H165" i="4"/>
  <c r="F165" i="4"/>
  <c r="E165" i="4" s="1"/>
  <c r="D165" i="4" s="1"/>
  <c r="C165" i="4" s="1"/>
  <c r="Y164" i="4"/>
  <c r="Z164" i="4" s="1"/>
  <c r="AA164" i="4" s="1"/>
  <c r="AB164" i="4" s="1"/>
  <c r="T164" i="4"/>
  <c r="Q164" i="4"/>
  <c r="R164" i="4" s="1"/>
  <c r="O164" i="4"/>
  <c r="M164" i="4"/>
  <c r="L164" i="4"/>
  <c r="J164" i="4"/>
  <c r="H164" i="4"/>
  <c r="F164" i="4"/>
  <c r="E164" i="4" s="1"/>
  <c r="D164" i="4" s="1"/>
  <c r="C164" i="4" s="1"/>
  <c r="Y163" i="4"/>
  <c r="Z163" i="4" s="1"/>
  <c r="AA163" i="4" s="1"/>
  <c r="AB163" i="4" s="1"/>
  <c r="T163" i="4"/>
  <c r="Q163" i="4"/>
  <c r="R163" i="4" s="1"/>
  <c r="O163" i="4"/>
  <c r="M163" i="4"/>
  <c r="L163" i="4"/>
  <c r="J163" i="4"/>
  <c r="H163" i="4"/>
  <c r="F163" i="4"/>
  <c r="E163" i="4" s="1"/>
  <c r="D163" i="4" s="1"/>
  <c r="C163" i="4" s="1"/>
  <c r="Y162" i="4"/>
  <c r="Z162" i="4" s="1"/>
  <c r="AA162" i="4" s="1"/>
  <c r="AB162" i="4" s="1"/>
  <c r="T162" i="4"/>
  <c r="Q162" i="4"/>
  <c r="R162" i="4" s="1"/>
  <c r="O162" i="4"/>
  <c r="M162" i="4"/>
  <c r="L162" i="4"/>
  <c r="J162" i="4"/>
  <c r="H162" i="4"/>
  <c r="F162" i="4"/>
  <c r="E162" i="4" s="1"/>
  <c r="D162" i="4" s="1"/>
  <c r="C162" i="4" s="1"/>
  <c r="Y161" i="4"/>
  <c r="Z161" i="4" s="1"/>
  <c r="AA161" i="4" s="1"/>
  <c r="AB161" i="4" s="1"/>
  <c r="T161" i="4"/>
  <c r="Q161" i="4"/>
  <c r="R161" i="4" s="1"/>
  <c r="O161" i="4"/>
  <c r="M161" i="4"/>
  <c r="L161" i="4"/>
  <c r="J161" i="4"/>
  <c r="H161" i="4"/>
  <c r="F161" i="4"/>
  <c r="E161" i="4" s="1"/>
  <c r="D161" i="4" s="1"/>
  <c r="C161" i="4" s="1"/>
  <c r="Y160" i="4"/>
  <c r="Z160" i="4" s="1"/>
  <c r="AA160" i="4" s="1"/>
  <c r="AB160" i="4" s="1"/>
  <c r="T160" i="4"/>
  <c r="Q160" i="4"/>
  <c r="R160" i="4" s="1"/>
  <c r="O160" i="4"/>
  <c r="M160" i="4"/>
  <c r="L160" i="4"/>
  <c r="J160" i="4"/>
  <c r="H160" i="4"/>
  <c r="F160" i="4"/>
  <c r="E160" i="4" s="1"/>
  <c r="D160" i="4" s="1"/>
  <c r="C160" i="4" s="1"/>
  <c r="Y159" i="4"/>
  <c r="Z159" i="4" s="1"/>
  <c r="AA159" i="4" s="1"/>
  <c r="AB159" i="4" s="1"/>
  <c r="T159" i="4"/>
  <c r="Q159" i="4"/>
  <c r="O159" i="4"/>
  <c r="M159" i="4"/>
  <c r="L159" i="4"/>
  <c r="J159" i="4"/>
  <c r="H159" i="4"/>
  <c r="F159" i="4"/>
  <c r="E159" i="4" s="1"/>
  <c r="D159" i="4" s="1"/>
  <c r="C159" i="4" s="1"/>
  <c r="Y158" i="4"/>
  <c r="Z158" i="4" s="1"/>
  <c r="AA158" i="4" s="1"/>
  <c r="AB158" i="4" s="1"/>
  <c r="T158" i="4"/>
  <c r="Q158" i="4"/>
  <c r="R158" i="4" s="1"/>
  <c r="O158" i="4"/>
  <c r="M158" i="4"/>
  <c r="L158" i="4"/>
  <c r="J158" i="4"/>
  <c r="H158" i="4"/>
  <c r="F158" i="4"/>
  <c r="E158" i="4" s="1"/>
  <c r="D158" i="4" s="1"/>
  <c r="C158" i="4" s="1"/>
  <c r="Y157" i="4"/>
  <c r="Z157" i="4" s="1"/>
  <c r="AA157" i="4" s="1"/>
  <c r="AB157" i="4" s="1"/>
  <c r="T157" i="4"/>
  <c r="Q157" i="4"/>
  <c r="R157" i="4" s="1"/>
  <c r="O157" i="4"/>
  <c r="M157" i="4"/>
  <c r="L157" i="4"/>
  <c r="J157" i="4"/>
  <c r="H157" i="4"/>
  <c r="F157" i="4"/>
  <c r="E157" i="4" s="1"/>
  <c r="D157" i="4" s="1"/>
  <c r="C157" i="4" s="1"/>
  <c r="Y156" i="4"/>
  <c r="Z156" i="4" s="1"/>
  <c r="AA156" i="4" s="1"/>
  <c r="AB156" i="4" s="1"/>
  <c r="T156" i="4"/>
  <c r="Q156" i="4"/>
  <c r="O156" i="4"/>
  <c r="M156" i="4"/>
  <c r="L156" i="4"/>
  <c r="J156" i="4"/>
  <c r="H156" i="4"/>
  <c r="F156" i="4"/>
  <c r="E156" i="4" s="1"/>
  <c r="D156" i="4" s="1"/>
  <c r="C156" i="4" s="1"/>
  <c r="Y155" i="4"/>
  <c r="Z155" i="4" s="1"/>
  <c r="AA155" i="4" s="1"/>
  <c r="AB155" i="4" s="1"/>
  <c r="T155" i="4"/>
  <c r="Q155" i="4"/>
  <c r="R155" i="4" s="1"/>
  <c r="O155" i="4"/>
  <c r="M155" i="4"/>
  <c r="L155" i="4"/>
  <c r="J155" i="4"/>
  <c r="H155" i="4"/>
  <c r="F155" i="4"/>
  <c r="E155" i="4" s="1"/>
  <c r="D155" i="4" s="1"/>
  <c r="C155" i="4" s="1"/>
  <c r="Y154" i="4"/>
  <c r="Z154" i="4" s="1"/>
  <c r="AA154" i="4" s="1"/>
  <c r="AB154" i="4" s="1"/>
  <c r="T154" i="4"/>
  <c r="Q154" i="4"/>
  <c r="R154" i="4" s="1"/>
  <c r="O154" i="4"/>
  <c r="M154" i="4"/>
  <c r="L154" i="4"/>
  <c r="J154" i="4"/>
  <c r="H154" i="4"/>
  <c r="Y153" i="4"/>
  <c r="Z153" i="4" s="1"/>
  <c r="AA153" i="4" s="1"/>
  <c r="AB153" i="4" s="1"/>
  <c r="T153" i="4"/>
  <c r="Q153" i="4"/>
  <c r="R153" i="4" s="1"/>
  <c r="O153" i="4"/>
  <c r="M153" i="4"/>
  <c r="L153" i="4"/>
  <c r="J153" i="4"/>
  <c r="H153" i="4"/>
  <c r="F153" i="4"/>
  <c r="E153" i="4" s="1"/>
  <c r="D153" i="4" s="1"/>
  <c r="C153" i="4" s="1"/>
  <c r="Y152" i="4"/>
  <c r="Z152" i="4" s="1"/>
  <c r="AA152" i="4" s="1"/>
  <c r="AB152" i="4" s="1"/>
  <c r="T152" i="4"/>
  <c r="Q152" i="4"/>
  <c r="R152" i="4" s="1"/>
  <c r="O152" i="4"/>
  <c r="M152" i="4"/>
  <c r="L152" i="4"/>
  <c r="J152" i="4"/>
  <c r="H152" i="4"/>
  <c r="F152" i="4"/>
  <c r="E152" i="4" s="1"/>
  <c r="D152" i="4" s="1"/>
  <c r="C152" i="4" s="1"/>
  <c r="T151" i="4"/>
  <c r="S355" i="4" s="1"/>
  <c r="Q151" i="4"/>
  <c r="O151" i="4"/>
  <c r="N355" i="4" s="1"/>
  <c r="M151" i="4"/>
  <c r="L151" i="4"/>
  <c r="K355" i="4" s="1"/>
  <c r="J151" i="4"/>
  <c r="H151" i="4"/>
  <c r="F151" i="4"/>
  <c r="Y146" i="4"/>
  <c r="Z146" i="4" s="1"/>
  <c r="AA146" i="4" s="1"/>
  <c r="AB146" i="4" s="1"/>
  <c r="T146" i="4"/>
  <c r="Q146" i="4"/>
  <c r="R146" i="4" s="1"/>
  <c r="O146" i="4"/>
  <c r="M146" i="4"/>
  <c r="L146" i="4"/>
  <c r="J146" i="4"/>
  <c r="H146" i="4"/>
  <c r="F146" i="4"/>
  <c r="E146" i="4" s="1"/>
  <c r="D146" i="4" s="1"/>
  <c r="C146" i="4" s="1"/>
  <c r="Y145" i="4"/>
  <c r="Z145" i="4" s="1"/>
  <c r="AA145" i="4" s="1"/>
  <c r="AB145" i="4" s="1"/>
  <c r="T145" i="4"/>
  <c r="Q145" i="4"/>
  <c r="R145" i="4" s="1"/>
  <c r="O145" i="4"/>
  <c r="M145" i="4"/>
  <c r="L145" i="4"/>
  <c r="J145" i="4"/>
  <c r="H145" i="4"/>
  <c r="F145" i="4"/>
  <c r="E145" i="4" s="1"/>
  <c r="D145" i="4" s="1"/>
  <c r="C145" i="4" s="1"/>
  <c r="Y144" i="4"/>
  <c r="Z144" i="4" s="1"/>
  <c r="AA144" i="4" s="1"/>
  <c r="AB144" i="4" s="1"/>
  <c r="T144" i="4"/>
  <c r="Q144" i="4"/>
  <c r="R144" i="4" s="1"/>
  <c r="O144" i="4"/>
  <c r="M144" i="4"/>
  <c r="L144" i="4"/>
  <c r="J144" i="4"/>
  <c r="H144" i="4"/>
  <c r="F144" i="4"/>
  <c r="E144" i="4" s="1"/>
  <c r="D144" i="4" s="1"/>
  <c r="C144" i="4" s="1"/>
  <c r="Y143" i="4"/>
  <c r="Z143" i="4" s="1"/>
  <c r="AA143" i="4" s="1"/>
  <c r="AB143" i="4" s="1"/>
  <c r="T143" i="4"/>
  <c r="Q143" i="4"/>
  <c r="R143" i="4" s="1"/>
  <c r="O143" i="4"/>
  <c r="M143" i="4"/>
  <c r="L143" i="4"/>
  <c r="J143" i="4"/>
  <c r="H143" i="4"/>
  <c r="F143" i="4"/>
  <c r="E143" i="4" s="1"/>
  <c r="D143" i="4" s="1"/>
  <c r="C143" i="4" s="1"/>
  <c r="Y142" i="4"/>
  <c r="Z142" i="4" s="1"/>
  <c r="AA142" i="4" s="1"/>
  <c r="AB142" i="4" s="1"/>
  <c r="T142" i="4"/>
  <c r="Q142" i="4"/>
  <c r="O142" i="4"/>
  <c r="M142" i="4"/>
  <c r="L142" i="4"/>
  <c r="J142" i="4"/>
  <c r="H142" i="4"/>
  <c r="F142" i="4"/>
  <c r="E142" i="4" s="1"/>
  <c r="D142" i="4" s="1"/>
  <c r="C142" i="4" s="1"/>
  <c r="Y141" i="4"/>
  <c r="Z141" i="4" s="1"/>
  <c r="AA141" i="4" s="1"/>
  <c r="AB141" i="4" s="1"/>
  <c r="T141" i="4"/>
  <c r="Q141" i="4"/>
  <c r="R141" i="4" s="1"/>
  <c r="O141" i="4"/>
  <c r="M141" i="4"/>
  <c r="L141" i="4"/>
  <c r="J141" i="4"/>
  <c r="H141" i="4"/>
  <c r="F141" i="4"/>
  <c r="E141" i="4" s="1"/>
  <c r="D141" i="4" s="1"/>
  <c r="C141" i="4" s="1"/>
  <c r="Y140" i="4"/>
  <c r="Z140" i="4" s="1"/>
  <c r="AA140" i="4" s="1"/>
  <c r="AB140" i="4" s="1"/>
  <c r="T140" i="4"/>
  <c r="Q140" i="4"/>
  <c r="R140" i="4" s="1"/>
  <c r="O140" i="4"/>
  <c r="M140" i="4"/>
  <c r="L140" i="4"/>
  <c r="J140" i="4"/>
  <c r="H140" i="4"/>
  <c r="F140" i="4"/>
  <c r="E140" i="4" s="1"/>
  <c r="D140" i="4" s="1"/>
  <c r="C140" i="4" s="1"/>
  <c r="Y139" i="4"/>
  <c r="Z139" i="4" s="1"/>
  <c r="AA139" i="4" s="1"/>
  <c r="AB139" i="4" s="1"/>
  <c r="T139" i="4"/>
  <c r="Q139" i="4"/>
  <c r="R139" i="4" s="1"/>
  <c r="O139" i="4"/>
  <c r="M139" i="4"/>
  <c r="L139" i="4"/>
  <c r="J139" i="4"/>
  <c r="H139" i="4"/>
  <c r="F139" i="4"/>
  <c r="E139" i="4" s="1"/>
  <c r="D139" i="4" s="1"/>
  <c r="C139" i="4" s="1"/>
  <c r="Y138" i="4"/>
  <c r="Z138" i="4" s="1"/>
  <c r="AA138" i="4" s="1"/>
  <c r="AB138" i="4" s="1"/>
  <c r="T138" i="4"/>
  <c r="Q138" i="4"/>
  <c r="O138" i="4"/>
  <c r="M138" i="4"/>
  <c r="L138" i="4"/>
  <c r="J138" i="4"/>
  <c r="H138" i="4"/>
  <c r="F138" i="4"/>
  <c r="E138" i="4" s="1"/>
  <c r="D138" i="4" s="1"/>
  <c r="C138" i="4" s="1"/>
  <c r="Y137" i="4"/>
  <c r="Z137" i="4" s="1"/>
  <c r="AA137" i="4" s="1"/>
  <c r="AB137" i="4" s="1"/>
  <c r="T137" i="4"/>
  <c r="Q137" i="4"/>
  <c r="R137" i="4" s="1"/>
  <c r="O137" i="4"/>
  <c r="M137" i="4"/>
  <c r="L137" i="4"/>
  <c r="J137" i="4"/>
  <c r="H137" i="4"/>
  <c r="F137" i="4"/>
  <c r="E137" i="4" s="1"/>
  <c r="D137" i="4" s="1"/>
  <c r="C137" i="4" s="1"/>
  <c r="Y136" i="4"/>
  <c r="Z136" i="4" s="1"/>
  <c r="AA136" i="4" s="1"/>
  <c r="AB136" i="4" s="1"/>
  <c r="T136" i="4"/>
  <c r="Q136" i="4"/>
  <c r="R136" i="4" s="1"/>
  <c r="O136" i="4"/>
  <c r="M136" i="4"/>
  <c r="L136" i="4"/>
  <c r="J136" i="4"/>
  <c r="H136" i="4"/>
  <c r="F136" i="4"/>
  <c r="E136" i="4" s="1"/>
  <c r="D136" i="4" s="1"/>
  <c r="C136" i="4" s="1"/>
  <c r="Y135" i="4"/>
  <c r="Z135" i="4" s="1"/>
  <c r="AA135" i="4" s="1"/>
  <c r="AB135" i="4" s="1"/>
  <c r="T135" i="4"/>
  <c r="Q135" i="4"/>
  <c r="R135" i="4" s="1"/>
  <c r="O135" i="4"/>
  <c r="M135" i="4"/>
  <c r="L135" i="4"/>
  <c r="J135" i="4"/>
  <c r="H135" i="4"/>
  <c r="F135" i="4"/>
  <c r="E135" i="4" s="1"/>
  <c r="D135" i="4" s="1"/>
  <c r="C135" i="4" s="1"/>
  <c r="Y134" i="4"/>
  <c r="Z134" i="4" s="1"/>
  <c r="AA134" i="4" s="1"/>
  <c r="AB134" i="4" s="1"/>
  <c r="T134" i="4"/>
  <c r="Q134" i="4"/>
  <c r="O134" i="4"/>
  <c r="M134" i="4"/>
  <c r="L134" i="4"/>
  <c r="J134" i="4"/>
  <c r="H134" i="4"/>
  <c r="F134" i="4"/>
  <c r="E134" i="4" s="1"/>
  <c r="D134" i="4" s="1"/>
  <c r="C134" i="4" s="1"/>
  <c r="Y133" i="4"/>
  <c r="Z133" i="4" s="1"/>
  <c r="AA133" i="4" s="1"/>
  <c r="AB133" i="4" s="1"/>
  <c r="T133" i="4"/>
  <c r="Q133" i="4"/>
  <c r="R133" i="4" s="1"/>
  <c r="O133" i="4"/>
  <c r="M133" i="4"/>
  <c r="L133" i="4"/>
  <c r="J133" i="4"/>
  <c r="H133" i="4"/>
  <c r="F133" i="4"/>
  <c r="E133" i="4" s="1"/>
  <c r="D133" i="4" s="1"/>
  <c r="C133" i="4" s="1"/>
  <c r="Y132" i="4"/>
  <c r="Z132" i="4" s="1"/>
  <c r="AA132" i="4" s="1"/>
  <c r="AB132" i="4" s="1"/>
  <c r="T132" i="4"/>
  <c r="Q132" i="4"/>
  <c r="R132" i="4" s="1"/>
  <c r="O132" i="4"/>
  <c r="M132" i="4"/>
  <c r="L132" i="4"/>
  <c r="J132" i="4"/>
  <c r="H132" i="4"/>
  <c r="F132" i="4"/>
  <c r="E132" i="4" s="1"/>
  <c r="D132" i="4" s="1"/>
  <c r="C132" i="4" s="1"/>
  <c r="Y131" i="4"/>
  <c r="Z131" i="4" s="1"/>
  <c r="AA131" i="4" s="1"/>
  <c r="AB131" i="4" s="1"/>
  <c r="T131" i="4"/>
  <c r="Q131" i="4"/>
  <c r="R131" i="4" s="1"/>
  <c r="O131" i="4"/>
  <c r="M131" i="4"/>
  <c r="L131" i="4"/>
  <c r="J131" i="4"/>
  <c r="H131" i="4"/>
  <c r="F131" i="4"/>
  <c r="E131" i="4" s="1"/>
  <c r="D131" i="4" s="1"/>
  <c r="C131" i="4" s="1"/>
  <c r="Y130" i="4"/>
  <c r="Z130" i="4" s="1"/>
  <c r="AA130" i="4" s="1"/>
  <c r="AB130" i="4" s="1"/>
  <c r="T130" i="4"/>
  <c r="Q130" i="4"/>
  <c r="O130" i="4"/>
  <c r="M130" i="4"/>
  <c r="L130" i="4"/>
  <c r="J130" i="4"/>
  <c r="H130" i="4"/>
  <c r="F130" i="4"/>
  <c r="E130" i="4" s="1"/>
  <c r="D130" i="4" s="1"/>
  <c r="C130" i="4" s="1"/>
  <c r="Y129" i="4"/>
  <c r="Z129" i="4" s="1"/>
  <c r="AA129" i="4" s="1"/>
  <c r="AB129" i="4" s="1"/>
  <c r="T129" i="4"/>
  <c r="Q129" i="4"/>
  <c r="R129" i="4" s="1"/>
  <c r="O129" i="4"/>
  <c r="M129" i="4"/>
  <c r="L129" i="4"/>
  <c r="J129" i="4"/>
  <c r="H129" i="4"/>
  <c r="F129" i="4"/>
  <c r="E129" i="4" s="1"/>
  <c r="D129" i="4" s="1"/>
  <c r="C129" i="4" s="1"/>
  <c r="Y128" i="4"/>
  <c r="Z128" i="4" s="1"/>
  <c r="AA128" i="4" s="1"/>
  <c r="AB128" i="4" s="1"/>
  <c r="T128" i="4"/>
  <c r="Q128" i="4"/>
  <c r="R128" i="4" s="1"/>
  <c r="O128" i="4"/>
  <c r="M128" i="4"/>
  <c r="L128" i="4"/>
  <c r="J128" i="4"/>
  <c r="H128" i="4"/>
  <c r="F128" i="4"/>
  <c r="E128" i="4" s="1"/>
  <c r="D128" i="4" s="1"/>
  <c r="C128" i="4" s="1"/>
  <c r="Y127" i="4"/>
  <c r="Z127" i="4" s="1"/>
  <c r="AA127" i="4" s="1"/>
  <c r="AB127" i="4" s="1"/>
  <c r="T127" i="4"/>
  <c r="Q127" i="4"/>
  <c r="R127" i="4" s="1"/>
  <c r="O127" i="4"/>
  <c r="M127" i="4"/>
  <c r="L127" i="4"/>
  <c r="J127" i="4"/>
  <c r="H127" i="4"/>
  <c r="F127" i="4"/>
  <c r="E127" i="4" s="1"/>
  <c r="D127" i="4" s="1"/>
  <c r="C127" i="4" s="1"/>
  <c r="Y126" i="4"/>
  <c r="Z126" i="4" s="1"/>
  <c r="AA126" i="4" s="1"/>
  <c r="AB126" i="4" s="1"/>
  <c r="T126" i="4"/>
  <c r="Q126" i="4"/>
  <c r="O126" i="4"/>
  <c r="M126" i="4"/>
  <c r="L126" i="4"/>
  <c r="J126" i="4"/>
  <c r="H126" i="4"/>
  <c r="F126" i="4"/>
  <c r="E126" i="4" s="1"/>
  <c r="D126" i="4" s="1"/>
  <c r="C126" i="4" s="1"/>
  <c r="Y125" i="4"/>
  <c r="Z125" i="4" s="1"/>
  <c r="AA125" i="4" s="1"/>
  <c r="AB125" i="4" s="1"/>
  <c r="T125" i="4"/>
  <c r="Q125" i="4"/>
  <c r="R125" i="4" s="1"/>
  <c r="O125" i="4"/>
  <c r="M125" i="4"/>
  <c r="L125" i="4"/>
  <c r="J125" i="4"/>
  <c r="H125" i="4"/>
  <c r="F125" i="4"/>
  <c r="E125" i="4" s="1"/>
  <c r="D125" i="4" s="1"/>
  <c r="C125" i="4" s="1"/>
  <c r="Y124" i="4"/>
  <c r="Z124" i="4" s="1"/>
  <c r="AA124" i="4" s="1"/>
  <c r="AB124" i="4" s="1"/>
  <c r="T124" i="4"/>
  <c r="Q124" i="4"/>
  <c r="R124" i="4" s="1"/>
  <c r="O124" i="4"/>
  <c r="M124" i="4"/>
  <c r="L124" i="4"/>
  <c r="J124" i="4"/>
  <c r="H124" i="4"/>
  <c r="Y123" i="4"/>
  <c r="Z123" i="4" s="1"/>
  <c r="AA123" i="4" s="1"/>
  <c r="AB123" i="4" s="1"/>
  <c r="T123" i="4"/>
  <c r="Q123" i="4"/>
  <c r="R123" i="4" s="1"/>
  <c r="O123" i="4"/>
  <c r="M123" i="4"/>
  <c r="L123" i="4"/>
  <c r="J123" i="4"/>
  <c r="H123" i="4"/>
  <c r="F123" i="4"/>
  <c r="E123" i="4" s="1"/>
  <c r="D123" i="4" s="1"/>
  <c r="C123" i="4" s="1"/>
  <c r="Y122" i="4"/>
  <c r="Z122" i="4" s="1"/>
  <c r="AA122" i="4" s="1"/>
  <c r="AB122" i="4" s="1"/>
  <c r="T122" i="4"/>
  <c r="Q122" i="4"/>
  <c r="R122" i="4" s="1"/>
  <c r="O122" i="4"/>
  <c r="M122" i="4"/>
  <c r="L122" i="4"/>
  <c r="J122" i="4"/>
  <c r="H122" i="4"/>
  <c r="F122" i="4"/>
  <c r="E122" i="4" s="1"/>
  <c r="D122" i="4" s="1"/>
  <c r="C122" i="4" s="1"/>
  <c r="T121" i="4"/>
  <c r="S354" i="4" s="1"/>
  <c r="Q121" i="4"/>
  <c r="P354" i="4" s="1"/>
  <c r="O121" i="4"/>
  <c r="N354" i="4" s="1"/>
  <c r="M121" i="4"/>
  <c r="L354" i="4" s="1"/>
  <c r="L121" i="4"/>
  <c r="K354" i="4" s="1"/>
  <c r="J121" i="4"/>
  <c r="I354" i="4" s="1"/>
  <c r="H121" i="4"/>
  <c r="F121" i="4"/>
  <c r="E354" i="4" s="1"/>
  <c r="Y117" i="4"/>
  <c r="Z117" i="4" s="1"/>
  <c r="AA117" i="4" s="1"/>
  <c r="AB117" i="4" s="1"/>
  <c r="T117" i="4"/>
  <c r="R117" i="4"/>
  <c r="P117" i="4"/>
  <c r="N117" i="4"/>
  <c r="K117" i="4"/>
  <c r="I117" i="4"/>
  <c r="F117" i="4"/>
  <c r="E117" i="4" s="1"/>
  <c r="D117" i="4" s="1"/>
  <c r="C117" i="4" s="1"/>
  <c r="Y116" i="4"/>
  <c r="Z116" i="4" s="1"/>
  <c r="AA116" i="4" s="1"/>
  <c r="AB116" i="4" s="1"/>
  <c r="T116" i="4"/>
  <c r="R116" i="4"/>
  <c r="P116" i="4"/>
  <c r="N116" i="4"/>
  <c r="K116" i="4"/>
  <c r="I116" i="4"/>
  <c r="F116" i="4"/>
  <c r="E116" i="4" s="1"/>
  <c r="D116" i="4" s="1"/>
  <c r="C116" i="4" s="1"/>
  <c r="Y115" i="4"/>
  <c r="Z115" i="4" s="1"/>
  <c r="AA115" i="4" s="1"/>
  <c r="AB115" i="4" s="1"/>
  <c r="T115" i="4"/>
  <c r="R115" i="4"/>
  <c r="P115" i="4"/>
  <c r="N115" i="4"/>
  <c r="K115" i="4"/>
  <c r="I115" i="4"/>
  <c r="F115" i="4"/>
  <c r="E115" i="4" s="1"/>
  <c r="D115" i="4" s="1"/>
  <c r="C115" i="4" s="1"/>
  <c r="Y114" i="4"/>
  <c r="Z114" i="4" s="1"/>
  <c r="AA114" i="4" s="1"/>
  <c r="AB114" i="4" s="1"/>
  <c r="T114" i="4"/>
  <c r="R114" i="4"/>
  <c r="P114" i="4"/>
  <c r="N114" i="4"/>
  <c r="K114" i="4"/>
  <c r="I114" i="4"/>
  <c r="F114" i="4"/>
  <c r="E114" i="4" s="1"/>
  <c r="D114" i="4" s="1"/>
  <c r="C114" i="4" s="1"/>
  <c r="Y113" i="4"/>
  <c r="Z113" i="4" s="1"/>
  <c r="AA113" i="4" s="1"/>
  <c r="AB113" i="4" s="1"/>
  <c r="T113" i="4"/>
  <c r="R113" i="4"/>
  <c r="P113" i="4"/>
  <c r="N113" i="4"/>
  <c r="K113" i="4"/>
  <c r="I113" i="4"/>
  <c r="F113" i="4"/>
  <c r="E113" i="4" s="1"/>
  <c r="D113" i="4" s="1"/>
  <c r="C113" i="4" s="1"/>
  <c r="Y112" i="4"/>
  <c r="Z112" i="4" s="1"/>
  <c r="AA112" i="4" s="1"/>
  <c r="AB112" i="4" s="1"/>
  <c r="T112" i="4"/>
  <c r="R112" i="4"/>
  <c r="P112" i="4"/>
  <c r="N112" i="4"/>
  <c r="K112" i="4"/>
  <c r="I112" i="4"/>
  <c r="F112" i="4"/>
  <c r="E112" i="4" s="1"/>
  <c r="D112" i="4" s="1"/>
  <c r="C112" i="4" s="1"/>
  <c r="Y111" i="4"/>
  <c r="Z111" i="4" s="1"/>
  <c r="AA111" i="4" s="1"/>
  <c r="AB111" i="4" s="1"/>
  <c r="T111" i="4"/>
  <c r="R111" i="4"/>
  <c r="P111" i="4"/>
  <c r="N111" i="4"/>
  <c r="K111" i="4"/>
  <c r="I111" i="4"/>
  <c r="F111" i="4"/>
  <c r="E111" i="4" s="1"/>
  <c r="D111" i="4" s="1"/>
  <c r="C111" i="4" s="1"/>
  <c r="Y110" i="4"/>
  <c r="Z110" i="4" s="1"/>
  <c r="AA110" i="4" s="1"/>
  <c r="AB110" i="4" s="1"/>
  <c r="T110" i="4"/>
  <c r="R110" i="4"/>
  <c r="P110" i="4"/>
  <c r="N110" i="4"/>
  <c r="K110" i="4"/>
  <c r="I110" i="4"/>
  <c r="F110" i="4"/>
  <c r="E110" i="4" s="1"/>
  <c r="D110" i="4" s="1"/>
  <c r="C110" i="4" s="1"/>
  <c r="Y109" i="4"/>
  <c r="Z109" i="4" s="1"/>
  <c r="AA109" i="4" s="1"/>
  <c r="AB109" i="4" s="1"/>
  <c r="T109" i="4"/>
  <c r="R109" i="4"/>
  <c r="P109" i="4"/>
  <c r="N109" i="4"/>
  <c r="K109" i="4"/>
  <c r="I109" i="4"/>
  <c r="F109" i="4"/>
  <c r="E109" i="4" s="1"/>
  <c r="D109" i="4" s="1"/>
  <c r="C109" i="4" s="1"/>
  <c r="Y108" i="4"/>
  <c r="Z108" i="4" s="1"/>
  <c r="AA108" i="4" s="1"/>
  <c r="AB108" i="4" s="1"/>
  <c r="T108" i="4"/>
  <c r="R108" i="4"/>
  <c r="P108" i="4"/>
  <c r="N108" i="4"/>
  <c r="K108" i="4"/>
  <c r="I108" i="4"/>
  <c r="F108" i="4"/>
  <c r="E108" i="4" s="1"/>
  <c r="D108" i="4" s="1"/>
  <c r="C108" i="4" s="1"/>
  <c r="Y107" i="4"/>
  <c r="Z107" i="4" s="1"/>
  <c r="AA107" i="4" s="1"/>
  <c r="AB107" i="4" s="1"/>
  <c r="T107" i="4"/>
  <c r="R107" i="4"/>
  <c r="P107" i="4"/>
  <c r="N107" i="4"/>
  <c r="K107" i="4"/>
  <c r="I107" i="4"/>
  <c r="F107" i="4"/>
  <c r="E107" i="4" s="1"/>
  <c r="D107" i="4" s="1"/>
  <c r="C107" i="4" s="1"/>
  <c r="Y106" i="4"/>
  <c r="Z106" i="4" s="1"/>
  <c r="AA106" i="4" s="1"/>
  <c r="AB106" i="4" s="1"/>
  <c r="T106" i="4"/>
  <c r="R106" i="4"/>
  <c r="P106" i="4"/>
  <c r="N106" i="4"/>
  <c r="K106" i="4"/>
  <c r="I106" i="4"/>
  <c r="F106" i="4"/>
  <c r="E106" i="4" s="1"/>
  <c r="D106" i="4" s="1"/>
  <c r="C106" i="4" s="1"/>
  <c r="Y105" i="4"/>
  <c r="Z105" i="4" s="1"/>
  <c r="AA105" i="4" s="1"/>
  <c r="AB105" i="4" s="1"/>
  <c r="T105" i="4"/>
  <c r="R105" i="4"/>
  <c r="P105" i="4"/>
  <c r="N105" i="4"/>
  <c r="K105" i="4"/>
  <c r="I105" i="4"/>
  <c r="F105" i="4"/>
  <c r="E105" i="4" s="1"/>
  <c r="D105" i="4" s="1"/>
  <c r="C105" i="4" s="1"/>
  <c r="Y104" i="4"/>
  <c r="Z104" i="4" s="1"/>
  <c r="AA104" i="4" s="1"/>
  <c r="AB104" i="4" s="1"/>
  <c r="T104" i="4"/>
  <c r="R104" i="4"/>
  <c r="P104" i="4"/>
  <c r="N104" i="4"/>
  <c r="K104" i="4"/>
  <c r="I104" i="4"/>
  <c r="F104" i="4"/>
  <c r="E104" i="4" s="1"/>
  <c r="D104" i="4" s="1"/>
  <c r="C104" i="4" s="1"/>
  <c r="Y103" i="4"/>
  <c r="Z103" i="4" s="1"/>
  <c r="AA103" i="4" s="1"/>
  <c r="AB103" i="4" s="1"/>
  <c r="T103" i="4"/>
  <c r="R103" i="4"/>
  <c r="P103" i="4"/>
  <c r="N103" i="4"/>
  <c r="K103" i="4"/>
  <c r="I103" i="4"/>
  <c r="F103" i="4"/>
  <c r="E103" i="4" s="1"/>
  <c r="D103" i="4" s="1"/>
  <c r="C103" i="4" s="1"/>
  <c r="Y102" i="4"/>
  <c r="Z102" i="4" s="1"/>
  <c r="AA102" i="4" s="1"/>
  <c r="AB102" i="4" s="1"/>
  <c r="T102" i="4"/>
  <c r="R102" i="4"/>
  <c r="P102" i="4"/>
  <c r="N102" i="4"/>
  <c r="K102" i="4"/>
  <c r="I102" i="4"/>
  <c r="F102" i="4"/>
  <c r="E102" i="4" s="1"/>
  <c r="D102" i="4" s="1"/>
  <c r="C102" i="4" s="1"/>
  <c r="Y101" i="4"/>
  <c r="Z101" i="4" s="1"/>
  <c r="AA101" i="4" s="1"/>
  <c r="AB101" i="4" s="1"/>
  <c r="T101" i="4"/>
  <c r="R101" i="4"/>
  <c r="P101" i="4"/>
  <c r="N101" i="4"/>
  <c r="K101" i="4"/>
  <c r="I101" i="4"/>
  <c r="F101" i="4"/>
  <c r="E101" i="4" s="1"/>
  <c r="D101" i="4" s="1"/>
  <c r="C101" i="4" s="1"/>
  <c r="Y100" i="4"/>
  <c r="Z100" i="4" s="1"/>
  <c r="AA100" i="4" s="1"/>
  <c r="AB100" i="4" s="1"/>
  <c r="T100" i="4"/>
  <c r="R100" i="4"/>
  <c r="P100" i="4"/>
  <c r="N100" i="4"/>
  <c r="K100" i="4"/>
  <c r="I100" i="4"/>
  <c r="F100" i="4"/>
  <c r="E100" i="4" s="1"/>
  <c r="D100" i="4" s="1"/>
  <c r="C100" i="4" s="1"/>
  <c r="Y99" i="4"/>
  <c r="Z99" i="4" s="1"/>
  <c r="AA99" i="4" s="1"/>
  <c r="AB99" i="4" s="1"/>
  <c r="T99" i="4"/>
  <c r="R99" i="4"/>
  <c r="P99" i="4"/>
  <c r="N99" i="4"/>
  <c r="K99" i="4"/>
  <c r="I99" i="4"/>
  <c r="F99" i="4"/>
  <c r="E99" i="4" s="1"/>
  <c r="D99" i="4" s="1"/>
  <c r="C99" i="4" s="1"/>
  <c r="Y98" i="4"/>
  <c r="Z98" i="4" s="1"/>
  <c r="AA98" i="4" s="1"/>
  <c r="AB98" i="4" s="1"/>
  <c r="T98" i="4"/>
  <c r="R98" i="4"/>
  <c r="P98" i="4"/>
  <c r="N98" i="4"/>
  <c r="K98" i="4"/>
  <c r="I98" i="4"/>
  <c r="F98" i="4"/>
  <c r="E98" i="4" s="1"/>
  <c r="D98" i="4" s="1"/>
  <c r="C98" i="4" s="1"/>
  <c r="Y97" i="4"/>
  <c r="Z97" i="4" s="1"/>
  <c r="AA97" i="4" s="1"/>
  <c r="AB97" i="4" s="1"/>
  <c r="T97" i="4"/>
  <c r="R97" i="4"/>
  <c r="P97" i="4"/>
  <c r="N97" i="4"/>
  <c r="K97" i="4"/>
  <c r="I97" i="4"/>
  <c r="F97" i="4"/>
  <c r="E97" i="4" s="1"/>
  <c r="D97" i="4" s="1"/>
  <c r="C97" i="4" s="1"/>
  <c r="Y96" i="4"/>
  <c r="Z96" i="4" s="1"/>
  <c r="AA96" i="4" s="1"/>
  <c r="AB96" i="4" s="1"/>
  <c r="T96" i="4"/>
  <c r="R96" i="4"/>
  <c r="P96" i="4"/>
  <c r="N96" i="4"/>
  <c r="K96" i="4"/>
  <c r="I96" i="4"/>
  <c r="F96" i="4"/>
  <c r="E96" i="4" s="1"/>
  <c r="D96" i="4" s="1"/>
  <c r="C96" i="4" s="1"/>
  <c r="Y95" i="4"/>
  <c r="Z95" i="4" s="1"/>
  <c r="AA95" i="4" s="1"/>
  <c r="AB95" i="4" s="1"/>
  <c r="T95" i="4"/>
  <c r="R95" i="4"/>
  <c r="P95" i="4"/>
  <c r="N95" i="4"/>
  <c r="K95" i="4"/>
  <c r="I95" i="4"/>
  <c r="F95" i="4"/>
  <c r="E95" i="4" s="1"/>
  <c r="D95" i="4" s="1"/>
  <c r="C95" i="4" s="1"/>
  <c r="Y94" i="4"/>
  <c r="Z94" i="4" s="1"/>
  <c r="AA94" i="4" s="1"/>
  <c r="AB94" i="4" s="1"/>
  <c r="T94" i="4"/>
  <c r="R94" i="4"/>
  <c r="P94" i="4"/>
  <c r="N94" i="4"/>
  <c r="K94" i="4"/>
  <c r="I94" i="4"/>
  <c r="F94" i="4"/>
  <c r="E94" i="4" s="1"/>
  <c r="D94" i="4" s="1"/>
  <c r="C94" i="4" s="1"/>
  <c r="Y93" i="4"/>
  <c r="Z93" i="4" s="1"/>
  <c r="AA93" i="4" s="1"/>
  <c r="AB93" i="4" s="1"/>
  <c r="T93" i="4"/>
  <c r="R93" i="4"/>
  <c r="P93" i="4"/>
  <c r="N93" i="4"/>
  <c r="K93" i="4"/>
  <c r="I93" i="4"/>
  <c r="F93" i="4"/>
  <c r="E93" i="4" s="1"/>
  <c r="D93" i="4" s="1"/>
  <c r="C93" i="4" s="1"/>
  <c r="V353" i="4"/>
  <c r="T92" i="4"/>
  <c r="S353" i="4" s="1"/>
  <c r="R92" i="4"/>
  <c r="Q353" i="4" s="1"/>
  <c r="P92" i="4"/>
  <c r="O353" i="4" s="1"/>
  <c r="N92" i="4"/>
  <c r="M353" i="4" s="1"/>
  <c r="K92" i="4"/>
  <c r="J353" i="4" s="1"/>
  <c r="I92" i="4"/>
  <c r="H353" i="4" s="1"/>
  <c r="F92" i="4"/>
  <c r="E353" i="4" s="1"/>
  <c r="C17" i="4"/>
  <c r="C16" i="4"/>
  <c r="C14" i="4"/>
  <c r="I28" i="38" s="1"/>
  <c r="C10" i="4"/>
  <c r="C9" i="4"/>
  <c r="C7" i="4"/>
  <c r="F161" i="7" s="1"/>
  <c r="C5" i="4"/>
  <c r="E123" i="53" s="1"/>
  <c r="B149" i="55"/>
  <c r="B148" i="55"/>
  <c r="B147" i="55"/>
  <c r="K109" i="55"/>
  <c r="B146" i="55"/>
  <c r="K108" i="55"/>
  <c r="K145" i="55"/>
  <c r="B145" i="55"/>
  <c r="B144" i="55"/>
  <c r="K106" i="55"/>
  <c r="B143" i="55"/>
  <c r="B142" i="55"/>
  <c r="K104" i="55"/>
  <c r="B141" i="55"/>
  <c r="K103" i="55"/>
  <c r="B140" i="55"/>
  <c r="B139" i="55"/>
  <c r="K101" i="55"/>
  <c r="B138" i="55"/>
  <c r="K100" i="55"/>
  <c r="B137" i="55"/>
  <c r="B136" i="55"/>
  <c r="K98" i="55"/>
  <c r="B135" i="55"/>
  <c r="K134" i="55"/>
  <c r="B134" i="55"/>
  <c r="B133" i="55"/>
  <c r="K95" i="55"/>
  <c r="B132" i="55"/>
  <c r="K131" i="55"/>
  <c r="B131" i="55"/>
  <c r="K130" i="55"/>
  <c r="B130" i="55"/>
  <c r="K92" i="55"/>
  <c r="K129" i="55"/>
  <c r="B129" i="55"/>
  <c r="K128" i="55"/>
  <c r="B128" i="55"/>
  <c r="K110" i="55"/>
  <c r="G110" i="55"/>
  <c r="B110" i="55"/>
  <c r="G109" i="55"/>
  <c r="B109" i="55"/>
  <c r="G108" i="55"/>
  <c r="B108" i="55"/>
  <c r="K107" i="55"/>
  <c r="G107" i="55"/>
  <c r="B107" i="55"/>
  <c r="G106" i="55"/>
  <c r="B106" i="55"/>
  <c r="K105" i="55"/>
  <c r="G105" i="55"/>
  <c r="B105" i="55"/>
  <c r="G104" i="55"/>
  <c r="B104" i="55"/>
  <c r="G103" i="55"/>
  <c r="B103" i="55"/>
  <c r="K102" i="55"/>
  <c r="G102" i="55"/>
  <c r="B102" i="55"/>
  <c r="G101" i="55"/>
  <c r="B101" i="55"/>
  <c r="G100" i="55"/>
  <c r="B100" i="55"/>
  <c r="K99" i="55"/>
  <c r="G99" i="55"/>
  <c r="B99" i="55"/>
  <c r="G98" i="55"/>
  <c r="B98" i="55"/>
  <c r="K97" i="55"/>
  <c r="G97" i="55"/>
  <c r="B97" i="55"/>
  <c r="K96" i="55"/>
  <c r="G96" i="55"/>
  <c r="B96" i="55"/>
  <c r="G95" i="55"/>
  <c r="B95" i="55"/>
  <c r="K94" i="55"/>
  <c r="G94" i="55"/>
  <c r="B94" i="55"/>
  <c r="G93" i="55"/>
  <c r="B93" i="55"/>
  <c r="B92" i="55"/>
  <c r="B91" i="55"/>
  <c r="G91" i="55" s="1"/>
  <c r="B63" i="55"/>
  <c r="B62" i="55"/>
  <c r="B61" i="55"/>
  <c r="B60" i="55"/>
  <c r="B59" i="55"/>
  <c r="B58" i="55"/>
  <c r="B57" i="55"/>
  <c r="B56" i="55"/>
  <c r="B55" i="55"/>
  <c r="B54" i="55"/>
  <c r="B53" i="55"/>
  <c r="B52" i="55"/>
  <c r="B51" i="55"/>
  <c r="B50" i="55"/>
  <c r="B49" i="55"/>
  <c r="B48" i="55"/>
  <c r="B47" i="55"/>
  <c r="B46" i="55"/>
  <c r="B45" i="55"/>
  <c r="B44" i="55"/>
  <c r="H24" i="55"/>
  <c r="H26" i="55" s="1"/>
  <c r="G24" i="55"/>
  <c r="G26" i="55" s="1"/>
  <c r="F24" i="55"/>
  <c r="F26" i="55" s="1"/>
  <c r="E24" i="55"/>
  <c r="Z22" i="55" s="1"/>
  <c r="D24" i="55"/>
  <c r="Y22" i="55" s="1"/>
  <c r="C24" i="55"/>
  <c r="I23" i="55"/>
  <c r="AD21" i="55" s="1"/>
  <c r="D23" i="55"/>
  <c r="AC21" i="55"/>
  <c r="AB21" i="55"/>
  <c r="AA21" i="55"/>
  <c r="Z21" i="55"/>
  <c r="Y21" i="55"/>
  <c r="X21" i="55"/>
  <c r="AC20" i="55"/>
  <c r="AB20" i="55"/>
  <c r="AA20" i="55"/>
  <c r="Z20" i="55"/>
  <c r="Y20" i="55"/>
  <c r="AC19" i="55"/>
  <c r="AB19" i="55"/>
  <c r="AA19" i="55"/>
  <c r="Y19" i="55"/>
  <c r="X19" i="55"/>
  <c r="AC18" i="55"/>
  <c r="AB18" i="55"/>
  <c r="AA18" i="55"/>
  <c r="AC17" i="55"/>
  <c r="AB17" i="55"/>
  <c r="AA17" i="55"/>
  <c r="W17" i="55"/>
  <c r="AC16" i="55"/>
  <c r="AB16" i="55"/>
  <c r="AA16" i="55"/>
  <c r="X16" i="55"/>
  <c r="AC15" i="55"/>
  <c r="AB15" i="55"/>
  <c r="AA15" i="55"/>
  <c r="Z15" i="55"/>
  <c r="X15" i="55"/>
  <c r="AC14" i="55"/>
  <c r="AB14" i="55"/>
  <c r="AA14" i="55"/>
  <c r="AC13" i="55"/>
  <c r="AB13" i="55"/>
  <c r="AA13" i="55"/>
  <c r="AC6" i="55"/>
  <c r="AB6" i="55"/>
  <c r="AA6" i="55"/>
  <c r="H6" i="55"/>
  <c r="G6" i="55"/>
  <c r="F6" i="55"/>
  <c r="H5" i="55"/>
  <c r="AC5" i="55" s="1"/>
  <c r="G5" i="55"/>
  <c r="F5" i="55"/>
  <c r="AA5" i="55" s="1"/>
  <c r="W3" i="55"/>
  <c r="H2" i="55"/>
  <c r="G2" i="55"/>
  <c r="F2" i="55"/>
  <c r="K25" i="22"/>
  <c r="A25" i="22"/>
  <c r="K24" i="22"/>
  <c r="A24" i="22"/>
  <c r="K23" i="22"/>
  <c r="A23" i="22"/>
  <c r="K22" i="22"/>
  <c r="A22" i="22"/>
  <c r="K21" i="22"/>
  <c r="A21" i="22"/>
  <c r="K20" i="22"/>
  <c r="A20" i="22"/>
  <c r="K19" i="22"/>
  <c r="A19" i="22"/>
  <c r="K18" i="22"/>
  <c r="A18" i="22"/>
  <c r="K17" i="22"/>
  <c r="A17" i="22"/>
  <c r="K16" i="22"/>
  <c r="L128" i="55" s="1"/>
  <c r="K91" i="55" s="1"/>
  <c r="A16" i="22"/>
  <c r="A15" i="22"/>
  <c r="A14" i="22"/>
  <c r="A11" i="22"/>
  <c r="A38" i="51"/>
  <c r="C37" i="51"/>
  <c r="A37" i="51"/>
  <c r="D36" i="51"/>
  <c r="K147" i="55" s="1"/>
  <c r="B36" i="51"/>
  <c r="A36" i="51"/>
  <c r="D35" i="51"/>
  <c r="K146" i="55" s="1"/>
  <c r="B35" i="51"/>
  <c r="A35" i="51"/>
  <c r="D34" i="51"/>
  <c r="B34" i="51"/>
  <c r="A34" i="51"/>
  <c r="D33" i="51"/>
  <c r="K144" i="55" s="1"/>
  <c r="B33" i="51"/>
  <c r="A33" i="51"/>
  <c r="D32" i="51"/>
  <c r="K143" i="55" s="1"/>
  <c r="B32" i="51"/>
  <c r="A32" i="51"/>
  <c r="D31" i="51"/>
  <c r="K142" i="55" s="1"/>
  <c r="B31" i="51"/>
  <c r="A31" i="51"/>
  <c r="D30" i="51"/>
  <c r="K141" i="55" s="1"/>
  <c r="B30" i="51"/>
  <c r="A30" i="51"/>
  <c r="D29" i="51"/>
  <c r="K140" i="55" s="1"/>
  <c r="B29" i="51"/>
  <c r="A29" i="51"/>
  <c r="D28" i="51"/>
  <c r="K139" i="55" s="1"/>
  <c r="B28" i="51"/>
  <c r="A28" i="51"/>
  <c r="D27" i="51"/>
  <c r="K138" i="55" s="1"/>
  <c r="B27" i="51"/>
  <c r="A27" i="51"/>
  <c r="D26" i="51"/>
  <c r="K137" i="55" s="1"/>
  <c r="B26" i="51"/>
  <c r="A26" i="51"/>
  <c r="D25" i="51"/>
  <c r="K136" i="55" s="1"/>
  <c r="B25" i="51"/>
  <c r="A25" i="51"/>
  <c r="D24" i="51"/>
  <c r="K135" i="55" s="1"/>
  <c r="B24" i="51"/>
  <c r="A24" i="51"/>
  <c r="D23" i="51"/>
  <c r="B23" i="51"/>
  <c r="A23" i="51"/>
  <c r="D22" i="51"/>
  <c r="K133" i="55" s="1"/>
  <c r="B22" i="51"/>
  <c r="A22" i="51"/>
  <c r="D21" i="51"/>
  <c r="K132" i="55" s="1"/>
  <c r="B21" i="51"/>
  <c r="A21" i="51"/>
  <c r="D20" i="51"/>
  <c r="B20" i="51"/>
  <c r="A20" i="51"/>
  <c r="D19" i="51"/>
  <c r="B19" i="51"/>
  <c r="A19" i="51"/>
  <c r="D18" i="51"/>
  <c r="B18" i="51"/>
  <c r="A18" i="51"/>
  <c r="D17" i="51"/>
  <c r="B17" i="51"/>
  <c r="A17" i="51"/>
  <c r="A16" i="51"/>
  <c r="A15" i="51"/>
  <c r="A14" i="51"/>
  <c r="A13" i="51"/>
  <c r="A12" i="51"/>
  <c r="A11" i="51"/>
  <c r="A10" i="51"/>
  <c r="A9" i="51"/>
  <c r="A8" i="51"/>
  <c r="A7" i="51"/>
  <c r="C56" i="50"/>
  <c r="D56" i="50" s="1"/>
  <c r="J147" i="55" s="1"/>
  <c r="J110" i="55" s="1"/>
  <c r="B56" i="50"/>
  <c r="C55" i="50"/>
  <c r="D55" i="50" s="1"/>
  <c r="J146" i="55" s="1"/>
  <c r="J109" i="55" s="1"/>
  <c r="B55" i="50"/>
  <c r="C54" i="50"/>
  <c r="D54" i="50" s="1"/>
  <c r="J145" i="55" s="1"/>
  <c r="J108" i="55" s="1"/>
  <c r="B54" i="50"/>
  <c r="C53" i="50"/>
  <c r="D53" i="50" s="1"/>
  <c r="J144" i="55" s="1"/>
  <c r="J107" i="55" s="1"/>
  <c r="B53" i="50"/>
  <c r="C52" i="50"/>
  <c r="D52" i="50" s="1"/>
  <c r="J143" i="55" s="1"/>
  <c r="J106" i="55" s="1"/>
  <c r="B52" i="50"/>
  <c r="C51" i="50"/>
  <c r="D51" i="50" s="1"/>
  <c r="J142" i="55" s="1"/>
  <c r="J105" i="55" s="1"/>
  <c r="B51" i="50"/>
  <c r="C50" i="50"/>
  <c r="D50" i="50" s="1"/>
  <c r="J141" i="55" s="1"/>
  <c r="J104" i="55" s="1"/>
  <c r="B50" i="50"/>
  <c r="C49" i="50"/>
  <c r="D49" i="50" s="1"/>
  <c r="J140" i="55" s="1"/>
  <c r="J103" i="55" s="1"/>
  <c r="B49" i="50"/>
  <c r="C48" i="50"/>
  <c r="D48" i="50" s="1"/>
  <c r="J139" i="55" s="1"/>
  <c r="J102" i="55" s="1"/>
  <c r="B48" i="50"/>
  <c r="C47" i="50"/>
  <c r="D47" i="50" s="1"/>
  <c r="J138" i="55" s="1"/>
  <c r="J101" i="55" s="1"/>
  <c r="B47" i="50"/>
  <c r="C46" i="50"/>
  <c r="D46" i="50" s="1"/>
  <c r="J137" i="55" s="1"/>
  <c r="J100" i="55" s="1"/>
  <c r="B46" i="50"/>
  <c r="C45" i="50"/>
  <c r="D45" i="50" s="1"/>
  <c r="J136" i="55" s="1"/>
  <c r="J99" i="55" s="1"/>
  <c r="B45" i="50"/>
  <c r="C44" i="50"/>
  <c r="D44" i="50" s="1"/>
  <c r="J135" i="55" s="1"/>
  <c r="J98" i="55" s="1"/>
  <c r="B44" i="50"/>
  <c r="C43" i="50"/>
  <c r="D43" i="50" s="1"/>
  <c r="J134" i="55" s="1"/>
  <c r="J97" i="55" s="1"/>
  <c r="B43" i="50"/>
  <c r="C42" i="50"/>
  <c r="D42" i="50" s="1"/>
  <c r="J133" i="55" s="1"/>
  <c r="J96" i="55" s="1"/>
  <c r="B42" i="50"/>
  <c r="C41" i="50"/>
  <c r="D41" i="50" s="1"/>
  <c r="J132" i="55" s="1"/>
  <c r="J95" i="55" s="1"/>
  <c r="B41" i="50"/>
  <c r="C40" i="50"/>
  <c r="D40" i="50" s="1"/>
  <c r="J131" i="55" s="1"/>
  <c r="J94" i="55" s="1"/>
  <c r="B40" i="50"/>
  <c r="C39" i="50"/>
  <c r="D39" i="50" s="1"/>
  <c r="J130" i="55" s="1"/>
  <c r="J93" i="55" s="1"/>
  <c r="B39" i="50"/>
  <c r="C38" i="50"/>
  <c r="D38" i="50" s="1"/>
  <c r="J129" i="55" s="1"/>
  <c r="J92" i="55" s="1"/>
  <c r="B38" i="50"/>
  <c r="C37" i="50"/>
  <c r="D37" i="50" s="1"/>
  <c r="J128" i="55" s="1"/>
  <c r="J91" i="55" s="1"/>
  <c r="B37" i="50"/>
  <c r="B30" i="50"/>
  <c r="B29" i="50"/>
  <c r="B28" i="50"/>
  <c r="B27" i="50"/>
  <c r="B26" i="50"/>
  <c r="B25" i="50"/>
  <c r="B24" i="50"/>
  <c r="B23" i="50"/>
  <c r="B22" i="50"/>
  <c r="B21" i="50"/>
  <c r="B20" i="50"/>
  <c r="B19" i="50"/>
  <c r="B18" i="50"/>
  <c r="B17" i="50"/>
  <c r="B16" i="50"/>
  <c r="B15" i="50"/>
  <c r="B14" i="50"/>
  <c r="B13" i="50"/>
  <c r="B12" i="50"/>
  <c r="B11" i="50"/>
  <c r="B55" i="49"/>
  <c r="B54" i="49"/>
  <c r="B53" i="49"/>
  <c r="B52" i="49"/>
  <c r="B51" i="49"/>
  <c r="B50" i="49"/>
  <c r="B49" i="49"/>
  <c r="B48" i="49"/>
  <c r="B47" i="49"/>
  <c r="B46" i="49"/>
  <c r="B45" i="49"/>
  <c r="B44" i="49"/>
  <c r="B43" i="49"/>
  <c r="B42" i="49"/>
  <c r="B41" i="49"/>
  <c r="B40" i="49"/>
  <c r="B39" i="49"/>
  <c r="B38" i="49"/>
  <c r="B37" i="49"/>
  <c r="B36" i="49"/>
  <c r="B30" i="49"/>
  <c r="B29" i="49"/>
  <c r="B28" i="49"/>
  <c r="B27" i="49"/>
  <c r="B26" i="49"/>
  <c r="B25" i="49"/>
  <c r="B24" i="49"/>
  <c r="B23" i="49"/>
  <c r="B22" i="49"/>
  <c r="B21" i="49"/>
  <c r="B20" i="49"/>
  <c r="B19" i="49"/>
  <c r="B18" i="49"/>
  <c r="B17" i="49"/>
  <c r="B16" i="49"/>
  <c r="B15" i="49"/>
  <c r="B14" i="49"/>
  <c r="B13" i="49"/>
  <c r="B12" i="49"/>
  <c r="B11" i="49"/>
  <c r="B233" i="21"/>
  <c r="B232" i="21"/>
  <c r="B231" i="21"/>
  <c r="B230" i="21"/>
  <c r="B229" i="21"/>
  <c r="B228" i="21"/>
  <c r="B227" i="21"/>
  <c r="B226" i="21"/>
  <c r="B225" i="21"/>
  <c r="B224" i="21"/>
  <c r="B223" i="21"/>
  <c r="B222" i="21"/>
  <c r="B221" i="21"/>
  <c r="B220" i="21"/>
  <c r="B219" i="21"/>
  <c r="B218" i="21"/>
  <c r="B217" i="21"/>
  <c r="B216" i="21"/>
  <c r="B215" i="21"/>
  <c r="B214" i="21"/>
  <c r="B206" i="21"/>
  <c r="B205" i="21"/>
  <c r="B204" i="21"/>
  <c r="B203" i="21"/>
  <c r="B202" i="21"/>
  <c r="B201" i="21"/>
  <c r="B200" i="21"/>
  <c r="B199" i="21"/>
  <c r="B198" i="21"/>
  <c r="B197" i="21"/>
  <c r="B196" i="21"/>
  <c r="B195" i="21"/>
  <c r="B194" i="21"/>
  <c r="B193" i="21"/>
  <c r="B192" i="21"/>
  <c r="B191" i="21"/>
  <c r="B190" i="21"/>
  <c r="B189" i="21"/>
  <c r="B188" i="21"/>
  <c r="B187" i="21"/>
  <c r="B179" i="21"/>
  <c r="B178" i="21"/>
  <c r="B177" i="21"/>
  <c r="B176" i="21"/>
  <c r="B175" i="21"/>
  <c r="B174" i="21"/>
  <c r="B173" i="21"/>
  <c r="B172" i="21"/>
  <c r="B171" i="21"/>
  <c r="B170" i="21"/>
  <c r="B169" i="21"/>
  <c r="B168" i="21"/>
  <c r="B167" i="21"/>
  <c r="B166" i="21"/>
  <c r="B165" i="21"/>
  <c r="B164" i="21"/>
  <c r="B163" i="21"/>
  <c r="B162" i="21"/>
  <c r="B161" i="21"/>
  <c r="B160" i="21"/>
  <c r="C158" i="21"/>
  <c r="C185" i="21" s="1"/>
  <c r="C212" i="21" s="1"/>
  <c r="C151" i="21"/>
  <c r="D151" i="21" s="1"/>
  <c r="B151" i="21"/>
  <c r="C150" i="21"/>
  <c r="C205" i="21" s="1"/>
  <c r="D205" i="21" s="1"/>
  <c r="D71" i="21" s="1"/>
  <c r="B150" i="21"/>
  <c r="C149" i="21"/>
  <c r="C204" i="21" s="1"/>
  <c r="D204" i="21" s="1"/>
  <c r="D70" i="21" s="1"/>
  <c r="B149" i="21"/>
  <c r="C148" i="21"/>
  <c r="C230" i="21" s="1"/>
  <c r="D230" i="21" s="1"/>
  <c r="E69" i="21" s="1"/>
  <c r="B148" i="21"/>
  <c r="C147" i="21"/>
  <c r="C229" i="21" s="1"/>
  <c r="D229" i="21" s="1"/>
  <c r="E68" i="21" s="1"/>
  <c r="B147" i="21"/>
  <c r="C146" i="21"/>
  <c r="C228" i="21" s="1"/>
  <c r="D228" i="21" s="1"/>
  <c r="E67" i="21" s="1"/>
  <c r="B146" i="21"/>
  <c r="C145" i="21"/>
  <c r="C200" i="21" s="1"/>
  <c r="D200" i="21" s="1"/>
  <c r="D66" i="21" s="1"/>
  <c r="B145" i="21"/>
  <c r="C144" i="21"/>
  <c r="D144" i="21" s="1"/>
  <c r="B144" i="21"/>
  <c r="C143" i="21"/>
  <c r="D143" i="21" s="1"/>
  <c r="B143" i="21"/>
  <c r="C142" i="21"/>
  <c r="C197" i="21" s="1"/>
  <c r="D197" i="21" s="1"/>
  <c r="D63" i="21" s="1"/>
  <c r="B142" i="21"/>
  <c r="C141" i="21"/>
  <c r="C196" i="21" s="1"/>
  <c r="D196" i="21" s="1"/>
  <c r="D62" i="21" s="1"/>
  <c r="B141" i="21"/>
  <c r="C140" i="21"/>
  <c r="C222" i="21" s="1"/>
  <c r="D222" i="21" s="1"/>
  <c r="E61" i="21" s="1"/>
  <c r="B140" i="21"/>
  <c r="C139" i="21"/>
  <c r="C221" i="21" s="1"/>
  <c r="D221" i="21" s="1"/>
  <c r="E60" i="21" s="1"/>
  <c r="B139" i="21"/>
  <c r="C138" i="21"/>
  <c r="C193" i="21" s="1"/>
  <c r="D193" i="21" s="1"/>
  <c r="D59" i="21" s="1"/>
  <c r="B138" i="21"/>
  <c r="C137" i="21"/>
  <c r="C192" i="21" s="1"/>
  <c r="D192" i="21" s="1"/>
  <c r="D58" i="21" s="1"/>
  <c r="B137" i="21"/>
  <c r="C136" i="21"/>
  <c r="D136" i="21" s="1"/>
  <c r="B136" i="21"/>
  <c r="C135" i="21"/>
  <c r="D135" i="21" s="1"/>
  <c r="B135" i="21"/>
  <c r="C134" i="21"/>
  <c r="D134" i="21" s="1"/>
  <c r="B134" i="21"/>
  <c r="C133" i="21"/>
  <c r="C161" i="21" s="1"/>
  <c r="D161" i="21" s="1"/>
  <c r="C54" i="21" s="1"/>
  <c r="B133" i="21"/>
  <c r="C132" i="21"/>
  <c r="B132" i="21"/>
  <c r="R102" i="21"/>
  <c r="R103" i="21" s="1"/>
  <c r="R77" i="21"/>
  <c r="R78" i="21" s="1"/>
  <c r="B72" i="21"/>
  <c r="B71" i="21"/>
  <c r="B70" i="21"/>
  <c r="B69" i="21"/>
  <c r="B68" i="21"/>
  <c r="B67" i="21"/>
  <c r="B66" i="21"/>
  <c r="B65" i="21"/>
  <c r="B64" i="21"/>
  <c r="B63" i="21"/>
  <c r="B62" i="21"/>
  <c r="B61" i="21"/>
  <c r="B60" i="21"/>
  <c r="B59" i="21"/>
  <c r="B58" i="21"/>
  <c r="B57" i="21"/>
  <c r="B56" i="21"/>
  <c r="B55" i="21"/>
  <c r="B54" i="21"/>
  <c r="B53" i="21"/>
  <c r="B47" i="21"/>
  <c r="B46" i="21"/>
  <c r="B45" i="21"/>
  <c r="B44" i="21"/>
  <c r="B43" i="21"/>
  <c r="B42" i="21"/>
  <c r="B41" i="21"/>
  <c r="B40" i="21"/>
  <c r="B39" i="21"/>
  <c r="B38" i="21"/>
  <c r="B37" i="21"/>
  <c r="B36" i="21"/>
  <c r="B35" i="21"/>
  <c r="B34" i="21"/>
  <c r="B33" i="21"/>
  <c r="B32" i="21"/>
  <c r="B31" i="21"/>
  <c r="B30" i="21"/>
  <c r="B29" i="21"/>
  <c r="B28" i="21"/>
  <c r="C20" i="21"/>
  <c r="A16" i="21"/>
  <c r="A15" i="21"/>
  <c r="B337" i="53"/>
  <c r="B336" i="53"/>
  <c r="B335" i="53"/>
  <c r="B334" i="53"/>
  <c r="B333" i="53"/>
  <c r="B332" i="53"/>
  <c r="B331" i="53"/>
  <c r="B330" i="53"/>
  <c r="B329" i="53"/>
  <c r="B328" i="53"/>
  <c r="B327" i="53"/>
  <c r="B326" i="53"/>
  <c r="B325" i="53"/>
  <c r="B324" i="53"/>
  <c r="B323" i="53"/>
  <c r="B322" i="53"/>
  <c r="B321" i="53"/>
  <c r="B320" i="53"/>
  <c r="B319" i="53"/>
  <c r="B318" i="53"/>
  <c r="C317" i="53"/>
  <c r="B312" i="53"/>
  <c r="B311" i="53"/>
  <c r="B310" i="53"/>
  <c r="B309" i="53"/>
  <c r="B308" i="53"/>
  <c r="B307" i="53"/>
  <c r="B306" i="53"/>
  <c r="B305" i="53"/>
  <c r="B304" i="53"/>
  <c r="B303" i="53"/>
  <c r="B302" i="53"/>
  <c r="B301" i="53"/>
  <c r="B300" i="53"/>
  <c r="B299" i="53"/>
  <c r="B298" i="53"/>
  <c r="B297" i="53"/>
  <c r="B296" i="53"/>
  <c r="B295" i="53"/>
  <c r="B294" i="53"/>
  <c r="B293" i="53"/>
  <c r="C292" i="53"/>
  <c r="B287" i="53"/>
  <c r="B286" i="53"/>
  <c r="B285" i="53"/>
  <c r="B284" i="53"/>
  <c r="B283" i="53"/>
  <c r="B282" i="53"/>
  <c r="B281" i="53"/>
  <c r="B280" i="53"/>
  <c r="B279" i="53"/>
  <c r="B278" i="53"/>
  <c r="B277" i="53"/>
  <c r="B276" i="53"/>
  <c r="B275" i="53"/>
  <c r="B274" i="53"/>
  <c r="B273" i="53"/>
  <c r="B272" i="53"/>
  <c r="B271" i="53"/>
  <c r="B270" i="53"/>
  <c r="B269" i="53"/>
  <c r="B268" i="53"/>
  <c r="C267" i="53"/>
  <c r="B262" i="53"/>
  <c r="B261" i="53"/>
  <c r="B260" i="53"/>
  <c r="B259" i="53"/>
  <c r="B258" i="53"/>
  <c r="B257" i="53"/>
  <c r="B256" i="53"/>
  <c r="B255" i="53"/>
  <c r="B254" i="53"/>
  <c r="B253" i="53"/>
  <c r="B252" i="53"/>
  <c r="B251" i="53"/>
  <c r="B250" i="53"/>
  <c r="B249" i="53"/>
  <c r="B248" i="53"/>
  <c r="B247" i="53"/>
  <c r="B246" i="53"/>
  <c r="B245" i="53"/>
  <c r="B244" i="53"/>
  <c r="B243" i="53"/>
  <c r="C242" i="53"/>
  <c r="B235" i="53"/>
  <c r="B234" i="53"/>
  <c r="B233" i="53"/>
  <c r="B232" i="53"/>
  <c r="B231" i="53"/>
  <c r="B230" i="53"/>
  <c r="B229" i="53"/>
  <c r="B228" i="53"/>
  <c r="B227" i="53"/>
  <c r="B226" i="53"/>
  <c r="B225" i="53"/>
  <c r="B224" i="53"/>
  <c r="B223" i="53"/>
  <c r="B222" i="53"/>
  <c r="B221" i="53"/>
  <c r="B220" i="53"/>
  <c r="B219" i="53"/>
  <c r="B218" i="53"/>
  <c r="B217" i="53"/>
  <c r="B216" i="53"/>
  <c r="H215" i="53"/>
  <c r="G215" i="53"/>
  <c r="F215" i="53"/>
  <c r="E215" i="53"/>
  <c r="D215" i="53"/>
  <c r="B210" i="53"/>
  <c r="B209" i="53"/>
  <c r="B208" i="53"/>
  <c r="B207" i="53"/>
  <c r="B206" i="53"/>
  <c r="B205" i="53"/>
  <c r="B204" i="53"/>
  <c r="B203" i="53"/>
  <c r="B202" i="53"/>
  <c r="B201" i="53"/>
  <c r="B200" i="53"/>
  <c r="B199" i="53"/>
  <c r="B198" i="53"/>
  <c r="B197" i="53"/>
  <c r="B196" i="53"/>
  <c r="B195" i="53"/>
  <c r="B194" i="53"/>
  <c r="B193" i="53"/>
  <c r="B192" i="53"/>
  <c r="B191" i="53"/>
  <c r="H190" i="53"/>
  <c r="G190" i="53"/>
  <c r="F190" i="53"/>
  <c r="E190" i="53"/>
  <c r="D190" i="53"/>
  <c r="B185" i="53"/>
  <c r="B184" i="53"/>
  <c r="B183" i="53"/>
  <c r="B182" i="53"/>
  <c r="B181" i="53"/>
  <c r="B180" i="53"/>
  <c r="B179" i="53"/>
  <c r="B178" i="53"/>
  <c r="B177" i="53"/>
  <c r="B176" i="53"/>
  <c r="B175" i="53"/>
  <c r="B174" i="53"/>
  <c r="B173" i="53"/>
  <c r="B172" i="53"/>
  <c r="B171" i="53"/>
  <c r="B170" i="53"/>
  <c r="B169" i="53"/>
  <c r="B168" i="53"/>
  <c r="B167" i="53"/>
  <c r="B166" i="53"/>
  <c r="H165" i="53"/>
  <c r="G165" i="53"/>
  <c r="F165" i="53"/>
  <c r="E165" i="53"/>
  <c r="D165" i="53"/>
  <c r="G160" i="53"/>
  <c r="D160" i="53"/>
  <c r="B160" i="53"/>
  <c r="F160" i="53" s="1"/>
  <c r="G159" i="53"/>
  <c r="D159" i="53"/>
  <c r="B159" i="53"/>
  <c r="F159" i="53" s="1"/>
  <c r="G158" i="53"/>
  <c r="D158" i="53"/>
  <c r="B158" i="53"/>
  <c r="F158" i="53" s="1"/>
  <c r="G157" i="53"/>
  <c r="D157" i="53"/>
  <c r="B157" i="53"/>
  <c r="F157" i="53" s="1"/>
  <c r="G156" i="53"/>
  <c r="D156" i="53"/>
  <c r="B156" i="53"/>
  <c r="F156" i="53" s="1"/>
  <c r="G155" i="53"/>
  <c r="D155" i="53"/>
  <c r="B155" i="53"/>
  <c r="F155" i="53" s="1"/>
  <c r="G154" i="53"/>
  <c r="D154" i="53"/>
  <c r="B154" i="53"/>
  <c r="F154" i="53" s="1"/>
  <c r="G153" i="53"/>
  <c r="D153" i="53"/>
  <c r="B153" i="53"/>
  <c r="F153" i="53" s="1"/>
  <c r="G152" i="53"/>
  <c r="D152" i="53"/>
  <c r="B152" i="53"/>
  <c r="F152" i="53" s="1"/>
  <c r="G151" i="53"/>
  <c r="D151" i="53"/>
  <c r="B151" i="53"/>
  <c r="F151" i="53" s="1"/>
  <c r="G150" i="53"/>
  <c r="D150" i="53"/>
  <c r="B150" i="53"/>
  <c r="F150" i="53" s="1"/>
  <c r="G149" i="53"/>
  <c r="D149" i="53"/>
  <c r="B149" i="53"/>
  <c r="F149" i="53" s="1"/>
  <c r="G148" i="53"/>
  <c r="D148" i="53"/>
  <c r="B148" i="53"/>
  <c r="F148" i="53" s="1"/>
  <c r="G147" i="53"/>
  <c r="D147" i="53"/>
  <c r="B147" i="53"/>
  <c r="F147" i="53" s="1"/>
  <c r="G146" i="53"/>
  <c r="D146" i="53"/>
  <c r="B146" i="53"/>
  <c r="F146" i="53" s="1"/>
  <c r="G145" i="53"/>
  <c r="D145" i="53"/>
  <c r="B145" i="53"/>
  <c r="F145" i="53" s="1"/>
  <c r="G144" i="53"/>
  <c r="D144" i="53"/>
  <c r="B144" i="53"/>
  <c r="F144" i="53" s="1"/>
  <c r="G143" i="53"/>
  <c r="D143" i="53"/>
  <c r="B143" i="53"/>
  <c r="F143" i="53" s="1"/>
  <c r="F168" i="53" s="1"/>
  <c r="G142" i="53"/>
  <c r="D142" i="53"/>
  <c r="B142" i="53"/>
  <c r="F142" i="53" s="1"/>
  <c r="G141" i="53"/>
  <c r="D141" i="53"/>
  <c r="B141" i="53"/>
  <c r="F141" i="53" s="1"/>
  <c r="H140" i="53"/>
  <c r="G140" i="53"/>
  <c r="F140" i="53"/>
  <c r="E140" i="53"/>
  <c r="D140" i="53"/>
  <c r="H136" i="53"/>
  <c r="F136" i="53"/>
  <c r="D136" i="53"/>
  <c r="C136" i="53"/>
  <c r="B136" i="53"/>
  <c r="H135" i="53"/>
  <c r="F135" i="53"/>
  <c r="D135" i="53"/>
  <c r="C135" i="53"/>
  <c r="B135" i="53"/>
  <c r="H134" i="53"/>
  <c r="F134" i="53"/>
  <c r="D134" i="53"/>
  <c r="C134" i="53"/>
  <c r="B134" i="53"/>
  <c r="H133" i="53"/>
  <c r="F133" i="53"/>
  <c r="D133" i="53"/>
  <c r="C133" i="53"/>
  <c r="B133" i="53"/>
  <c r="H132" i="53"/>
  <c r="F132" i="53"/>
  <c r="D132" i="53"/>
  <c r="C132" i="53"/>
  <c r="B132" i="53"/>
  <c r="H131" i="53"/>
  <c r="F131" i="53"/>
  <c r="H126" i="53"/>
  <c r="F126" i="53"/>
  <c r="D126" i="53"/>
  <c r="C126" i="53"/>
  <c r="B126" i="53"/>
  <c r="H125" i="53"/>
  <c r="F125" i="53"/>
  <c r="D125" i="53"/>
  <c r="C125" i="53"/>
  <c r="B125" i="53"/>
  <c r="H124" i="53"/>
  <c r="F124" i="53"/>
  <c r="D124" i="53"/>
  <c r="C124" i="53"/>
  <c r="B124" i="53"/>
  <c r="H123" i="53"/>
  <c r="F123" i="53"/>
  <c r="D123" i="53"/>
  <c r="C123" i="53"/>
  <c r="B123" i="53"/>
  <c r="H122" i="53"/>
  <c r="F122" i="53"/>
  <c r="D122" i="53"/>
  <c r="C122" i="53"/>
  <c r="B122" i="53"/>
  <c r="H121" i="53"/>
  <c r="F121" i="53"/>
  <c r="H116" i="53"/>
  <c r="F116" i="53"/>
  <c r="D116" i="53"/>
  <c r="C116" i="53"/>
  <c r="B116" i="53"/>
  <c r="H115" i="53"/>
  <c r="F115" i="53"/>
  <c r="D115" i="53"/>
  <c r="C115" i="53"/>
  <c r="B115" i="53"/>
  <c r="H114" i="53"/>
  <c r="F114" i="53"/>
  <c r="D114" i="53"/>
  <c r="C114" i="53"/>
  <c r="B114" i="53"/>
  <c r="H113" i="53"/>
  <c r="F113" i="53"/>
  <c r="D113" i="53"/>
  <c r="C113" i="53"/>
  <c r="B113" i="53"/>
  <c r="H112" i="53"/>
  <c r="F112" i="53"/>
  <c r="D112" i="53"/>
  <c r="C112" i="53"/>
  <c r="B112" i="53"/>
  <c r="H111" i="53"/>
  <c r="F111" i="53"/>
  <c r="D83" i="53"/>
  <c r="C83" i="53"/>
  <c r="E83" i="53" s="1"/>
  <c r="B83" i="53"/>
  <c r="B82" i="53"/>
  <c r="D81" i="53"/>
  <c r="C81" i="53"/>
  <c r="E81" i="53" s="1"/>
  <c r="B81" i="53"/>
  <c r="B80" i="53"/>
  <c r="D79" i="53"/>
  <c r="C79" i="53"/>
  <c r="E79" i="53" s="1"/>
  <c r="B79" i="53"/>
  <c r="B78" i="53"/>
  <c r="D77" i="53"/>
  <c r="C77" i="53"/>
  <c r="E77" i="53" s="1"/>
  <c r="B77" i="53"/>
  <c r="B76" i="53"/>
  <c r="D75" i="53"/>
  <c r="C75" i="53"/>
  <c r="E75" i="53" s="1"/>
  <c r="B75" i="53"/>
  <c r="B74" i="53"/>
  <c r="D73" i="53"/>
  <c r="C73" i="53"/>
  <c r="E73" i="53" s="1"/>
  <c r="B73" i="53"/>
  <c r="B72" i="53"/>
  <c r="D71" i="53"/>
  <c r="C71" i="53"/>
  <c r="E71" i="53" s="1"/>
  <c r="B71" i="53"/>
  <c r="B70" i="53"/>
  <c r="D69" i="53"/>
  <c r="C69" i="53"/>
  <c r="E69" i="53" s="1"/>
  <c r="B69" i="53"/>
  <c r="B68" i="53"/>
  <c r="D67" i="53"/>
  <c r="C67" i="53"/>
  <c r="E67" i="53" s="1"/>
  <c r="B67" i="53"/>
  <c r="B66" i="53"/>
  <c r="D65" i="53"/>
  <c r="C65" i="53"/>
  <c r="B65" i="53"/>
  <c r="B64" i="53"/>
  <c r="B39" i="53"/>
  <c r="B38" i="53"/>
  <c r="B37" i="53"/>
  <c r="B36" i="53"/>
  <c r="B35" i="53"/>
  <c r="B34" i="53"/>
  <c r="B33" i="53"/>
  <c r="B32" i="53"/>
  <c r="B31" i="53"/>
  <c r="B30" i="53"/>
  <c r="B29" i="53"/>
  <c r="B28" i="53"/>
  <c r="B27" i="53"/>
  <c r="B26" i="53"/>
  <c r="B25" i="53"/>
  <c r="B24" i="53"/>
  <c r="B23" i="53"/>
  <c r="B22" i="53"/>
  <c r="B21" i="53"/>
  <c r="B20" i="53"/>
  <c r="B183" i="20"/>
  <c r="B182" i="20"/>
  <c r="B181" i="20"/>
  <c r="B180" i="20"/>
  <c r="B179" i="20"/>
  <c r="B178" i="20"/>
  <c r="B177" i="20"/>
  <c r="B176" i="20"/>
  <c r="B175" i="20"/>
  <c r="B174" i="20"/>
  <c r="B173" i="20"/>
  <c r="B172" i="20"/>
  <c r="B171" i="20"/>
  <c r="B170" i="20"/>
  <c r="B169" i="20"/>
  <c r="B168" i="20"/>
  <c r="B167" i="20"/>
  <c r="B166" i="20"/>
  <c r="B165" i="20"/>
  <c r="B164" i="20"/>
  <c r="B158" i="20"/>
  <c r="B157" i="20"/>
  <c r="B156" i="20"/>
  <c r="B155" i="20"/>
  <c r="B154" i="20"/>
  <c r="B153" i="20"/>
  <c r="B152" i="20"/>
  <c r="B151" i="20"/>
  <c r="B150" i="20"/>
  <c r="B149" i="20"/>
  <c r="B148" i="20"/>
  <c r="B147" i="20"/>
  <c r="B146" i="20"/>
  <c r="B145" i="20"/>
  <c r="B144" i="20"/>
  <c r="B143" i="20"/>
  <c r="B142" i="20"/>
  <c r="B141" i="20"/>
  <c r="B140" i="20"/>
  <c r="B139" i="20"/>
  <c r="E138" i="20"/>
  <c r="C138" i="20"/>
  <c r="E137" i="20"/>
  <c r="D137" i="20"/>
  <c r="C137" i="20"/>
  <c r="J136" i="20"/>
  <c r="I136" i="20"/>
  <c r="H136" i="20"/>
  <c r="G136" i="20"/>
  <c r="F136" i="20"/>
  <c r="E136" i="20"/>
  <c r="D136" i="20"/>
  <c r="C136" i="20"/>
  <c r="I130" i="20"/>
  <c r="G130" i="20"/>
  <c r="D130" i="20"/>
  <c r="B130" i="20"/>
  <c r="J130" i="20" s="1"/>
  <c r="B129" i="20"/>
  <c r="J129" i="20" s="1"/>
  <c r="B128" i="20"/>
  <c r="H128" i="20" s="1"/>
  <c r="J127" i="20"/>
  <c r="G127" i="20"/>
  <c r="B127" i="20"/>
  <c r="G126" i="20"/>
  <c r="F126" i="20"/>
  <c r="E126" i="20"/>
  <c r="B126" i="20"/>
  <c r="F125" i="20"/>
  <c r="D125" i="20"/>
  <c r="B125" i="20"/>
  <c r="J125" i="20" s="1"/>
  <c r="B124" i="20"/>
  <c r="E124" i="20" s="1"/>
  <c r="J123" i="20"/>
  <c r="I123" i="20"/>
  <c r="B123" i="20"/>
  <c r="I122" i="20"/>
  <c r="G122" i="20"/>
  <c r="D122" i="20"/>
  <c r="B122" i="20"/>
  <c r="J122" i="20" s="1"/>
  <c r="B121" i="20"/>
  <c r="E121" i="20" s="1"/>
  <c r="B120" i="20"/>
  <c r="G120" i="20" s="1"/>
  <c r="J119" i="20"/>
  <c r="G119" i="20"/>
  <c r="B119" i="20"/>
  <c r="G118" i="20"/>
  <c r="F118" i="20"/>
  <c r="E118" i="20"/>
  <c r="B118" i="20"/>
  <c r="F117" i="20"/>
  <c r="D117" i="20"/>
  <c r="B117" i="20"/>
  <c r="J117" i="20" s="1"/>
  <c r="B116" i="20"/>
  <c r="E116" i="20" s="1"/>
  <c r="J115" i="20"/>
  <c r="I115" i="20"/>
  <c r="B115" i="20"/>
  <c r="I114" i="20"/>
  <c r="G114" i="20"/>
  <c r="D114" i="20"/>
  <c r="B114" i="20"/>
  <c r="J114" i="20" s="1"/>
  <c r="B113" i="20"/>
  <c r="J113" i="20" s="1"/>
  <c r="I112" i="20"/>
  <c r="F112" i="20"/>
  <c r="E112" i="20"/>
  <c r="D112" i="20"/>
  <c r="C112" i="20"/>
  <c r="B112" i="20"/>
  <c r="G112" i="20" s="1"/>
  <c r="J111" i="20"/>
  <c r="G111" i="20"/>
  <c r="E111" i="20"/>
  <c r="B111" i="20"/>
  <c r="B82" i="20"/>
  <c r="B81" i="20"/>
  <c r="B80" i="20"/>
  <c r="B79" i="20"/>
  <c r="B78" i="20"/>
  <c r="B77" i="20"/>
  <c r="B76" i="20"/>
  <c r="B75" i="20"/>
  <c r="B74" i="20"/>
  <c r="B73" i="20"/>
  <c r="B72" i="20"/>
  <c r="B71" i="20"/>
  <c r="B70" i="20"/>
  <c r="B69" i="20"/>
  <c r="B68" i="20"/>
  <c r="B67" i="20"/>
  <c r="B66" i="20"/>
  <c r="B65" i="20"/>
  <c r="B64" i="20"/>
  <c r="B63" i="20"/>
  <c r="C49" i="20"/>
  <c r="D48" i="20"/>
  <c r="B34" i="20"/>
  <c r="B33" i="20"/>
  <c r="B32" i="20"/>
  <c r="B31" i="20"/>
  <c r="B30" i="20"/>
  <c r="B29" i="20"/>
  <c r="B28" i="20"/>
  <c r="B27" i="20"/>
  <c r="B26" i="20"/>
  <c r="B25" i="20"/>
  <c r="B24" i="20"/>
  <c r="B23" i="20"/>
  <c r="B22" i="20"/>
  <c r="B21" i="20"/>
  <c r="B20" i="20"/>
  <c r="B19" i="20"/>
  <c r="E127" i="20" s="1"/>
  <c r="B18" i="20"/>
  <c r="B17" i="20"/>
  <c r="I128" i="20" s="1"/>
  <c r="B16" i="20"/>
  <c r="B15" i="20"/>
  <c r="C125" i="20" s="1"/>
  <c r="B235" i="10"/>
  <c r="B234" i="10"/>
  <c r="B233" i="10"/>
  <c r="B232" i="10"/>
  <c r="B231" i="10"/>
  <c r="B230" i="10"/>
  <c r="B229" i="10"/>
  <c r="B228" i="10"/>
  <c r="B227" i="10"/>
  <c r="B226" i="10"/>
  <c r="B225" i="10"/>
  <c r="B224" i="10"/>
  <c r="B223" i="10"/>
  <c r="B222" i="10"/>
  <c r="B221" i="10"/>
  <c r="B220" i="10"/>
  <c r="B219" i="10"/>
  <c r="B218" i="10"/>
  <c r="B217" i="10"/>
  <c r="B216" i="10"/>
  <c r="C215" i="10"/>
  <c r="B210" i="10"/>
  <c r="B209" i="10"/>
  <c r="B208" i="10"/>
  <c r="B207" i="10"/>
  <c r="B206" i="10"/>
  <c r="B205" i="10"/>
  <c r="B204" i="10"/>
  <c r="B203" i="10"/>
  <c r="B202" i="10"/>
  <c r="B201" i="10"/>
  <c r="B200" i="10"/>
  <c r="B199" i="10"/>
  <c r="B198" i="10"/>
  <c r="B197" i="10"/>
  <c r="B196" i="10"/>
  <c r="B195" i="10"/>
  <c r="B194" i="10"/>
  <c r="B193" i="10"/>
  <c r="B192" i="10"/>
  <c r="B191" i="10"/>
  <c r="C190" i="10"/>
  <c r="B185" i="10"/>
  <c r="B184" i="10"/>
  <c r="B183" i="10"/>
  <c r="B182" i="10"/>
  <c r="B181" i="10"/>
  <c r="B180" i="10"/>
  <c r="B179" i="10"/>
  <c r="B178" i="10"/>
  <c r="B177" i="10"/>
  <c r="B176" i="10"/>
  <c r="B175" i="10"/>
  <c r="B174" i="10"/>
  <c r="B173" i="10"/>
  <c r="B172" i="10"/>
  <c r="B171" i="10"/>
  <c r="B170" i="10"/>
  <c r="B169" i="10"/>
  <c r="B168" i="10"/>
  <c r="B167" i="10"/>
  <c r="B166" i="10"/>
  <c r="C165" i="10"/>
  <c r="B160" i="10"/>
  <c r="C160" i="10" s="1"/>
  <c r="B159" i="10"/>
  <c r="C159" i="10" s="1"/>
  <c r="C158" i="10"/>
  <c r="B158" i="10"/>
  <c r="C157" i="10"/>
  <c r="B157" i="10"/>
  <c r="B156" i="10"/>
  <c r="C156" i="10" s="1"/>
  <c r="C155" i="10"/>
  <c r="B155" i="10"/>
  <c r="C154" i="10"/>
  <c r="B154" i="10"/>
  <c r="C153" i="10"/>
  <c r="B153" i="10"/>
  <c r="B152" i="10"/>
  <c r="C152" i="10" s="1"/>
  <c r="B151" i="10"/>
  <c r="C151" i="10" s="1"/>
  <c r="C150" i="10"/>
  <c r="B150" i="10"/>
  <c r="C149" i="10"/>
  <c r="B149" i="10"/>
  <c r="B148" i="10"/>
  <c r="C148" i="10" s="1"/>
  <c r="B147" i="10"/>
  <c r="C147" i="10" s="1"/>
  <c r="C146" i="10"/>
  <c r="B146" i="10"/>
  <c r="C145" i="10"/>
  <c r="B145" i="10"/>
  <c r="B144" i="10"/>
  <c r="C144" i="10" s="1"/>
  <c r="B143" i="10"/>
  <c r="C143" i="10" s="1"/>
  <c r="C142" i="10"/>
  <c r="B142" i="10"/>
  <c r="C141" i="10"/>
  <c r="B141" i="10"/>
  <c r="C140" i="10"/>
  <c r="H136" i="10"/>
  <c r="F136" i="10"/>
  <c r="H135" i="10"/>
  <c r="F135" i="10"/>
  <c r="H134" i="10"/>
  <c r="F134" i="10"/>
  <c r="H133" i="10"/>
  <c r="F133" i="10"/>
  <c r="H132" i="10"/>
  <c r="F132" i="10"/>
  <c r="H131" i="10"/>
  <c r="F131" i="10"/>
  <c r="B131" i="10"/>
  <c r="C131" i="10" s="1"/>
  <c r="H126" i="10"/>
  <c r="F126" i="10"/>
  <c r="H125" i="10"/>
  <c r="F125" i="10"/>
  <c r="H124" i="10"/>
  <c r="F124" i="10"/>
  <c r="H123" i="10"/>
  <c r="F123" i="10"/>
  <c r="H122" i="10"/>
  <c r="F122" i="10"/>
  <c r="H121" i="10"/>
  <c r="F121" i="10"/>
  <c r="C121" i="10"/>
  <c r="B121" i="10"/>
  <c r="H116" i="10"/>
  <c r="F116" i="10"/>
  <c r="H115" i="10"/>
  <c r="F115" i="10"/>
  <c r="H114" i="10"/>
  <c r="F114" i="10"/>
  <c r="H113" i="10"/>
  <c r="F113" i="10"/>
  <c r="H112" i="10"/>
  <c r="F112" i="10"/>
  <c r="H111" i="10"/>
  <c r="F111" i="10"/>
  <c r="C111" i="10"/>
  <c r="B111" i="10"/>
  <c r="C83" i="10"/>
  <c r="B83" i="10"/>
  <c r="C82" i="10"/>
  <c r="B82" i="10"/>
  <c r="B81" i="10"/>
  <c r="C81" i="10" s="1"/>
  <c r="B80" i="10"/>
  <c r="C80" i="10" s="1"/>
  <c r="C79" i="10"/>
  <c r="B79" i="10"/>
  <c r="C78" i="10"/>
  <c r="B78" i="10"/>
  <c r="B77" i="10"/>
  <c r="C77" i="10" s="1"/>
  <c r="C76" i="10"/>
  <c r="B76" i="10"/>
  <c r="C75" i="10"/>
  <c r="B75" i="10"/>
  <c r="C74" i="10"/>
  <c r="B74" i="10"/>
  <c r="B73" i="10"/>
  <c r="C73" i="10" s="1"/>
  <c r="B72" i="10"/>
  <c r="C72" i="10" s="1"/>
  <c r="C71" i="10"/>
  <c r="B71" i="10"/>
  <c r="C70" i="10"/>
  <c r="B70" i="10"/>
  <c r="B69" i="10"/>
  <c r="C69" i="10" s="1"/>
  <c r="C68" i="10"/>
  <c r="B68" i="10"/>
  <c r="C67" i="10"/>
  <c r="B67" i="10"/>
  <c r="C66" i="10"/>
  <c r="B66" i="10"/>
  <c r="B65" i="10"/>
  <c r="C65" i="10" s="1"/>
  <c r="B64" i="10"/>
  <c r="C64" i="10" s="1"/>
  <c r="B39" i="10"/>
  <c r="B38" i="10"/>
  <c r="B37" i="10"/>
  <c r="B36" i="10"/>
  <c r="B35" i="10"/>
  <c r="B34" i="10"/>
  <c r="B33" i="10"/>
  <c r="B32" i="10"/>
  <c r="B31" i="10"/>
  <c r="B30" i="10"/>
  <c r="B29" i="10"/>
  <c r="B28" i="10"/>
  <c r="B27" i="10"/>
  <c r="B26" i="10"/>
  <c r="B25" i="10"/>
  <c r="B24" i="10"/>
  <c r="B23" i="10"/>
  <c r="B22" i="10"/>
  <c r="B21" i="10"/>
  <c r="B20" i="10"/>
  <c r="K7" i="9"/>
  <c r="J7" i="9"/>
  <c r="I7" i="9"/>
  <c r="H7" i="9"/>
  <c r="G7" i="9"/>
  <c r="F7" i="9"/>
  <c r="E7" i="9"/>
  <c r="D7" i="9"/>
  <c r="C7" i="9"/>
  <c r="B7" i="9"/>
  <c r="A7" i="9"/>
  <c r="G15" i="54"/>
  <c r="F15" i="54"/>
  <c r="E15" i="54"/>
  <c r="D15" i="54"/>
  <c r="B15" i="54"/>
  <c r="B13" i="54"/>
  <c r="G79" i="38"/>
  <c r="D79" i="38"/>
  <c r="C79" i="38"/>
  <c r="A79" i="38"/>
  <c r="G78" i="38"/>
  <c r="D78" i="38"/>
  <c r="C78" i="38"/>
  <c r="A78" i="38"/>
  <c r="G77" i="38"/>
  <c r="D77" i="38"/>
  <c r="C77" i="38"/>
  <c r="A77" i="38"/>
  <c r="G76" i="38"/>
  <c r="D76" i="38"/>
  <c r="C76" i="38"/>
  <c r="A76" i="38"/>
  <c r="A75" i="38"/>
  <c r="A74" i="38"/>
  <c r="A73" i="38"/>
  <c r="A72" i="38"/>
  <c r="A71" i="38"/>
  <c r="M70" i="38"/>
  <c r="J70" i="38"/>
  <c r="I70" i="38"/>
  <c r="G70" i="38"/>
  <c r="F70" i="38"/>
  <c r="E70" i="38"/>
  <c r="D70" i="38"/>
  <c r="C70" i="38"/>
  <c r="B70" i="38"/>
  <c r="A70" i="38"/>
  <c r="A69" i="38"/>
  <c r="M68" i="38"/>
  <c r="J68" i="38"/>
  <c r="I68" i="38"/>
  <c r="G68" i="38"/>
  <c r="F68" i="38"/>
  <c r="E68" i="38"/>
  <c r="D68" i="38"/>
  <c r="C68" i="38"/>
  <c r="B68" i="38"/>
  <c r="A68" i="38"/>
  <c r="A67" i="38"/>
  <c r="M66" i="38"/>
  <c r="J66" i="38"/>
  <c r="I66" i="38"/>
  <c r="G66" i="38"/>
  <c r="F66" i="38"/>
  <c r="E66" i="38"/>
  <c r="D66" i="38"/>
  <c r="C66" i="38"/>
  <c r="B66" i="38"/>
  <c r="A66" i="38"/>
  <c r="A65" i="38"/>
  <c r="M64" i="38"/>
  <c r="J64" i="38"/>
  <c r="I64" i="38"/>
  <c r="G64" i="38"/>
  <c r="F64" i="38"/>
  <c r="E64" i="38"/>
  <c r="D64" i="38"/>
  <c r="C64" i="38"/>
  <c r="B64" i="38"/>
  <c r="A64" i="38"/>
  <c r="A63" i="38"/>
  <c r="A62" i="38"/>
  <c r="A61" i="38"/>
  <c r="A60" i="38"/>
  <c r="A59" i="38"/>
  <c r="H58" i="38"/>
  <c r="D58" i="38"/>
  <c r="C58" i="38"/>
  <c r="B58" i="38"/>
  <c r="A58" i="38"/>
  <c r="A57" i="38"/>
  <c r="A56" i="38"/>
  <c r="A55" i="38"/>
  <c r="A54" i="38"/>
  <c r="G53" i="38"/>
  <c r="D53" i="38"/>
  <c r="C53" i="38"/>
  <c r="A53" i="38"/>
  <c r="A52" i="38"/>
  <c r="A51" i="38"/>
  <c r="A50" i="38"/>
  <c r="A49" i="38"/>
  <c r="G48" i="38"/>
  <c r="D48" i="38"/>
  <c r="C48" i="38"/>
  <c r="A48" i="38"/>
  <c r="A47" i="38"/>
  <c r="A46" i="38"/>
  <c r="A45" i="38"/>
  <c r="A44" i="38"/>
  <c r="I43" i="38"/>
  <c r="F43" i="38"/>
  <c r="E43" i="38"/>
  <c r="D43" i="38"/>
  <c r="C43" i="38"/>
  <c r="B43" i="38"/>
  <c r="A43" i="38"/>
  <c r="A42" i="38"/>
  <c r="A41" i="38"/>
  <c r="A40" i="38"/>
  <c r="A39" i="38"/>
  <c r="K38" i="38"/>
  <c r="H38" i="38"/>
  <c r="G38" i="38"/>
  <c r="F38" i="38"/>
  <c r="E38" i="38"/>
  <c r="D38" i="38"/>
  <c r="C38" i="38"/>
  <c r="A38" i="38"/>
  <c r="A37" i="38"/>
  <c r="A36" i="38"/>
  <c r="A35" i="38"/>
  <c r="A34" i="38"/>
  <c r="J33" i="38"/>
  <c r="I33" i="38"/>
  <c r="F33" i="38"/>
  <c r="E33" i="38"/>
  <c r="D33" i="38"/>
  <c r="C33" i="38"/>
  <c r="B33" i="38"/>
  <c r="A33" i="38"/>
  <c r="A32" i="38"/>
  <c r="A31" i="38"/>
  <c r="A30" i="38"/>
  <c r="A29" i="38"/>
  <c r="K28" i="38"/>
  <c r="H28" i="38"/>
  <c r="G28" i="38"/>
  <c r="F28" i="38"/>
  <c r="E28" i="38"/>
  <c r="D28" i="38"/>
  <c r="C28" i="38"/>
  <c r="B28" i="38"/>
  <c r="A28" i="38"/>
  <c r="A27" i="38"/>
  <c r="A26" i="38"/>
  <c r="A25" i="38"/>
  <c r="A24" i="38"/>
  <c r="K23" i="38"/>
  <c r="J23" i="38"/>
  <c r="G23" i="38"/>
  <c r="F23" i="38"/>
  <c r="E23" i="38"/>
  <c r="D23" i="38"/>
  <c r="C23" i="38"/>
  <c r="B23" i="38"/>
  <c r="A23" i="38"/>
  <c r="A22" i="38"/>
  <c r="A21" i="38"/>
  <c r="A45" i="17"/>
  <c r="A44" i="17"/>
  <c r="A43" i="17"/>
  <c r="A42" i="17"/>
  <c r="A41" i="17"/>
  <c r="A40" i="17"/>
  <c r="A39" i="17"/>
  <c r="A38" i="17"/>
  <c r="A37" i="17"/>
  <c r="A36" i="17"/>
  <c r="A35" i="17"/>
  <c r="A34" i="17"/>
  <c r="A33" i="17"/>
  <c r="A32" i="17"/>
  <c r="A31" i="17"/>
  <c r="A30" i="17"/>
  <c r="A29" i="17"/>
  <c r="A28" i="17"/>
  <c r="A25" i="17"/>
  <c r="A24" i="17"/>
  <c r="A23" i="17"/>
  <c r="A22" i="17"/>
  <c r="A21" i="17"/>
  <c r="A20" i="17"/>
  <c r="A19" i="17"/>
  <c r="A18" i="17"/>
  <c r="A17" i="17"/>
  <c r="A16" i="17"/>
  <c r="A15" i="17"/>
  <c r="A14" i="17"/>
  <c r="A13" i="17"/>
  <c r="A12" i="17"/>
  <c r="A11" i="17"/>
  <c r="S19" i="18"/>
  <c r="S18" i="18"/>
  <c r="S17" i="18"/>
  <c r="S16" i="18"/>
  <c r="S15" i="18"/>
  <c r="S14" i="18"/>
  <c r="S13" i="18"/>
  <c r="S12" i="18"/>
  <c r="S11" i="18"/>
  <c r="A106" i="15"/>
  <c r="A105" i="15"/>
  <c r="A104" i="15"/>
  <c r="A103" i="15"/>
  <c r="A102" i="15"/>
  <c r="A101" i="15"/>
  <c r="A100" i="15"/>
  <c r="A99" i="15"/>
  <c r="A98" i="15"/>
  <c r="A97" i="15"/>
  <c r="A96" i="15"/>
  <c r="A95" i="15"/>
  <c r="A94" i="15"/>
  <c r="A93" i="15"/>
  <c r="A92" i="15"/>
  <c r="A91" i="15"/>
  <c r="A90" i="15"/>
  <c r="A89" i="15"/>
  <c r="A88" i="15"/>
  <c r="A87" i="15"/>
  <c r="A86" i="15"/>
  <c r="A85" i="15"/>
  <c r="A84" i="15"/>
  <c r="A83" i="15"/>
  <c r="B82" i="15"/>
  <c r="A82" i="15"/>
  <c r="A81" i="15"/>
  <c r="A80" i="15"/>
  <c r="C79" i="15"/>
  <c r="A79" i="15"/>
  <c r="A78" i="15"/>
  <c r="A77" i="15"/>
  <c r="A76" i="15"/>
  <c r="A75" i="15"/>
  <c r="A74" i="15"/>
  <c r="K72" i="15"/>
  <c r="J72" i="15"/>
  <c r="B72" i="15"/>
  <c r="A72" i="15"/>
  <c r="K71" i="15"/>
  <c r="J71" i="15"/>
  <c r="B71" i="15"/>
  <c r="A71" i="15"/>
  <c r="K70" i="15"/>
  <c r="J70" i="15"/>
  <c r="B70" i="15"/>
  <c r="A70" i="15"/>
  <c r="K69" i="15"/>
  <c r="J69" i="15"/>
  <c r="B69" i="15"/>
  <c r="A69" i="15"/>
  <c r="K68" i="15"/>
  <c r="J68" i="15"/>
  <c r="B68" i="15"/>
  <c r="A68" i="15"/>
  <c r="K67" i="15"/>
  <c r="J67" i="15"/>
  <c r="B67" i="15"/>
  <c r="A67" i="15"/>
  <c r="K66" i="15"/>
  <c r="J66" i="15"/>
  <c r="B66" i="15"/>
  <c r="A66" i="15"/>
  <c r="K65" i="15"/>
  <c r="J65" i="15"/>
  <c r="B65" i="15"/>
  <c r="A65" i="15"/>
  <c r="K64" i="15"/>
  <c r="J64" i="15"/>
  <c r="B64" i="15"/>
  <c r="A64" i="15"/>
  <c r="K63" i="15"/>
  <c r="J63" i="15"/>
  <c r="B63" i="15"/>
  <c r="A63" i="15"/>
  <c r="J53" i="15"/>
  <c r="I53" i="15"/>
  <c r="B53" i="15"/>
  <c r="A53" i="15"/>
  <c r="J52" i="15"/>
  <c r="I52" i="15"/>
  <c r="B52" i="15"/>
  <c r="A52" i="15"/>
  <c r="J51" i="15"/>
  <c r="I51" i="15"/>
  <c r="B51" i="15"/>
  <c r="A51" i="15"/>
  <c r="J50" i="15"/>
  <c r="I50" i="15"/>
  <c r="B50" i="15"/>
  <c r="A50" i="15"/>
  <c r="J49" i="15"/>
  <c r="I49" i="15"/>
  <c r="B49" i="15"/>
  <c r="A49" i="15"/>
  <c r="J48" i="15"/>
  <c r="I48" i="15"/>
  <c r="B48" i="15"/>
  <c r="A48" i="15"/>
  <c r="J47" i="15"/>
  <c r="I47" i="15"/>
  <c r="B47" i="15"/>
  <c r="A47" i="15"/>
  <c r="J46" i="15"/>
  <c r="I46" i="15"/>
  <c r="B46" i="15"/>
  <c r="A46" i="15"/>
  <c r="J45" i="15"/>
  <c r="I45" i="15"/>
  <c r="B45" i="15"/>
  <c r="A45" i="15"/>
  <c r="J44" i="15"/>
  <c r="I44" i="15"/>
  <c r="B44" i="15"/>
  <c r="A44" i="15"/>
  <c r="B34" i="15"/>
  <c r="A34" i="15"/>
  <c r="B33" i="15"/>
  <c r="A33" i="15"/>
  <c r="B32" i="15"/>
  <c r="A32" i="15"/>
  <c r="B31" i="15"/>
  <c r="A31" i="15"/>
  <c r="B30" i="15"/>
  <c r="A30" i="15"/>
  <c r="B29" i="15"/>
  <c r="A29" i="15"/>
  <c r="B28" i="15"/>
  <c r="A28" i="15"/>
  <c r="B27" i="15"/>
  <c r="A27" i="15"/>
  <c r="B26" i="15"/>
  <c r="A26" i="15"/>
  <c r="B25" i="15"/>
  <c r="A25" i="15"/>
  <c r="B21" i="15"/>
  <c r="A10" i="15"/>
  <c r="A9" i="15"/>
  <c r="A39" i="14"/>
  <c r="A38" i="14"/>
  <c r="A37" i="14"/>
  <c r="A36" i="14"/>
  <c r="A35" i="14"/>
  <c r="A34" i="14"/>
  <c r="A33" i="14"/>
  <c r="N32" i="14"/>
  <c r="A32" i="14"/>
  <c r="N31" i="14"/>
  <c r="A31" i="14"/>
  <c r="N30" i="14"/>
  <c r="A30" i="14"/>
  <c r="N29" i="14"/>
  <c r="A29" i="14"/>
  <c r="A28" i="14"/>
  <c r="A27" i="14"/>
  <c r="A26" i="14"/>
  <c r="A25" i="14"/>
  <c r="A24" i="14"/>
  <c r="A23" i="14"/>
  <c r="A22" i="14"/>
  <c r="A21" i="14"/>
  <c r="A20" i="14"/>
  <c r="A19" i="14"/>
  <c r="A18" i="14"/>
  <c r="A17" i="14"/>
  <c r="A16" i="14"/>
  <c r="A15" i="14"/>
  <c r="A14" i="14"/>
  <c r="A13" i="14"/>
  <c r="A12" i="14"/>
  <c r="D271" i="37"/>
  <c r="C271" i="37"/>
  <c r="E270" i="37"/>
  <c r="E269" i="37"/>
  <c r="E268" i="37"/>
  <c r="E267" i="37"/>
  <c r="E266" i="37"/>
  <c r="E265" i="37"/>
  <c r="E264" i="37"/>
  <c r="E263" i="37"/>
  <c r="E262" i="37"/>
  <c r="E261" i="37"/>
  <c r="E260" i="37"/>
  <c r="E259" i="37"/>
  <c r="E258" i="37"/>
  <c r="E257" i="37"/>
  <c r="E256" i="37"/>
  <c r="E255" i="37"/>
  <c r="E254" i="37"/>
  <c r="E253" i="37"/>
  <c r="E252" i="37"/>
  <c r="E251" i="37"/>
  <c r="C241" i="37"/>
  <c r="Y237" i="37"/>
  <c r="X237" i="37"/>
  <c r="W237" i="37"/>
  <c r="P237" i="37"/>
  <c r="O237" i="37"/>
  <c r="N237" i="37"/>
  <c r="E236" i="37"/>
  <c r="I236" i="37" s="1"/>
  <c r="F235" i="37"/>
  <c r="E235" i="37"/>
  <c r="D235" i="37"/>
  <c r="H234" i="37"/>
  <c r="G234" i="37"/>
  <c r="E233" i="37"/>
  <c r="D233" i="37"/>
  <c r="E232" i="37"/>
  <c r="D232" i="37"/>
  <c r="E231" i="37"/>
  <c r="D231" i="37"/>
  <c r="D230" i="37"/>
  <c r="I230" i="37" s="1"/>
  <c r="D229" i="37"/>
  <c r="I229" i="37" s="1"/>
  <c r="E221" i="37"/>
  <c r="D221" i="37"/>
  <c r="C221" i="37"/>
  <c r="E220" i="37"/>
  <c r="D220" i="37"/>
  <c r="C220" i="37"/>
  <c r="E219" i="37"/>
  <c r="D219" i="37"/>
  <c r="C219" i="37"/>
  <c r="E218" i="37"/>
  <c r="D218" i="37"/>
  <c r="C218" i="37"/>
  <c r="E217" i="37"/>
  <c r="F217" i="37" s="1"/>
  <c r="E216" i="37"/>
  <c r="D216" i="37"/>
  <c r="C216" i="37"/>
  <c r="H208" i="37"/>
  <c r="G208" i="37"/>
  <c r="F208" i="37"/>
  <c r="E208" i="37"/>
  <c r="D208" i="37"/>
  <c r="C208" i="37"/>
  <c r="H207" i="37"/>
  <c r="G207" i="37"/>
  <c r="F207" i="37"/>
  <c r="E207" i="37"/>
  <c r="D207" i="37"/>
  <c r="C207" i="37"/>
  <c r="H206" i="37"/>
  <c r="G206" i="37"/>
  <c r="F206" i="37"/>
  <c r="E206" i="37"/>
  <c r="D206" i="37"/>
  <c r="C206" i="37"/>
  <c r="H205" i="37"/>
  <c r="G205" i="37"/>
  <c r="F205" i="37"/>
  <c r="E205" i="37"/>
  <c r="D205" i="37"/>
  <c r="C205" i="37"/>
  <c r="H204" i="37"/>
  <c r="G204" i="37"/>
  <c r="F204" i="37"/>
  <c r="E204" i="37"/>
  <c r="D204" i="37"/>
  <c r="C204" i="37"/>
  <c r="H203" i="37"/>
  <c r="G203" i="37"/>
  <c r="F203" i="37"/>
  <c r="E203" i="37"/>
  <c r="D203" i="37"/>
  <c r="C203" i="37"/>
  <c r="H202" i="37"/>
  <c r="G202" i="37"/>
  <c r="F202" i="37"/>
  <c r="E202" i="37"/>
  <c r="D202" i="37"/>
  <c r="C202" i="37"/>
  <c r="H201" i="37"/>
  <c r="G201" i="37"/>
  <c r="F201" i="37"/>
  <c r="E201" i="37"/>
  <c r="D201" i="37"/>
  <c r="C201" i="37"/>
  <c r="H200" i="37"/>
  <c r="G200" i="37"/>
  <c r="F200" i="37"/>
  <c r="E200" i="37"/>
  <c r="D200" i="37"/>
  <c r="C200" i="37"/>
  <c r="H199" i="37"/>
  <c r="G199" i="37"/>
  <c r="F199" i="37"/>
  <c r="E199" i="37"/>
  <c r="D199" i="37"/>
  <c r="C199" i="37"/>
  <c r="H198" i="37"/>
  <c r="G198" i="37"/>
  <c r="F198" i="37"/>
  <c r="E198" i="37"/>
  <c r="D198" i="37"/>
  <c r="C198" i="37"/>
  <c r="H197" i="37"/>
  <c r="G197" i="37"/>
  <c r="F197" i="37"/>
  <c r="E197" i="37"/>
  <c r="D197" i="37"/>
  <c r="C197" i="37"/>
  <c r="H196" i="37"/>
  <c r="G196" i="37"/>
  <c r="F196" i="37"/>
  <c r="E196" i="37"/>
  <c r="D196" i="37"/>
  <c r="C196" i="37"/>
  <c r="H195" i="37"/>
  <c r="G195" i="37"/>
  <c r="F195" i="37"/>
  <c r="E195" i="37"/>
  <c r="D195" i="37"/>
  <c r="C195" i="37"/>
  <c r="H194" i="37"/>
  <c r="G194" i="37"/>
  <c r="F194" i="37"/>
  <c r="E194" i="37"/>
  <c r="D194" i="37"/>
  <c r="C194" i="37"/>
  <c r="H193" i="37"/>
  <c r="G193" i="37"/>
  <c r="F193" i="37"/>
  <c r="E193" i="37"/>
  <c r="D193" i="37"/>
  <c r="C193" i="37"/>
  <c r="H192" i="37"/>
  <c r="G192" i="37"/>
  <c r="F192" i="37"/>
  <c r="E192" i="37"/>
  <c r="D192" i="37"/>
  <c r="C192" i="37"/>
  <c r="H191" i="37"/>
  <c r="G191" i="37"/>
  <c r="F191" i="37"/>
  <c r="E191" i="37"/>
  <c r="D191" i="37"/>
  <c r="C191" i="37"/>
  <c r="H190" i="37"/>
  <c r="G190" i="37"/>
  <c r="F190" i="37"/>
  <c r="E190" i="37"/>
  <c r="D190" i="37"/>
  <c r="C190" i="37"/>
  <c r="H189" i="37"/>
  <c r="G189" i="37"/>
  <c r="F189" i="37"/>
  <c r="E189" i="37"/>
  <c r="D189" i="37"/>
  <c r="C189" i="37"/>
  <c r="H188" i="37"/>
  <c r="G188" i="37"/>
  <c r="F188" i="37"/>
  <c r="E188" i="37"/>
  <c r="D188" i="37"/>
  <c r="C188" i="37"/>
  <c r="H187" i="37"/>
  <c r="G187" i="37"/>
  <c r="F187" i="37"/>
  <c r="E187" i="37"/>
  <c r="D187" i="37"/>
  <c r="C187" i="37"/>
  <c r="H186" i="37"/>
  <c r="G186" i="37"/>
  <c r="F186" i="37"/>
  <c r="E186" i="37"/>
  <c r="D186" i="37"/>
  <c r="C186" i="37"/>
  <c r="H185" i="37"/>
  <c r="G185" i="37"/>
  <c r="F185" i="37"/>
  <c r="E185" i="37"/>
  <c r="D185" i="37"/>
  <c r="C185" i="37"/>
  <c r="H184" i="37"/>
  <c r="G184" i="37"/>
  <c r="F184" i="37"/>
  <c r="E184" i="37"/>
  <c r="D184" i="37"/>
  <c r="C184" i="37"/>
  <c r="H183" i="37"/>
  <c r="G183" i="37"/>
  <c r="F183" i="37"/>
  <c r="E183" i="37"/>
  <c r="D183" i="37"/>
  <c r="C183" i="37"/>
  <c r="H182" i="37"/>
  <c r="G182" i="37"/>
  <c r="F182" i="37"/>
  <c r="E182" i="37"/>
  <c r="D182" i="37"/>
  <c r="C182" i="37"/>
  <c r="H181" i="37"/>
  <c r="G181" i="37"/>
  <c r="F181" i="37"/>
  <c r="E181" i="37"/>
  <c r="D181" i="37"/>
  <c r="C181" i="37"/>
  <c r="H180" i="37"/>
  <c r="G180" i="37"/>
  <c r="F180" i="37"/>
  <c r="E180" i="37"/>
  <c r="D180" i="37"/>
  <c r="C180" i="37"/>
  <c r="H179" i="37"/>
  <c r="G179" i="37"/>
  <c r="F179" i="37"/>
  <c r="E179" i="37"/>
  <c r="D179" i="37"/>
  <c r="C179" i="37"/>
  <c r="H178" i="37"/>
  <c r="G178" i="37"/>
  <c r="F178" i="37"/>
  <c r="E178" i="37"/>
  <c r="D178" i="37"/>
  <c r="C178" i="37"/>
  <c r="H177" i="37"/>
  <c r="G177" i="37"/>
  <c r="F177" i="37"/>
  <c r="E177" i="37"/>
  <c r="D177" i="37"/>
  <c r="C177" i="37"/>
  <c r="H176" i="37"/>
  <c r="G176" i="37"/>
  <c r="F176" i="37"/>
  <c r="E176" i="37"/>
  <c r="D176" i="37"/>
  <c r="C176" i="37"/>
  <c r="H175" i="37"/>
  <c r="G175" i="37"/>
  <c r="F175" i="37"/>
  <c r="E175" i="37"/>
  <c r="D175" i="37"/>
  <c r="C175" i="37"/>
  <c r="H174" i="37"/>
  <c r="G174" i="37"/>
  <c r="F174" i="37"/>
  <c r="E174" i="37"/>
  <c r="D174" i="37"/>
  <c r="C174" i="37"/>
  <c r="H173" i="37"/>
  <c r="G173" i="37"/>
  <c r="F173" i="37"/>
  <c r="E173" i="37"/>
  <c r="D173" i="37"/>
  <c r="C173" i="37"/>
  <c r="H172" i="37"/>
  <c r="G172" i="37"/>
  <c r="F172" i="37"/>
  <c r="E172" i="37"/>
  <c r="D172" i="37"/>
  <c r="C172" i="37"/>
  <c r="H171" i="37"/>
  <c r="G171" i="37"/>
  <c r="F171" i="37"/>
  <c r="E171" i="37"/>
  <c r="D171" i="37"/>
  <c r="C171" i="37"/>
  <c r="H170" i="37"/>
  <c r="G170" i="37"/>
  <c r="F170" i="37"/>
  <c r="E170" i="37"/>
  <c r="D170" i="37"/>
  <c r="C170" i="37"/>
  <c r="H169" i="37"/>
  <c r="G169" i="37"/>
  <c r="F169" i="37"/>
  <c r="E169" i="37"/>
  <c r="D169" i="37"/>
  <c r="C169" i="37"/>
  <c r="B132" i="37"/>
  <c r="B254" i="37" s="1"/>
  <c r="B130" i="37"/>
  <c r="B252" i="37" s="1"/>
  <c r="B105" i="37"/>
  <c r="B131" i="37" s="1"/>
  <c r="B253" i="37" s="1"/>
  <c r="M102" i="37"/>
  <c r="L102" i="37"/>
  <c r="K102" i="37"/>
  <c r="J102" i="37"/>
  <c r="I102" i="37"/>
  <c r="H102" i="37"/>
  <c r="D102" i="37"/>
  <c r="C102" i="37"/>
  <c r="B96" i="37"/>
  <c r="B122" i="37" s="1"/>
  <c r="B148" i="37" s="1"/>
  <c r="B270" i="37" s="1"/>
  <c r="B95" i="37"/>
  <c r="B121" i="37" s="1"/>
  <c r="B147" i="37" s="1"/>
  <c r="B269" i="37" s="1"/>
  <c r="B94" i="37"/>
  <c r="B120" i="37" s="1"/>
  <c r="B146" i="37" s="1"/>
  <c r="B268" i="37" s="1"/>
  <c r="B93" i="37"/>
  <c r="B119" i="37" s="1"/>
  <c r="B145" i="37" s="1"/>
  <c r="B267" i="37" s="1"/>
  <c r="B88" i="37"/>
  <c r="B114" i="37" s="1"/>
  <c r="B140" i="37" s="1"/>
  <c r="B262" i="37" s="1"/>
  <c r="B87" i="37"/>
  <c r="B113" i="37" s="1"/>
  <c r="B139" i="37" s="1"/>
  <c r="B261" i="37" s="1"/>
  <c r="B86" i="37"/>
  <c r="B112" i="37" s="1"/>
  <c r="B138" i="37" s="1"/>
  <c r="B260" i="37" s="1"/>
  <c r="B85" i="37"/>
  <c r="B111" i="37" s="1"/>
  <c r="B137" i="37" s="1"/>
  <c r="B259" i="37" s="1"/>
  <c r="B83" i="37"/>
  <c r="B109" i="37" s="1"/>
  <c r="B135" i="37" s="1"/>
  <c r="B257" i="37" s="1"/>
  <c r="B80" i="37"/>
  <c r="B106" i="37" s="1"/>
  <c r="B79" i="37"/>
  <c r="B78" i="37"/>
  <c r="B104" i="37" s="1"/>
  <c r="B67" i="37"/>
  <c r="B66" i="37"/>
  <c r="B65" i="37"/>
  <c r="B64" i="37"/>
  <c r="B63" i="37"/>
  <c r="B62" i="37"/>
  <c r="B61" i="37"/>
  <c r="B60" i="37"/>
  <c r="B59" i="37"/>
  <c r="B58" i="37"/>
  <c r="B57" i="37"/>
  <c r="B56" i="37"/>
  <c r="B55" i="37"/>
  <c r="B54" i="37"/>
  <c r="B53" i="37"/>
  <c r="B52" i="37"/>
  <c r="B51" i="37"/>
  <c r="B50" i="37"/>
  <c r="B49" i="37"/>
  <c r="B48" i="37"/>
  <c r="M42" i="37"/>
  <c r="L42" i="37"/>
  <c r="K42" i="37"/>
  <c r="I42" i="37"/>
  <c r="H42" i="37"/>
  <c r="G42" i="37"/>
  <c r="F42" i="37"/>
  <c r="E42" i="37"/>
  <c r="D42" i="37"/>
  <c r="C42" i="37"/>
  <c r="B42" i="37"/>
  <c r="J42" i="37" s="1"/>
  <c r="M41" i="37"/>
  <c r="J41" i="37"/>
  <c r="I41" i="37"/>
  <c r="H41" i="37"/>
  <c r="G41" i="37"/>
  <c r="E41" i="37"/>
  <c r="B41" i="37"/>
  <c r="M40" i="37"/>
  <c r="L40" i="37"/>
  <c r="K40" i="37"/>
  <c r="I40" i="37"/>
  <c r="H40" i="37"/>
  <c r="G40" i="37"/>
  <c r="F40" i="37"/>
  <c r="E40" i="37"/>
  <c r="D40" i="37"/>
  <c r="C40" i="37"/>
  <c r="B40" i="37"/>
  <c r="J40" i="37" s="1"/>
  <c r="M39" i="37"/>
  <c r="J39" i="37"/>
  <c r="H39" i="37"/>
  <c r="E39" i="37"/>
  <c r="B39" i="37"/>
  <c r="M38" i="37"/>
  <c r="L38" i="37"/>
  <c r="K38" i="37"/>
  <c r="I38" i="37"/>
  <c r="H38" i="37"/>
  <c r="G38" i="37"/>
  <c r="F38" i="37"/>
  <c r="E38" i="37"/>
  <c r="D38" i="37"/>
  <c r="C38" i="37"/>
  <c r="B38" i="37"/>
  <c r="B92" i="37" s="1"/>
  <c r="B118" i="37" s="1"/>
  <c r="B144" i="37" s="1"/>
  <c r="B266" i="37" s="1"/>
  <c r="E37" i="37"/>
  <c r="B37" i="37"/>
  <c r="M37" i="37" s="1"/>
  <c r="M36" i="37"/>
  <c r="L36" i="37"/>
  <c r="K36" i="37"/>
  <c r="I36" i="37"/>
  <c r="H36" i="37"/>
  <c r="G36" i="37"/>
  <c r="F36" i="37"/>
  <c r="E36" i="37"/>
  <c r="D36" i="37"/>
  <c r="C36" i="37"/>
  <c r="B36" i="37"/>
  <c r="B90" i="37" s="1"/>
  <c r="B116" i="37" s="1"/>
  <c r="B142" i="37" s="1"/>
  <c r="B264" i="37" s="1"/>
  <c r="J35" i="37"/>
  <c r="I35" i="37"/>
  <c r="H35" i="37"/>
  <c r="G35" i="37"/>
  <c r="E35" i="37"/>
  <c r="B35" i="37"/>
  <c r="M35" i="37" s="1"/>
  <c r="M34" i="37"/>
  <c r="L34" i="37"/>
  <c r="K34" i="37"/>
  <c r="I34" i="37"/>
  <c r="H34" i="37"/>
  <c r="G34" i="37"/>
  <c r="F34" i="37"/>
  <c r="E34" i="37"/>
  <c r="D34" i="37"/>
  <c r="C34" i="37"/>
  <c r="B34" i="37"/>
  <c r="J34" i="37" s="1"/>
  <c r="M33" i="37"/>
  <c r="J33" i="37"/>
  <c r="I33" i="37"/>
  <c r="H33" i="37"/>
  <c r="G33" i="37"/>
  <c r="E33" i="37"/>
  <c r="B33" i="37"/>
  <c r="M32" i="37"/>
  <c r="L32" i="37"/>
  <c r="K32" i="37"/>
  <c r="I32" i="37"/>
  <c r="H32" i="37"/>
  <c r="G32" i="37"/>
  <c r="F32" i="37"/>
  <c r="E32" i="37"/>
  <c r="D32" i="37"/>
  <c r="C32" i="37"/>
  <c r="B32" i="37"/>
  <c r="J32" i="37" s="1"/>
  <c r="M31" i="37"/>
  <c r="J31" i="37"/>
  <c r="H31" i="37"/>
  <c r="E31" i="37"/>
  <c r="B31" i="37"/>
  <c r="M30" i="37"/>
  <c r="L30" i="37"/>
  <c r="K30" i="37"/>
  <c r="I30" i="37"/>
  <c r="H30" i="37"/>
  <c r="G30" i="37"/>
  <c r="F30" i="37"/>
  <c r="E30" i="37"/>
  <c r="D30" i="37"/>
  <c r="C30" i="37"/>
  <c r="B30" i="37"/>
  <c r="B84" i="37" s="1"/>
  <c r="B110" i="37" s="1"/>
  <c r="B136" i="37" s="1"/>
  <c r="B258" i="37" s="1"/>
  <c r="E29" i="37"/>
  <c r="B29" i="37"/>
  <c r="M29" i="37" s="1"/>
  <c r="M28" i="37"/>
  <c r="L28" i="37"/>
  <c r="K28" i="37"/>
  <c r="I28" i="37"/>
  <c r="H28" i="37"/>
  <c r="G28" i="37"/>
  <c r="F28" i="37"/>
  <c r="E28" i="37"/>
  <c r="D28" i="37"/>
  <c r="C28" i="37"/>
  <c r="B28" i="37"/>
  <c r="B82" i="37" s="1"/>
  <c r="B108" i="37" s="1"/>
  <c r="B134" i="37" s="1"/>
  <c r="B256" i="37" s="1"/>
  <c r="K27" i="37"/>
  <c r="J27" i="37"/>
  <c r="I27" i="37"/>
  <c r="H27" i="37"/>
  <c r="G27" i="37"/>
  <c r="E27" i="37"/>
  <c r="C27" i="37"/>
  <c r="B27" i="37"/>
  <c r="M26" i="37"/>
  <c r="L26" i="37"/>
  <c r="K26" i="37"/>
  <c r="I26" i="37"/>
  <c r="H26" i="37"/>
  <c r="G26" i="37"/>
  <c r="F26" i="37"/>
  <c r="E26" i="37"/>
  <c r="D26" i="37"/>
  <c r="C26" i="37"/>
  <c r="B26" i="37"/>
  <c r="J26" i="37" s="1"/>
  <c r="M25" i="37"/>
  <c r="L25" i="37"/>
  <c r="J25" i="37"/>
  <c r="H25" i="37"/>
  <c r="G25" i="37"/>
  <c r="E25" i="37"/>
  <c r="D25" i="37"/>
  <c r="C25" i="37"/>
  <c r="B25" i="37"/>
  <c r="F25" i="37" s="1"/>
  <c r="M24" i="37"/>
  <c r="L24" i="37"/>
  <c r="K24" i="37"/>
  <c r="I24" i="37"/>
  <c r="H24" i="37"/>
  <c r="G24" i="37"/>
  <c r="F24" i="37"/>
  <c r="E24" i="37"/>
  <c r="D24" i="37"/>
  <c r="C24" i="37"/>
  <c r="B24" i="37"/>
  <c r="J24" i="37" s="1"/>
  <c r="L23" i="37"/>
  <c r="J23" i="37"/>
  <c r="C23" i="37"/>
  <c r="B23" i="37"/>
  <c r="F23" i="37" s="1"/>
  <c r="S60" i="13"/>
  <c r="S61" i="13" s="1"/>
  <c r="B53" i="13"/>
  <c r="B52" i="13"/>
  <c r="B51" i="13"/>
  <c r="B50" i="13"/>
  <c r="B23" i="13" s="1"/>
  <c r="B49" i="13"/>
  <c r="B22" i="13" s="1"/>
  <c r="B48" i="13"/>
  <c r="B47" i="13"/>
  <c r="B20" i="13" s="1"/>
  <c r="B46" i="13"/>
  <c r="B45" i="13"/>
  <c r="B44" i="13"/>
  <c r="B43" i="13"/>
  <c r="B42" i="13"/>
  <c r="B15" i="13" s="1"/>
  <c r="B41" i="13"/>
  <c r="B14" i="13" s="1"/>
  <c r="B40" i="13"/>
  <c r="B39" i="13"/>
  <c r="B12" i="13" s="1"/>
  <c r="B38" i="13"/>
  <c r="B37" i="13"/>
  <c r="B36" i="13"/>
  <c r="B35" i="13"/>
  <c r="B34" i="13"/>
  <c r="B7" i="13" s="1"/>
  <c r="E26" i="13"/>
  <c r="D26" i="13"/>
  <c r="B26" i="13"/>
  <c r="E25" i="13"/>
  <c r="D25" i="13"/>
  <c r="B25" i="13"/>
  <c r="E24" i="13"/>
  <c r="D24" i="13"/>
  <c r="B24" i="13"/>
  <c r="E23" i="13"/>
  <c r="D23" i="13"/>
  <c r="E22" i="13"/>
  <c r="D22" i="13"/>
  <c r="E21" i="13"/>
  <c r="D21" i="13"/>
  <c r="B21" i="13"/>
  <c r="E20" i="13"/>
  <c r="D20" i="13"/>
  <c r="E19" i="13"/>
  <c r="D19" i="13"/>
  <c r="B19" i="13"/>
  <c r="E18" i="13"/>
  <c r="D18" i="13"/>
  <c r="B18" i="13"/>
  <c r="E17" i="13"/>
  <c r="D17" i="13"/>
  <c r="B17" i="13"/>
  <c r="E16" i="13"/>
  <c r="D16" i="13"/>
  <c r="B16" i="13"/>
  <c r="E15" i="13"/>
  <c r="D15" i="13"/>
  <c r="E14" i="13"/>
  <c r="D14" i="13"/>
  <c r="E13" i="13"/>
  <c r="D13" i="13"/>
  <c r="B13" i="13"/>
  <c r="E12" i="13"/>
  <c r="D12" i="13"/>
  <c r="E11" i="13"/>
  <c r="D11" i="13"/>
  <c r="B11" i="13"/>
  <c r="E10" i="13"/>
  <c r="D10" i="13"/>
  <c r="B10" i="13"/>
  <c r="E9" i="13"/>
  <c r="D9" i="13"/>
  <c r="B9" i="13"/>
  <c r="E8" i="13"/>
  <c r="D8" i="13"/>
  <c r="B8" i="13"/>
  <c r="E7" i="13"/>
  <c r="D7" i="13"/>
  <c r="I7" i="12"/>
  <c r="H7" i="12"/>
  <c r="G7" i="12"/>
  <c r="F7" i="12"/>
  <c r="E7" i="12"/>
  <c r="D7" i="12"/>
  <c r="C7" i="12"/>
  <c r="B7" i="12"/>
  <c r="A7" i="12"/>
  <c r="B18" i="11" s="1"/>
  <c r="B27" i="11"/>
  <c r="B24" i="11"/>
  <c r="C276" i="7" a="1"/>
  <c r="L276" i="7" s="1"/>
  <c r="C251" i="7" a="1"/>
  <c r="G251" i="7" s="1"/>
  <c r="C227" i="7" a="1"/>
  <c r="J227" i="7" s="1"/>
  <c r="C203" i="7" a="1"/>
  <c r="L203" i="7" s="1"/>
  <c r="C177" i="7" a="1"/>
  <c r="G177" i="7" s="1"/>
  <c r="H171" i="7"/>
  <c r="C171" i="7"/>
  <c r="H167" i="7"/>
  <c r="E167" i="7"/>
  <c r="C167" i="7"/>
  <c r="H166" i="7"/>
  <c r="C166" i="7"/>
  <c r="H165" i="7"/>
  <c r="E165" i="7"/>
  <c r="C165" i="7"/>
  <c r="H164" i="7"/>
  <c r="E164" i="7"/>
  <c r="C164" i="7"/>
  <c r="H163" i="7"/>
  <c r="E163" i="7"/>
  <c r="C163" i="7"/>
  <c r="H162" i="7"/>
  <c r="E162" i="7"/>
  <c r="C162" i="7"/>
  <c r="H161" i="7"/>
  <c r="E161" i="7"/>
  <c r="C161" i="7"/>
  <c r="H160" i="7"/>
  <c r="C160" i="7"/>
  <c r="H159" i="7"/>
  <c r="E159" i="7"/>
  <c r="C159" i="7"/>
  <c r="H158" i="7"/>
  <c r="C158" i="7"/>
  <c r="C151" i="7"/>
  <c r="C147" i="7"/>
  <c r="H146" i="7"/>
  <c r="C146" i="7"/>
  <c r="H145" i="7"/>
  <c r="E145" i="7"/>
  <c r="C145" i="7"/>
  <c r="H144" i="7"/>
  <c r="E144" i="7"/>
  <c r="C144" i="7"/>
  <c r="H143" i="7"/>
  <c r="E143" i="7"/>
  <c r="C143" i="7"/>
  <c r="H142" i="7"/>
  <c r="E142" i="7"/>
  <c r="C142" i="7"/>
  <c r="H141" i="7"/>
  <c r="E141" i="7"/>
  <c r="C141" i="7"/>
  <c r="H140" i="7"/>
  <c r="C140" i="7"/>
  <c r="H139" i="7"/>
  <c r="E139" i="7"/>
  <c r="C139" i="7"/>
  <c r="H138" i="7"/>
  <c r="C138" i="7"/>
  <c r="H131" i="7"/>
  <c r="C131" i="7"/>
  <c r="H127" i="7"/>
  <c r="H126" i="7"/>
  <c r="C126" i="7"/>
  <c r="H125" i="7"/>
  <c r="E125" i="7"/>
  <c r="C125" i="7"/>
  <c r="H124" i="7"/>
  <c r="E124" i="7"/>
  <c r="C124" i="7"/>
  <c r="H123" i="7"/>
  <c r="E123" i="7"/>
  <c r="C123" i="7"/>
  <c r="H122" i="7"/>
  <c r="C122" i="7"/>
  <c r="H121" i="7"/>
  <c r="C121" i="7"/>
  <c r="H120" i="7"/>
  <c r="C120" i="7"/>
  <c r="H119" i="7"/>
  <c r="E119" i="7"/>
  <c r="C119" i="7"/>
  <c r="H118" i="7"/>
  <c r="C118" i="7"/>
  <c r="X95" i="7"/>
  <c r="X96" i="7" s="1"/>
  <c r="J84" i="7"/>
  <c r="J83" i="7"/>
  <c r="J82" i="7"/>
  <c r="J81" i="7"/>
  <c r="J80" i="7"/>
  <c r="J79" i="7"/>
  <c r="J78" i="7"/>
  <c r="J77" i="7"/>
  <c r="J76" i="7"/>
  <c r="J75" i="7"/>
  <c r="X48" i="7"/>
  <c r="X49" i="7" s="1"/>
  <c r="B42" i="7"/>
  <c r="B197" i="7" s="1"/>
  <c r="B41" i="7"/>
  <c r="B196" i="7" s="1"/>
  <c r="B40" i="7"/>
  <c r="B195" i="7" s="1"/>
  <c r="B39" i="7"/>
  <c r="I39" i="7" s="1"/>
  <c r="B38" i="7"/>
  <c r="B193" i="7" s="1"/>
  <c r="B37" i="7"/>
  <c r="B192" i="7" s="1"/>
  <c r="B36" i="7"/>
  <c r="B191" i="7" s="1"/>
  <c r="B35" i="7"/>
  <c r="B190" i="7" s="1"/>
  <c r="B34" i="7"/>
  <c r="B189" i="7" s="1"/>
  <c r="B33" i="7"/>
  <c r="B188" i="7" s="1"/>
  <c r="B32" i="7"/>
  <c r="B187" i="7" s="1"/>
  <c r="B31" i="7"/>
  <c r="B186" i="7" s="1"/>
  <c r="B30" i="7"/>
  <c r="B185" i="7" s="1"/>
  <c r="B29" i="7"/>
  <c r="B184" i="7" s="1"/>
  <c r="B28" i="7"/>
  <c r="B183" i="7" s="1"/>
  <c r="B27" i="7"/>
  <c r="I27" i="7" s="1"/>
  <c r="B26" i="7"/>
  <c r="B181" i="7" s="1"/>
  <c r="B25" i="7"/>
  <c r="B180" i="7" s="1"/>
  <c r="B24" i="7"/>
  <c r="B179" i="7" s="1"/>
  <c r="B23" i="7"/>
  <c r="I23" i="7" s="1"/>
  <c r="G7" i="6"/>
  <c r="E7" i="6"/>
  <c r="D7" i="6"/>
  <c r="F7" i="6" s="1"/>
  <c r="C7" i="6"/>
  <c r="B7" i="6"/>
  <c r="A7" i="6"/>
  <c r="C14" i="5"/>
  <c r="B12" i="5"/>
  <c r="H50" i="3"/>
  <c r="H49" i="3"/>
  <c r="H48" i="3"/>
  <c r="H47" i="3"/>
  <c r="H46" i="3"/>
  <c r="B65" i="33"/>
  <c r="B67" i="33"/>
  <c r="B68" i="33"/>
  <c r="B64" i="33"/>
  <c r="B66" i="33"/>
  <c r="B63" i="33"/>
  <c r="A21" i="15" l="1"/>
  <c r="A20" i="15"/>
  <c r="AB5" i="55"/>
  <c r="D37" i="51"/>
  <c r="D141" i="21"/>
  <c r="C215" i="21"/>
  <c r="D215" i="21" s="1"/>
  <c r="E54" i="21" s="1"/>
  <c r="D133" i="21"/>
  <c r="C188" i="21"/>
  <c r="D188" i="21" s="1"/>
  <c r="D54" i="21" s="1"/>
  <c r="D137" i="21"/>
  <c r="C220" i="21"/>
  <c r="D220" i="21" s="1"/>
  <c r="E59" i="21" s="1"/>
  <c r="D132" i="21"/>
  <c r="C166" i="21"/>
  <c r="D166" i="21" s="1"/>
  <c r="C59" i="21" s="1"/>
  <c r="C162" i="21"/>
  <c r="D162" i="21" s="1"/>
  <c r="C55" i="21" s="1"/>
  <c r="C189" i="21"/>
  <c r="D189" i="21" s="1"/>
  <c r="D55" i="21" s="1"/>
  <c r="C216" i="21"/>
  <c r="D216" i="21" s="1"/>
  <c r="E55" i="21" s="1"/>
  <c r="C163" i="21"/>
  <c r="D163" i="21" s="1"/>
  <c r="C56" i="21" s="1"/>
  <c r="D148" i="21"/>
  <c r="C190" i="21"/>
  <c r="D190" i="21" s="1"/>
  <c r="D56" i="21" s="1"/>
  <c r="C217" i="21"/>
  <c r="D217" i="21" s="1"/>
  <c r="E56" i="21" s="1"/>
  <c r="D138" i="21"/>
  <c r="F76" i="38"/>
  <c r="H76" i="38" s="1"/>
  <c r="B38" i="38" s="1"/>
  <c r="J38" i="38" s="1"/>
  <c r="L38" i="38" s="1"/>
  <c r="F77" i="38"/>
  <c r="H77" i="38" s="1"/>
  <c r="F25" i="55"/>
  <c r="AA23" i="55" s="1"/>
  <c r="AA22" i="55"/>
  <c r="G25" i="55"/>
  <c r="AB23" i="55" s="1"/>
  <c r="AB22" i="55"/>
  <c r="H25" i="55"/>
  <c r="AC23" i="55" s="1"/>
  <c r="AC22" i="55"/>
  <c r="I24" i="55"/>
  <c r="AD22" i="55" s="1"/>
  <c r="E44" i="3"/>
  <c r="C183" i="10" s="1"/>
  <c r="F44" i="3"/>
  <c r="C195" i="10" s="1"/>
  <c r="C159" i="21"/>
  <c r="C160" i="21" s="1"/>
  <c r="D160" i="21" s="1"/>
  <c r="C53" i="21" s="1"/>
  <c r="V184" i="37"/>
  <c r="J57" i="37"/>
  <c r="J43" i="13" s="1"/>
  <c r="F120" i="7"/>
  <c r="J49" i="37"/>
  <c r="J35" i="13" s="1"/>
  <c r="F122" i="7"/>
  <c r="K49" i="37"/>
  <c r="K35" i="13" s="1"/>
  <c r="E121" i="10"/>
  <c r="F118" i="7"/>
  <c r="F127" i="7"/>
  <c r="E112" i="53"/>
  <c r="J66" i="37"/>
  <c r="J52" i="13" s="1"/>
  <c r="P185" i="37"/>
  <c r="G167" i="53"/>
  <c r="K61" i="37"/>
  <c r="K47" i="13" s="1"/>
  <c r="K59" i="37"/>
  <c r="K45" i="13" s="1"/>
  <c r="K53" i="37"/>
  <c r="K39" i="13" s="1"/>
  <c r="H23" i="38"/>
  <c r="I23" i="38" s="1"/>
  <c r="K67" i="37"/>
  <c r="K53" i="13" s="1"/>
  <c r="C51" i="49"/>
  <c r="B17" i="54"/>
  <c r="C87" i="44"/>
  <c r="C215" i="53"/>
  <c r="B131" i="53"/>
  <c r="C190" i="53"/>
  <c r="C140" i="53"/>
  <c r="C165" i="53"/>
  <c r="B111" i="53"/>
  <c r="B121" i="53"/>
  <c r="E65" i="53"/>
  <c r="F78" i="38"/>
  <c r="H78" i="38" s="1"/>
  <c r="B48" i="38" s="1"/>
  <c r="F79" i="38"/>
  <c r="H79" i="38" s="1"/>
  <c r="B53" i="38" s="1"/>
  <c r="F93" i="55"/>
  <c r="F94" i="55"/>
  <c r="F91" i="55"/>
  <c r="A24" i="55"/>
  <c r="L130" i="55"/>
  <c r="K93" i="55" s="1"/>
  <c r="K111" i="55" s="1"/>
  <c r="X22" i="55"/>
  <c r="D139" i="21"/>
  <c r="D146" i="21"/>
  <c r="C231" i="21"/>
  <c r="D231" i="21" s="1"/>
  <c r="E70" i="21" s="1"/>
  <c r="D147" i="21"/>
  <c r="C174" i="21"/>
  <c r="D174" i="21" s="1"/>
  <c r="C67" i="21" s="1"/>
  <c r="C201" i="21"/>
  <c r="D201" i="21" s="1"/>
  <c r="D67" i="21" s="1"/>
  <c r="C219" i="21"/>
  <c r="D219" i="21" s="1"/>
  <c r="E58" i="21" s="1"/>
  <c r="E42" i="49"/>
  <c r="E54" i="49"/>
  <c r="K51" i="37"/>
  <c r="K37" i="13" s="1"/>
  <c r="K55" i="37"/>
  <c r="K41" i="13" s="1"/>
  <c r="K57" i="37"/>
  <c r="K43" i="13" s="1"/>
  <c r="K63" i="37"/>
  <c r="K49" i="13" s="1"/>
  <c r="K65" i="37"/>
  <c r="K51" i="13" s="1"/>
  <c r="F169" i="53"/>
  <c r="E38" i="49"/>
  <c r="C55" i="49"/>
  <c r="H128" i="7"/>
  <c r="H129" i="7"/>
  <c r="H130" i="7"/>
  <c r="D177" i="53"/>
  <c r="C39" i="49"/>
  <c r="F149" i="7"/>
  <c r="G149" i="7" s="1"/>
  <c r="I149" i="7" s="1"/>
  <c r="D86" i="7" s="1"/>
  <c r="F129" i="7"/>
  <c r="F151" i="7"/>
  <c r="F168" i="7"/>
  <c r="G168" i="7" s="1"/>
  <c r="I168" i="7" s="1"/>
  <c r="E85" i="7" s="1"/>
  <c r="F153" i="7"/>
  <c r="G153" i="7" s="1"/>
  <c r="I153" i="7" s="1"/>
  <c r="D90" i="7" s="1"/>
  <c r="F150" i="7"/>
  <c r="G150" i="7" s="1"/>
  <c r="I150" i="7" s="1"/>
  <c r="D87" i="7" s="1"/>
  <c r="F152" i="7"/>
  <c r="F128" i="7"/>
  <c r="F170" i="7"/>
  <c r="G170" i="7" s="1"/>
  <c r="I170" i="7" s="1"/>
  <c r="E87" i="7" s="1"/>
  <c r="F130" i="7"/>
  <c r="F169" i="7"/>
  <c r="G169" i="7" s="1"/>
  <c r="I169" i="7" s="1"/>
  <c r="E86" i="7" s="1"/>
  <c r="F147" i="7"/>
  <c r="G147" i="7" s="1"/>
  <c r="I147" i="7" s="1"/>
  <c r="D84" i="7" s="1"/>
  <c r="F148" i="7"/>
  <c r="G148" i="7" s="1"/>
  <c r="I148" i="7" s="1"/>
  <c r="D85" i="7" s="1"/>
  <c r="D52" i="49"/>
  <c r="E133" i="53"/>
  <c r="G133" i="53" s="1"/>
  <c r="I133" i="53" s="1"/>
  <c r="F172" i="53"/>
  <c r="C52" i="4"/>
  <c r="C39" i="4" s="1"/>
  <c r="C56" i="4"/>
  <c r="C43" i="4" s="1"/>
  <c r="C54" i="4"/>
  <c r="C41" i="4" s="1"/>
  <c r="C50" i="4"/>
  <c r="C30" i="4" s="1"/>
  <c r="C53" i="4"/>
  <c r="C40" i="4" s="1"/>
  <c r="C55" i="4"/>
  <c r="C42" i="4" s="1"/>
  <c r="G151" i="7"/>
  <c r="I151" i="7" s="1"/>
  <c r="D88" i="7" s="1"/>
  <c r="D36" i="49"/>
  <c r="D48" i="49"/>
  <c r="E271" i="37"/>
  <c r="C28" i="33"/>
  <c r="F221" i="37"/>
  <c r="B28" i="33"/>
  <c r="J28" i="33"/>
  <c r="K28" i="33"/>
  <c r="I234" i="37"/>
  <c r="I197" i="37"/>
  <c r="I233" i="37"/>
  <c r="C222" i="37"/>
  <c r="I169" i="37"/>
  <c r="I185" i="37"/>
  <c r="F220" i="37"/>
  <c r="I235" i="37"/>
  <c r="I184" i="37"/>
  <c r="I188" i="37"/>
  <c r="I204" i="37"/>
  <c r="I232" i="37"/>
  <c r="F210" i="37"/>
  <c r="I181" i="37"/>
  <c r="D222" i="37"/>
  <c r="G210" i="37"/>
  <c r="I176" i="37"/>
  <c r="I203" i="37"/>
  <c r="H210" i="37"/>
  <c r="I186" i="37"/>
  <c r="I190" i="37"/>
  <c r="I194" i="37"/>
  <c r="I202" i="37"/>
  <c r="D210" i="37"/>
  <c r="I182" i="37"/>
  <c r="D28" i="33"/>
  <c r="L28" i="33"/>
  <c r="E28" i="33"/>
  <c r="F28" i="33"/>
  <c r="G28" i="33"/>
  <c r="H28" i="33"/>
  <c r="C227" i="21"/>
  <c r="D227" i="21" s="1"/>
  <c r="E66" i="21" s="1"/>
  <c r="C175" i="21"/>
  <c r="D175" i="21" s="1"/>
  <c r="C68" i="21" s="1"/>
  <c r="D140" i="21"/>
  <c r="D149" i="21"/>
  <c r="C171" i="21"/>
  <c r="D171" i="21" s="1"/>
  <c r="C64" i="21" s="1"/>
  <c r="C223" i="21"/>
  <c r="D223" i="21" s="1"/>
  <c r="E62" i="21" s="1"/>
  <c r="D145" i="21"/>
  <c r="C167" i="21"/>
  <c r="D167" i="21" s="1"/>
  <c r="C60" i="21" s="1"/>
  <c r="C179" i="21"/>
  <c r="D179" i="21" s="1"/>
  <c r="C72" i="21" s="1"/>
  <c r="D27" i="13"/>
  <c r="D15" i="55" s="1"/>
  <c r="Y14" i="55" s="1"/>
  <c r="E27" i="13"/>
  <c r="E15" i="55" s="1"/>
  <c r="Z14" i="55" s="1"/>
  <c r="C161" i="10"/>
  <c r="D121" i="20"/>
  <c r="D23" i="37"/>
  <c r="D103" i="37" s="1"/>
  <c r="M23" i="37"/>
  <c r="M103" i="37" s="1"/>
  <c r="G29" i="37"/>
  <c r="G109" i="37" s="1"/>
  <c r="L31" i="37"/>
  <c r="L56" i="37" s="1"/>
  <c r="L42" i="13" s="1"/>
  <c r="D31" i="37"/>
  <c r="D85" i="37" s="1"/>
  <c r="K31" i="37"/>
  <c r="K56" i="37" s="1"/>
  <c r="K42" i="13" s="1"/>
  <c r="C31" i="37"/>
  <c r="C56" i="37" s="1"/>
  <c r="C42" i="13" s="1"/>
  <c r="F31" i="37"/>
  <c r="F111" i="37" s="1"/>
  <c r="G37" i="37"/>
  <c r="G117" i="37" s="1"/>
  <c r="L39" i="37"/>
  <c r="L64" i="37" s="1"/>
  <c r="L50" i="13" s="1"/>
  <c r="D39" i="37"/>
  <c r="D64" i="37" s="1"/>
  <c r="D50" i="13" s="1"/>
  <c r="K39" i="37"/>
  <c r="K64" i="37" s="1"/>
  <c r="K50" i="13" s="1"/>
  <c r="C39" i="37"/>
  <c r="C93" i="37" s="1"/>
  <c r="F39" i="37"/>
  <c r="F119" i="37" s="1"/>
  <c r="C117" i="20"/>
  <c r="E113" i="20"/>
  <c r="G117" i="20"/>
  <c r="H118" i="20"/>
  <c r="C120" i="20"/>
  <c r="G125" i="20"/>
  <c r="H126" i="20"/>
  <c r="C128" i="20"/>
  <c r="E129" i="20"/>
  <c r="J157" i="20"/>
  <c r="J182" i="20" s="1"/>
  <c r="D74" i="53"/>
  <c r="C74" i="53"/>
  <c r="E74" i="53" s="1"/>
  <c r="C84" i="10"/>
  <c r="D113" i="20"/>
  <c r="D116" i="20"/>
  <c r="C116" i="20"/>
  <c r="F116" i="20"/>
  <c r="D129" i="20"/>
  <c r="D64" i="53"/>
  <c r="C64" i="53"/>
  <c r="E23" i="37"/>
  <c r="E43" i="37" s="1"/>
  <c r="H29" i="37"/>
  <c r="H83" i="37" s="1"/>
  <c r="H37" i="37"/>
  <c r="H62" i="37" s="1"/>
  <c r="H48" i="13" s="1"/>
  <c r="B77" i="37"/>
  <c r="B103" i="37" s="1"/>
  <c r="B129" i="37" s="1"/>
  <c r="B251" i="37" s="1"/>
  <c r="G121" i="20"/>
  <c r="F121" i="20"/>
  <c r="I121" i="20"/>
  <c r="D82" i="53"/>
  <c r="C82" i="53"/>
  <c r="E82" i="53" s="1"/>
  <c r="D124" i="20"/>
  <c r="C124" i="20"/>
  <c r="F124" i="20"/>
  <c r="D72" i="53"/>
  <c r="C72" i="53"/>
  <c r="E72" i="53" s="1"/>
  <c r="D80" i="53"/>
  <c r="C80" i="53"/>
  <c r="E80" i="53" s="1"/>
  <c r="F161" i="53"/>
  <c r="F166" i="53"/>
  <c r="I111" i="20"/>
  <c r="H111" i="20"/>
  <c r="C111" i="20"/>
  <c r="H113" i="20"/>
  <c r="E115" i="20"/>
  <c r="D115" i="20"/>
  <c r="G115" i="20"/>
  <c r="G116" i="20"/>
  <c r="H117" i="20"/>
  <c r="I119" i="20"/>
  <c r="H119" i="20"/>
  <c r="C119" i="20"/>
  <c r="D120" i="20"/>
  <c r="H121" i="20"/>
  <c r="E123" i="20"/>
  <c r="D123" i="20"/>
  <c r="G123" i="20"/>
  <c r="G124" i="20"/>
  <c r="H125" i="20"/>
  <c r="I127" i="20"/>
  <c r="H127" i="20"/>
  <c r="C127" i="20"/>
  <c r="D128" i="20"/>
  <c r="H129" i="20"/>
  <c r="D70" i="53"/>
  <c r="C70" i="53"/>
  <c r="E70" i="53" s="1"/>
  <c r="D78" i="53"/>
  <c r="C78" i="53"/>
  <c r="E78" i="53" s="1"/>
  <c r="D161" i="53"/>
  <c r="G23" i="37"/>
  <c r="I25" i="37"/>
  <c r="I79" i="37" s="1"/>
  <c r="L27" i="37"/>
  <c r="D27" i="37"/>
  <c r="D81" i="37" s="1"/>
  <c r="B81" i="37"/>
  <c r="B107" i="37" s="1"/>
  <c r="B133" i="37" s="1"/>
  <c r="B255" i="37" s="1"/>
  <c r="F27" i="37"/>
  <c r="F107" i="37" s="1"/>
  <c r="M27" i="37"/>
  <c r="M52" i="37" s="1"/>
  <c r="M38" i="13" s="1"/>
  <c r="I29" i="37"/>
  <c r="I83" i="37" s="1"/>
  <c r="G31" i="37"/>
  <c r="G111" i="37" s="1"/>
  <c r="L33" i="37"/>
  <c r="L58" i="37" s="1"/>
  <c r="L44" i="13" s="1"/>
  <c r="D33" i="37"/>
  <c r="D58" i="37" s="1"/>
  <c r="D44" i="13" s="1"/>
  <c r="K33" i="37"/>
  <c r="K58" i="37" s="1"/>
  <c r="K44" i="13" s="1"/>
  <c r="C33" i="37"/>
  <c r="C58" i="37" s="1"/>
  <c r="C44" i="13" s="1"/>
  <c r="F33" i="37"/>
  <c r="F113" i="37" s="1"/>
  <c r="I37" i="37"/>
  <c r="I117" i="37" s="1"/>
  <c r="G39" i="37"/>
  <c r="G119" i="37" s="1"/>
  <c r="L41" i="37"/>
  <c r="L95" i="37" s="1"/>
  <c r="D41" i="37"/>
  <c r="D66" i="37" s="1"/>
  <c r="D52" i="13" s="1"/>
  <c r="K41" i="37"/>
  <c r="K66" i="37" s="1"/>
  <c r="K52" i="13" s="1"/>
  <c r="C41" i="37"/>
  <c r="C66" i="37" s="1"/>
  <c r="C52" i="13" s="1"/>
  <c r="F41" i="37"/>
  <c r="F121" i="37" s="1"/>
  <c r="B91" i="37"/>
  <c r="B117" i="37" s="1"/>
  <c r="B143" i="37" s="1"/>
  <c r="B265" i="37" s="1"/>
  <c r="D111" i="20"/>
  <c r="C115" i="20"/>
  <c r="H116" i="20"/>
  <c r="I117" i="20"/>
  <c r="D119" i="20"/>
  <c r="E120" i="20"/>
  <c r="J121" i="20"/>
  <c r="C123" i="20"/>
  <c r="H124" i="20"/>
  <c r="I125" i="20"/>
  <c r="D127" i="20"/>
  <c r="E128" i="20"/>
  <c r="G161" i="53"/>
  <c r="G113" i="20"/>
  <c r="G131" i="20" s="1"/>
  <c r="F113" i="20"/>
  <c r="I113" i="20"/>
  <c r="H23" i="37"/>
  <c r="H48" i="37" s="1"/>
  <c r="H34" i="13" s="1"/>
  <c r="J29" i="37"/>
  <c r="J109" i="37" s="1"/>
  <c r="J37" i="37"/>
  <c r="J62" i="37" s="1"/>
  <c r="J48" i="13" s="1"/>
  <c r="F115" i="20"/>
  <c r="I116" i="20"/>
  <c r="E119" i="20"/>
  <c r="F123" i="20"/>
  <c r="I124" i="20"/>
  <c r="F128" i="20"/>
  <c r="D68" i="53"/>
  <c r="C68" i="53"/>
  <c r="E68" i="53" s="1"/>
  <c r="F114" i="20"/>
  <c r="E114" i="20"/>
  <c r="E131" i="20" s="1"/>
  <c r="H114" i="20"/>
  <c r="J118" i="20"/>
  <c r="F120" i="20"/>
  <c r="F122" i="20"/>
  <c r="E122" i="20"/>
  <c r="H122" i="20"/>
  <c r="J126" i="20"/>
  <c r="F130" i="20"/>
  <c r="E130" i="20"/>
  <c r="H130" i="20"/>
  <c r="D76" i="53"/>
  <c r="C76" i="53"/>
  <c r="E76" i="53" s="1"/>
  <c r="I23" i="37"/>
  <c r="I48" i="37" s="1"/>
  <c r="I34" i="13" s="1"/>
  <c r="K25" i="37"/>
  <c r="K50" i="37" s="1"/>
  <c r="K36" i="13" s="1"/>
  <c r="I31" i="37"/>
  <c r="L35" i="37"/>
  <c r="L60" i="37" s="1"/>
  <c r="L46" i="13" s="1"/>
  <c r="D35" i="37"/>
  <c r="D60" i="37" s="1"/>
  <c r="D46" i="13" s="1"/>
  <c r="B89" i="37"/>
  <c r="B115" i="37" s="1"/>
  <c r="B141" i="37" s="1"/>
  <c r="B263" i="37" s="1"/>
  <c r="K35" i="37"/>
  <c r="K60" i="37" s="1"/>
  <c r="K46" i="13" s="1"/>
  <c r="C35" i="37"/>
  <c r="C60" i="37" s="1"/>
  <c r="C46" i="13" s="1"/>
  <c r="F35" i="37"/>
  <c r="F115" i="37" s="1"/>
  <c r="I39" i="37"/>
  <c r="I64" i="37" s="1"/>
  <c r="I50" i="13" s="1"/>
  <c r="F111" i="20"/>
  <c r="C114" i="20"/>
  <c r="H115" i="20"/>
  <c r="J116" i="20"/>
  <c r="C118" i="20"/>
  <c r="F119" i="20"/>
  <c r="I120" i="20"/>
  <c r="C122" i="20"/>
  <c r="H123" i="20"/>
  <c r="J124" i="20"/>
  <c r="C126" i="20"/>
  <c r="F127" i="20"/>
  <c r="C130" i="20"/>
  <c r="G129" i="20"/>
  <c r="F129" i="20"/>
  <c r="I129" i="20"/>
  <c r="D66" i="53"/>
  <c r="C66" i="53"/>
  <c r="K23" i="37"/>
  <c r="K48" i="37" s="1"/>
  <c r="K34" i="13" s="1"/>
  <c r="L29" i="37"/>
  <c r="L54" i="37" s="1"/>
  <c r="L40" i="13" s="1"/>
  <c r="D29" i="37"/>
  <c r="D54" i="37" s="1"/>
  <c r="D40" i="13" s="1"/>
  <c r="K29" i="37"/>
  <c r="K54" i="37" s="1"/>
  <c r="K40" i="13" s="1"/>
  <c r="C29" i="37"/>
  <c r="F29" i="37"/>
  <c r="L37" i="37"/>
  <c r="L117" i="37" s="1"/>
  <c r="D37" i="37"/>
  <c r="D62" i="37" s="1"/>
  <c r="D48" i="13" s="1"/>
  <c r="K37" i="37"/>
  <c r="K62" i="37" s="1"/>
  <c r="K48" i="13" s="1"/>
  <c r="C37" i="37"/>
  <c r="C91" i="37" s="1"/>
  <c r="F37" i="37"/>
  <c r="F117" i="37" s="1"/>
  <c r="C113" i="20"/>
  <c r="C121" i="20"/>
  <c r="C129" i="20"/>
  <c r="F235" i="53"/>
  <c r="P93" i="44"/>
  <c r="X93" i="44"/>
  <c r="AF93" i="44"/>
  <c r="B144" i="44"/>
  <c r="B152" i="44"/>
  <c r="J28" i="37"/>
  <c r="J30" i="37"/>
  <c r="J110" i="37" s="1"/>
  <c r="J36" i="37"/>
  <c r="J90" i="37" s="1"/>
  <c r="J38" i="37"/>
  <c r="J63" i="37" s="1"/>
  <c r="J49" i="13" s="1"/>
  <c r="J112" i="20"/>
  <c r="E117" i="20"/>
  <c r="D118" i="20"/>
  <c r="J120" i="20"/>
  <c r="E125" i="20"/>
  <c r="D126" i="20"/>
  <c r="J128" i="20"/>
  <c r="H141" i="53"/>
  <c r="H166" i="53" s="1"/>
  <c r="H142" i="53"/>
  <c r="H167" i="53" s="1"/>
  <c r="H143" i="53"/>
  <c r="H168" i="53" s="1"/>
  <c r="H144" i="53"/>
  <c r="H219" i="53" s="1"/>
  <c r="H145" i="53"/>
  <c r="H170" i="53" s="1"/>
  <c r="H146" i="53"/>
  <c r="H171" i="53" s="1"/>
  <c r="H147" i="53"/>
  <c r="H172" i="53" s="1"/>
  <c r="H148" i="53"/>
  <c r="H173" i="53" s="1"/>
  <c r="H149" i="53"/>
  <c r="H199" i="53" s="1"/>
  <c r="H150" i="53"/>
  <c r="H225" i="53" s="1"/>
  <c r="H151" i="53"/>
  <c r="H176" i="53" s="1"/>
  <c r="H152" i="53"/>
  <c r="H202" i="53" s="1"/>
  <c r="H153" i="53"/>
  <c r="H178" i="53" s="1"/>
  <c r="H154" i="53"/>
  <c r="H204" i="53" s="1"/>
  <c r="H155" i="53"/>
  <c r="H180" i="53" s="1"/>
  <c r="H156" i="53"/>
  <c r="H181" i="53" s="1"/>
  <c r="H157" i="53"/>
  <c r="H182" i="53" s="1"/>
  <c r="H158" i="53"/>
  <c r="H183" i="53" s="1"/>
  <c r="H159" i="53"/>
  <c r="H184" i="53" s="1"/>
  <c r="H160" i="53"/>
  <c r="H185" i="53" s="1"/>
  <c r="Q93" i="44"/>
  <c r="Y93" i="44"/>
  <c r="AG93" i="44"/>
  <c r="R93" i="44"/>
  <c r="Z93" i="44"/>
  <c r="AH93" i="44"/>
  <c r="S93" i="44"/>
  <c r="AA93" i="44"/>
  <c r="AI93" i="44"/>
  <c r="T93" i="44"/>
  <c r="AB93" i="44"/>
  <c r="U93" i="44"/>
  <c r="AC93" i="44"/>
  <c r="I118" i="20"/>
  <c r="I126" i="20"/>
  <c r="G128" i="20"/>
  <c r="E141" i="53"/>
  <c r="E166" i="53" s="1"/>
  <c r="E142" i="53"/>
  <c r="E192" i="53" s="1"/>
  <c r="E143" i="53"/>
  <c r="E168" i="53" s="1"/>
  <c r="E144" i="53"/>
  <c r="E194" i="53" s="1"/>
  <c r="E145" i="53"/>
  <c r="E170" i="53" s="1"/>
  <c r="E146" i="53"/>
  <c r="E171" i="53" s="1"/>
  <c r="E147" i="53"/>
  <c r="E197" i="53" s="1"/>
  <c r="E148" i="53"/>
  <c r="E173" i="53" s="1"/>
  <c r="E149" i="53"/>
  <c r="E174" i="53" s="1"/>
  <c r="E150" i="53"/>
  <c r="E175" i="53" s="1"/>
  <c r="E151" i="53"/>
  <c r="E176" i="53" s="1"/>
  <c r="E152" i="53"/>
  <c r="E177" i="53" s="1"/>
  <c r="E153" i="53"/>
  <c r="E203" i="53" s="1"/>
  <c r="E154" i="53"/>
  <c r="E179" i="53" s="1"/>
  <c r="E155" i="53"/>
  <c r="E180" i="53" s="1"/>
  <c r="E156" i="53"/>
  <c r="E231" i="53" s="1"/>
  <c r="E157" i="53"/>
  <c r="E182" i="53" s="1"/>
  <c r="E158" i="53"/>
  <c r="E183" i="53" s="1"/>
  <c r="E159" i="53"/>
  <c r="E184" i="53" s="1"/>
  <c r="E160" i="53"/>
  <c r="E210" i="53" s="1"/>
  <c r="V93" i="44"/>
  <c r="AD93" i="44"/>
  <c r="H112" i="20"/>
  <c r="H120" i="20"/>
  <c r="I201" i="37"/>
  <c r="E222" i="37"/>
  <c r="I171" i="37"/>
  <c r="I191" i="37"/>
  <c r="I198" i="37"/>
  <c r="I209" i="37"/>
  <c r="F219" i="37"/>
  <c r="I170" i="37"/>
  <c r="I179" i="37"/>
  <c r="I199" i="37"/>
  <c r="I206" i="37"/>
  <c r="I174" i="37"/>
  <c r="I178" i="37"/>
  <c r="I189" i="37"/>
  <c r="I207" i="37"/>
  <c r="I175" i="37"/>
  <c r="I177" i="37"/>
  <c r="I192" i="37"/>
  <c r="I196" i="37"/>
  <c r="I200" i="37"/>
  <c r="I205" i="37"/>
  <c r="I231" i="37"/>
  <c r="E210" i="37"/>
  <c r="I172" i="37"/>
  <c r="I183" i="37"/>
  <c r="I187" i="37"/>
  <c r="I208" i="37"/>
  <c r="F218" i="37"/>
  <c r="I173" i="37"/>
  <c r="I180" i="37"/>
  <c r="I193" i="37"/>
  <c r="I195" i="37"/>
  <c r="C210" i="37"/>
  <c r="F216" i="37"/>
  <c r="C224" i="21"/>
  <c r="D224" i="21" s="1"/>
  <c r="E63" i="21" s="1"/>
  <c r="D142" i="21"/>
  <c r="D150" i="21"/>
  <c r="C194" i="21"/>
  <c r="D194" i="21" s="1"/>
  <c r="D60" i="21" s="1"/>
  <c r="C198" i="21"/>
  <c r="D198" i="21" s="1"/>
  <c r="D64" i="21" s="1"/>
  <c r="C202" i="21"/>
  <c r="D202" i="21" s="1"/>
  <c r="D68" i="21" s="1"/>
  <c r="C206" i="21"/>
  <c r="D206" i="21" s="1"/>
  <c r="D72" i="21" s="1"/>
  <c r="C232" i="21"/>
  <c r="D232" i="21" s="1"/>
  <c r="E71" i="21" s="1"/>
  <c r="C164" i="21"/>
  <c r="D164" i="21" s="1"/>
  <c r="C57" i="21" s="1"/>
  <c r="C168" i="21"/>
  <c r="D168" i="21" s="1"/>
  <c r="C61" i="21" s="1"/>
  <c r="C172" i="21"/>
  <c r="D172" i="21" s="1"/>
  <c r="C65" i="21" s="1"/>
  <c r="C176" i="21"/>
  <c r="D176" i="21" s="1"/>
  <c r="C69" i="21" s="1"/>
  <c r="C225" i="21"/>
  <c r="D225" i="21" s="1"/>
  <c r="E64" i="21" s="1"/>
  <c r="C233" i="21"/>
  <c r="D233" i="21" s="1"/>
  <c r="E72" i="21" s="1"/>
  <c r="C191" i="21"/>
  <c r="D191" i="21" s="1"/>
  <c r="D57" i="21" s="1"/>
  <c r="C195" i="21"/>
  <c r="D195" i="21" s="1"/>
  <c r="D61" i="21" s="1"/>
  <c r="C199" i="21"/>
  <c r="D199" i="21" s="1"/>
  <c r="D65" i="21" s="1"/>
  <c r="C203" i="21"/>
  <c r="D203" i="21" s="1"/>
  <c r="D69" i="21" s="1"/>
  <c r="C165" i="21"/>
  <c r="D165" i="21" s="1"/>
  <c r="C58" i="21" s="1"/>
  <c r="C169" i="21"/>
  <c r="D169" i="21" s="1"/>
  <c r="C62" i="21" s="1"/>
  <c r="C173" i="21"/>
  <c r="D173" i="21" s="1"/>
  <c r="C66" i="21" s="1"/>
  <c r="C177" i="21"/>
  <c r="D177" i="21" s="1"/>
  <c r="C70" i="21" s="1"/>
  <c r="C218" i="21"/>
  <c r="D218" i="21" s="1"/>
  <c r="E57" i="21" s="1"/>
  <c r="C226" i="21"/>
  <c r="D226" i="21" s="1"/>
  <c r="E65" i="21" s="1"/>
  <c r="C152" i="21"/>
  <c r="D152" i="21" s="1"/>
  <c r="C170" i="21"/>
  <c r="D170" i="21" s="1"/>
  <c r="C63" i="21" s="1"/>
  <c r="C178" i="21"/>
  <c r="D178" i="21" s="1"/>
  <c r="C71" i="21" s="1"/>
  <c r="H66" i="37"/>
  <c r="H52" i="13" s="1"/>
  <c r="M61" i="37"/>
  <c r="M47" i="13" s="1"/>
  <c r="K52" i="37"/>
  <c r="K38" i="13" s="1"/>
  <c r="J67" i="37"/>
  <c r="J53" i="13" s="1"/>
  <c r="L63" i="37"/>
  <c r="L49" i="13" s="1"/>
  <c r="N192" i="7"/>
  <c r="O192" i="7"/>
  <c r="M192" i="7"/>
  <c r="O186" i="7"/>
  <c r="M186" i="7"/>
  <c r="N186" i="7"/>
  <c r="M179" i="7"/>
  <c r="N179" i="7"/>
  <c r="O179" i="7"/>
  <c r="M187" i="7"/>
  <c r="N187" i="7"/>
  <c r="O187" i="7"/>
  <c r="M195" i="7"/>
  <c r="N195" i="7"/>
  <c r="O195" i="7"/>
  <c r="M193" i="7"/>
  <c r="N193" i="7"/>
  <c r="O193" i="7"/>
  <c r="M185" i="7"/>
  <c r="N185" i="7"/>
  <c r="O185" i="7"/>
  <c r="M180" i="7"/>
  <c r="N180" i="7"/>
  <c r="O180" i="7"/>
  <c r="M196" i="7"/>
  <c r="N196" i="7"/>
  <c r="O196" i="7"/>
  <c r="O181" i="7"/>
  <c r="N181" i="7"/>
  <c r="M181" i="7"/>
  <c r="O197" i="7"/>
  <c r="M197" i="7"/>
  <c r="N197" i="7"/>
  <c r="N184" i="7"/>
  <c r="O184" i="7"/>
  <c r="M184" i="7"/>
  <c r="M190" i="7"/>
  <c r="N190" i="7"/>
  <c r="O190" i="7"/>
  <c r="M188" i="7"/>
  <c r="N188" i="7"/>
  <c r="O188" i="7"/>
  <c r="O189" i="7"/>
  <c r="M189" i="7"/>
  <c r="N189" i="7"/>
  <c r="M183" i="7"/>
  <c r="N183" i="7"/>
  <c r="O183" i="7"/>
  <c r="M191" i="7"/>
  <c r="N191" i="7"/>
  <c r="O191" i="7"/>
  <c r="D38" i="49"/>
  <c r="C41" i="49"/>
  <c r="E44" i="49"/>
  <c r="D54" i="49"/>
  <c r="D42" i="49"/>
  <c r="C45" i="49"/>
  <c r="E48" i="49"/>
  <c r="E36" i="49"/>
  <c r="D46" i="49"/>
  <c r="C49" i="49"/>
  <c r="E52" i="49"/>
  <c r="D40" i="49"/>
  <c r="C43" i="49"/>
  <c r="E46" i="49"/>
  <c r="C37" i="49"/>
  <c r="E40" i="49"/>
  <c r="D50" i="49"/>
  <c r="C53" i="49"/>
  <c r="D44" i="49"/>
  <c r="C47" i="49"/>
  <c r="E50" i="49"/>
  <c r="E111" i="10"/>
  <c r="E114" i="10"/>
  <c r="E133" i="10"/>
  <c r="E115" i="53"/>
  <c r="G115" i="53" s="1"/>
  <c r="I115" i="53" s="1"/>
  <c r="F171" i="53"/>
  <c r="D167" i="53"/>
  <c r="E124" i="10"/>
  <c r="E111" i="53"/>
  <c r="D166" i="53"/>
  <c r="G169" i="53"/>
  <c r="G172" i="53"/>
  <c r="E131" i="10"/>
  <c r="E125" i="53"/>
  <c r="G125" i="53" s="1"/>
  <c r="I125" i="53" s="1"/>
  <c r="E136" i="53"/>
  <c r="E125" i="10"/>
  <c r="E132" i="53"/>
  <c r="G132" i="53" s="1"/>
  <c r="I132" i="53" s="1"/>
  <c r="G166" i="53"/>
  <c r="D170" i="53"/>
  <c r="E115" i="10"/>
  <c r="E134" i="10"/>
  <c r="E121" i="53"/>
  <c r="E113" i="10"/>
  <c r="E113" i="53"/>
  <c r="G113" i="53" s="1"/>
  <c r="I113" i="53" s="1"/>
  <c r="E124" i="53"/>
  <c r="G124" i="53" s="1"/>
  <c r="I124" i="53" s="1"/>
  <c r="E135" i="53"/>
  <c r="D168" i="53"/>
  <c r="D51" i="37"/>
  <c r="D37" i="13" s="1"/>
  <c r="E135" i="10"/>
  <c r="E116" i="53"/>
  <c r="G116" i="53" s="1"/>
  <c r="I116" i="53" s="1"/>
  <c r="E131" i="53"/>
  <c r="G180" i="53"/>
  <c r="D185" i="53"/>
  <c r="G191" i="53"/>
  <c r="E116" i="10"/>
  <c r="E122" i="10"/>
  <c r="E136" i="10"/>
  <c r="F167" i="53"/>
  <c r="G168" i="53"/>
  <c r="G171" i="53"/>
  <c r="E123" i="10"/>
  <c r="E114" i="53"/>
  <c r="G114" i="53" s="1"/>
  <c r="I114" i="53" s="1"/>
  <c r="E122" i="53"/>
  <c r="G122" i="53" s="1"/>
  <c r="I122" i="53" s="1"/>
  <c r="E126" i="53"/>
  <c r="G126" i="53" s="1"/>
  <c r="I126" i="53" s="1"/>
  <c r="E134" i="53"/>
  <c r="E112" i="10"/>
  <c r="E126" i="10"/>
  <c r="E132" i="10"/>
  <c r="D169" i="53"/>
  <c r="F170" i="53"/>
  <c r="F194" i="53"/>
  <c r="D172" i="53"/>
  <c r="F179" i="53"/>
  <c r="D59" i="37"/>
  <c r="D45" i="13" s="1"/>
  <c r="D57" i="37"/>
  <c r="D43" i="13" s="1"/>
  <c r="D49" i="37"/>
  <c r="D35" i="13" s="1"/>
  <c r="D67" i="37"/>
  <c r="D53" i="13" s="1"/>
  <c r="D55" i="37"/>
  <c r="D41" i="13" s="1"/>
  <c r="D65" i="37"/>
  <c r="D51" i="13" s="1"/>
  <c r="D50" i="37"/>
  <c r="D36" i="13" s="1"/>
  <c r="D53" i="37"/>
  <c r="D39" i="13" s="1"/>
  <c r="D63" i="37"/>
  <c r="D49" i="13" s="1"/>
  <c r="D61" i="37"/>
  <c r="D47" i="13" s="1"/>
  <c r="H133" i="7"/>
  <c r="H132" i="7"/>
  <c r="L197" i="37"/>
  <c r="F132" i="7"/>
  <c r="F172" i="7"/>
  <c r="F173" i="7"/>
  <c r="G173" i="7" s="1"/>
  <c r="I173" i="7" s="1"/>
  <c r="E90" i="7" s="1"/>
  <c r="F133" i="7"/>
  <c r="G133" i="7" s="1"/>
  <c r="I42" i="7"/>
  <c r="I38" i="7"/>
  <c r="I24" i="7"/>
  <c r="I26" i="7"/>
  <c r="I40" i="7"/>
  <c r="Q180" i="7"/>
  <c r="R180" i="7"/>
  <c r="G180" i="7"/>
  <c r="P180" i="7"/>
  <c r="G190" i="7"/>
  <c r="P190" i="7"/>
  <c r="Q190" i="7"/>
  <c r="R190" i="7"/>
  <c r="P183" i="7"/>
  <c r="Q183" i="7"/>
  <c r="G183" i="7"/>
  <c r="R183" i="7"/>
  <c r="P191" i="7"/>
  <c r="P290" i="7" s="1"/>
  <c r="G191" i="7"/>
  <c r="R191" i="7"/>
  <c r="Q191" i="7"/>
  <c r="P197" i="7"/>
  <c r="R197" i="7"/>
  <c r="G197" i="7"/>
  <c r="Q197" i="7"/>
  <c r="P189" i="7"/>
  <c r="Q189" i="7"/>
  <c r="R189" i="7"/>
  <c r="G189" i="7"/>
  <c r="G184" i="7"/>
  <c r="Q184" i="7"/>
  <c r="R184" i="7"/>
  <c r="P184" i="7"/>
  <c r="G192" i="7"/>
  <c r="Q192" i="7"/>
  <c r="R192" i="7"/>
  <c r="P192" i="7"/>
  <c r="P179" i="7"/>
  <c r="Q179" i="7"/>
  <c r="R179" i="7"/>
  <c r="B211" i="7"/>
  <c r="B235" i="7" s="1"/>
  <c r="B259" i="7" s="1"/>
  <c r="B284" i="7" s="1"/>
  <c r="R185" i="7"/>
  <c r="G185" i="7"/>
  <c r="P185" i="7"/>
  <c r="Q185" i="7"/>
  <c r="R193" i="7"/>
  <c r="Q193" i="7"/>
  <c r="G193" i="7"/>
  <c r="P193" i="7"/>
  <c r="G187" i="7"/>
  <c r="P187" i="7"/>
  <c r="Q187" i="7"/>
  <c r="R187" i="7"/>
  <c r="B207" i="7"/>
  <c r="B231" i="7" s="1"/>
  <c r="B255" i="7" s="1"/>
  <c r="B280" i="7" s="1"/>
  <c r="Q181" i="7"/>
  <c r="P181" i="7"/>
  <c r="R181" i="7"/>
  <c r="G181" i="7"/>
  <c r="Q188" i="7"/>
  <c r="R188" i="7"/>
  <c r="G188" i="7"/>
  <c r="P188" i="7"/>
  <c r="B221" i="7"/>
  <c r="B245" i="7" s="1"/>
  <c r="B269" i="7" s="1"/>
  <c r="B294" i="7" s="1"/>
  <c r="G195" i="7"/>
  <c r="P195" i="7"/>
  <c r="Q195" i="7"/>
  <c r="R195" i="7"/>
  <c r="G186" i="7"/>
  <c r="Q186" i="7"/>
  <c r="R186" i="7"/>
  <c r="P186" i="7"/>
  <c r="Q196" i="7"/>
  <c r="G196" i="7"/>
  <c r="P196" i="7"/>
  <c r="R196" i="7"/>
  <c r="I28" i="7"/>
  <c r="E177" i="7"/>
  <c r="E190" i="7" s="1"/>
  <c r="I34" i="7"/>
  <c r="I30" i="7"/>
  <c r="I36" i="7"/>
  <c r="E227" i="7"/>
  <c r="I32" i="7"/>
  <c r="B214" i="7"/>
  <c r="B238" i="7" s="1"/>
  <c r="B262" i="7" s="1"/>
  <c r="B287" i="7" s="1"/>
  <c r="B215" i="7"/>
  <c r="B239" i="7" s="1"/>
  <c r="B263" i="7" s="1"/>
  <c r="B288" i="7" s="1"/>
  <c r="B205" i="7"/>
  <c r="B229" i="7" s="1"/>
  <c r="B253" i="7" s="1"/>
  <c r="B278" i="7" s="1"/>
  <c r="B206" i="7"/>
  <c r="B230" i="7" s="1"/>
  <c r="B254" i="7" s="1"/>
  <c r="B279" i="7" s="1"/>
  <c r="B217" i="7"/>
  <c r="B241" i="7" s="1"/>
  <c r="B265" i="7" s="1"/>
  <c r="B290" i="7" s="1"/>
  <c r="B212" i="7"/>
  <c r="B236" i="7" s="1"/>
  <c r="B260" i="7" s="1"/>
  <c r="B285" i="7" s="1"/>
  <c r="B213" i="7"/>
  <c r="B237" i="7" s="1"/>
  <c r="B261" i="7" s="1"/>
  <c r="B286" i="7" s="1"/>
  <c r="B218" i="7"/>
  <c r="B242" i="7" s="1"/>
  <c r="B266" i="7" s="1"/>
  <c r="B291" i="7" s="1"/>
  <c r="B219" i="7"/>
  <c r="B243" i="7" s="1"/>
  <c r="B267" i="7" s="1"/>
  <c r="B292" i="7" s="1"/>
  <c r="I25" i="7"/>
  <c r="I29" i="7"/>
  <c r="I33" i="7"/>
  <c r="I37" i="7"/>
  <c r="I41" i="7"/>
  <c r="F177" i="7"/>
  <c r="F179" i="7" s="1"/>
  <c r="E203" i="7"/>
  <c r="H227" i="7"/>
  <c r="H177" i="7"/>
  <c r="H192" i="7" s="1"/>
  <c r="B182" i="7"/>
  <c r="K227" i="7"/>
  <c r="B178" i="7"/>
  <c r="B194" i="7"/>
  <c r="E251" i="7"/>
  <c r="I31" i="7"/>
  <c r="I35" i="7"/>
  <c r="H251" i="7"/>
  <c r="C227" i="7"/>
  <c r="E276" i="7"/>
  <c r="B222" i="7"/>
  <c r="B246" i="7" s="1"/>
  <c r="B270" i="7" s="1"/>
  <c r="B295" i="7" s="1"/>
  <c r="B223" i="7"/>
  <c r="B247" i="7" s="1"/>
  <c r="B271" i="7" s="1"/>
  <c r="B296" i="7" s="1"/>
  <c r="B216" i="7"/>
  <c r="B240" i="7" s="1"/>
  <c r="B264" i="7" s="1"/>
  <c r="B289" i="7" s="1"/>
  <c r="B209" i="7"/>
  <c r="B233" i="7" s="1"/>
  <c r="B257" i="7" s="1"/>
  <c r="B282" i="7" s="1"/>
  <c r="B210" i="7"/>
  <c r="B234" i="7" s="1"/>
  <c r="B258" i="7" s="1"/>
  <c r="B283" i="7" s="1"/>
  <c r="G179" i="7"/>
  <c r="I177" i="7"/>
  <c r="I190" i="7" s="1"/>
  <c r="F203" i="7"/>
  <c r="D227" i="7"/>
  <c r="L227" i="7"/>
  <c r="I251" i="7"/>
  <c r="F276" i="7"/>
  <c r="J177" i="7"/>
  <c r="J187" i="7" s="1"/>
  <c r="G203" i="7"/>
  <c r="J251" i="7"/>
  <c r="G276" i="7"/>
  <c r="C177" i="7"/>
  <c r="C180" i="7" s="1"/>
  <c r="K177" i="7"/>
  <c r="K192" i="7" s="1"/>
  <c r="H203" i="7"/>
  <c r="F227" i="7"/>
  <c r="C251" i="7"/>
  <c r="K251" i="7"/>
  <c r="H276" i="7"/>
  <c r="D177" i="7"/>
  <c r="D188" i="7" s="1"/>
  <c r="L177" i="7"/>
  <c r="L183" i="7" s="1"/>
  <c r="I203" i="7"/>
  <c r="G227" i="7"/>
  <c r="D251" i="7"/>
  <c r="L251" i="7"/>
  <c r="I276" i="7"/>
  <c r="J203" i="7"/>
  <c r="J276" i="7"/>
  <c r="C203" i="7"/>
  <c r="K203" i="7"/>
  <c r="I227" i="7"/>
  <c r="F251" i="7"/>
  <c r="C276" i="7"/>
  <c r="K276" i="7"/>
  <c r="D203" i="7"/>
  <c r="D276" i="7"/>
  <c r="C4" i="44"/>
  <c r="C55" i="37"/>
  <c r="C41" i="13" s="1"/>
  <c r="H57" i="37"/>
  <c r="H43" i="13" s="1"/>
  <c r="H49" i="37"/>
  <c r="H35" i="13" s="1"/>
  <c r="D37" i="49"/>
  <c r="D39" i="49"/>
  <c r="D41" i="49"/>
  <c r="D43" i="49"/>
  <c r="D45" i="49"/>
  <c r="D47" i="49"/>
  <c r="D49" i="49"/>
  <c r="D51" i="49"/>
  <c r="D53" i="49"/>
  <c r="D55" i="49"/>
  <c r="J58" i="37"/>
  <c r="J44" i="13" s="1"/>
  <c r="M60" i="37"/>
  <c r="M46" i="13" s="1"/>
  <c r="E37" i="49"/>
  <c r="E39" i="49"/>
  <c r="E41" i="49"/>
  <c r="E43" i="49"/>
  <c r="E45" i="49"/>
  <c r="E47" i="49"/>
  <c r="E49" i="49"/>
  <c r="E51" i="49"/>
  <c r="E53" i="49"/>
  <c r="E55" i="49"/>
  <c r="C63" i="37"/>
  <c r="C49" i="13" s="1"/>
  <c r="H65" i="37"/>
  <c r="H51" i="13" s="1"/>
  <c r="J50" i="37"/>
  <c r="J36" i="13" s="1"/>
  <c r="J65" i="37"/>
  <c r="J51" i="13" s="1"/>
  <c r="C36" i="49"/>
  <c r="C38" i="49"/>
  <c r="C40" i="49"/>
  <c r="C42" i="49"/>
  <c r="C44" i="49"/>
  <c r="C46" i="49"/>
  <c r="C48" i="49"/>
  <c r="C50" i="49"/>
  <c r="C52" i="49"/>
  <c r="J48" i="37"/>
  <c r="J34" i="13" s="1"/>
  <c r="M50" i="37"/>
  <c r="M36" i="13" s="1"/>
  <c r="C53" i="37"/>
  <c r="C39" i="13" s="1"/>
  <c r="H55" i="37"/>
  <c r="H41" i="13" s="1"/>
  <c r="J56" i="37"/>
  <c r="J42" i="13" s="1"/>
  <c r="M58" i="37"/>
  <c r="M44" i="13" s="1"/>
  <c r="C61" i="37"/>
  <c r="C47" i="13" s="1"/>
  <c r="H63" i="37"/>
  <c r="H49" i="13" s="1"/>
  <c r="J64" i="37"/>
  <c r="J50" i="13" s="1"/>
  <c r="M66" i="37"/>
  <c r="M52" i="13" s="1"/>
  <c r="M49" i="37"/>
  <c r="M35" i="13" s="1"/>
  <c r="C52" i="37"/>
  <c r="C38" i="13" s="1"/>
  <c r="M57" i="37"/>
  <c r="M43" i="13" s="1"/>
  <c r="M65" i="37"/>
  <c r="M51" i="13" s="1"/>
  <c r="E48" i="38"/>
  <c r="M51" i="37"/>
  <c r="M37" i="13" s="1"/>
  <c r="H56" i="37"/>
  <c r="H42" i="13" s="1"/>
  <c r="M59" i="37"/>
  <c r="M45" i="13" s="1"/>
  <c r="H64" i="37"/>
  <c r="H50" i="13" s="1"/>
  <c r="M67" i="37"/>
  <c r="M53" i="13" s="1"/>
  <c r="C50" i="37"/>
  <c r="C36" i="13" s="1"/>
  <c r="H52" i="37"/>
  <c r="H38" i="13" s="1"/>
  <c r="M55" i="37"/>
  <c r="M41" i="13" s="1"/>
  <c r="H60" i="37"/>
  <c r="H46" i="13" s="1"/>
  <c r="M63" i="37"/>
  <c r="M49" i="13" s="1"/>
  <c r="M56" i="37"/>
  <c r="M42" i="13" s="1"/>
  <c r="C59" i="37"/>
  <c r="C45" i="13" s="1"/>
  <c r="H61" i="37"/>
  <c r="H47" i="13" s="1"/>
  <c r="C48" i="37"/>
  <c r="C34" i="13" s="1"/>
  <c r="H51" i="37"/>
  <c r="H37" i="13" s="1"/>
  <c r="M54" i="37"/>
  <c r="M40" i="13" s="1"/>
  <c r="C57" i="37"/>
  <c r="C43" i="13" s="1"/>
  <c r="H59" i="37"/>
  <c r="H45" i="13" s="1"/>
  <c r="M62" i="37"/>
  <c r="M48" i="13" s="1"/>
  <c r="C65" i="37"/>
  <c r="C51" i="13" s="1"/>
  <c r="H67" i="37"/>
  <c r="H53" i="13" s="1"/>
  <c r="C51" i="37"/>
  <c r="C37" i="13" s="1"/>
  <c r="H53" i="37"/>
  <c r="H39" i="13" s="1"/>
  <c r="M64" i="37"/>
  <c r="M50" i="13" s="1"/>
  <c r="C67" i="37"/>
  <c r="C53" i="13" s="1"/>
  <c r="E53" i="38"/>
  <c r="C49" i="37"/>
  <c r="C35" i="13" s="1"/>
  <c r="J52" i="37"/>
  <c r="J38" i="13" s="1"/>
  <c r="J60" i="37"/>
  <c r="J46" i="13" s="1"/>
  <c r="H50" i="37"/>
  <c r="H36" i="13" s="1"/>
  <c r="J51" i="37"/>
  <c r="J37" i="13" s="1"/>
  <c r="M53" i="37"/>
  <c r="M39" i="13" s="1"/>
  <c r="H58" i="37"/>
  <c r="H44" i="13" s="1"/>
  <c r="J59" i="37"/>
  <c r="J45" i="13" s="1"/>
  <c r="I160" i="4"/>
  <c r="X185" i="37"/>
  <c r="M186" i="37"/>
  <c r="U187" i="37"/>
  <c r="W188" i="37"/>
  <c r="F142" i="7"/>
  <c r="G142" i="7" s="1"/>
  <c r="I142" i="7" s="1"/>
  <c r="D79" i="7" s="1"/>
  <c r="F167" i="7"/>
  <c r="G167" i="7" s="1"/>
  <c r="I167" i="7" s="1"/>
  <c r="E84" i="7" s="1"/>
  <c r="Y172" i="37"/>
  <c r="M173" i="37"/>
  <c r="F126" i="7"/>
  <c r="F140" i="7"/>
  <c r="F138" i="7"/>
  <c r="F145" i="7"/>
  <c r="G145" i="7" s="1"/>
  <c r="I145" i="7" s="1"/>
  <c r="D82" i="7" s="1"/>
  <c r="P169" i="37"/>
  <c r="F124" i="7"/>
  <c r="G124" i="7" s="1"/>
  <c r="I124" i="7" s="1"/>
  <c r="C81" i="7" s="1"/>
  <c r="X193" i="37"/>
  <c r="M194" i="37"/>
  <c r="U195" i="37"/>
  <c r="W196" i="37"/>
  <c r="N197" i="37"/>
  <c r="Z198" i="37"/>
  <c r="M199" i="37"/>
  <c r="O200" i="37"/>
  <c r="Z201" i="37"/>
  <c r="M202" i="37"/>
  <c r="X203" i="37"/>
  <c r="N204" i="37"/>
  <c r="K129" i="4"/>
  <c r="I55" i="37"/>
  <c r="I41" i="13" s="1"/>
  <c r="I65" i="37"/>
  <c r="I51" i="13" s="1"/>
  <c r="I66" i="37"/>
  <c r="I52" i="13" s="1"/>
  <c r="I67" i="37"/>
  <c r="I53" i="13" s="1"/>
  <c r="Q201" i="37"/>
  <c r="F121" i="7"/>
  <c r="F123" i="7"/>
  <c r="G123" i="7" s="1"/>
  <c r="I123" i="7" s="1"/>
  <c r="C80" i="7" s="1"/>
  <c r="F143" i="7"/>
  <c r="G143" i="7" s="1"/>
  <c r="I143" i="7" s="1"/>
  <c r="D80" i="7" s="1"/>
  <c r="L221" i="37"/>
  <c r="L103" i="44" s="1"/>
  <c r="L232" i="37"/>
  <c r="F119" i="7"/>
  <c r="G119" i="7" s="1"/>
  <c r="I119" i="7" s="1"/>
  <c r="C76" i="7" s="1"/>
  <c r="F125" i="7"/>
  <c r="G125" i="7" s="1"/>
  <c r="I125" i="7" s="1"/>
  <c r="C82" i="7" s="1"/>
  <c r="F139" i="7"/>
  <c r="G139" i="7" s="1"/>
  <c r="I139" i="7" s="1"/>
  <c r="D76" i="7" s="1"/>
  <c r="F141" i="7"/>
  <c r="G141" i="7" s="1"/>
  <c r="I141" i="7" s="1"/>
  <c r="D78" i="7" s="1"/>
  <c r="F165" i="7"/>
  <c r="G165" i="7" s="1"/>
  <c r="I165" i="7" s="1"/>
  <c r="E82" i="7" s="1"/>
  <c r="L59" i="37"/>
  <c r="L45" i="13" s="1"/>
  <c r="L103" i="37"/>
  <c r="O171" i="37"/>
  <c r="V172" i="37"/>
  <c r="L230" i="37"/>
  <c r="Q230" i="37" s="1"/>
  <c r="M232" i="37"/>
  <c r="N167" i="4"/>
  <c r="O173" i="37"/>
  <c r="X174" i="37"/>
  <c r="V175" i="37"/>
  <c r="O176" i="37"/>
  <c r="X177" i="37"/>
  <c r="M178" i="37"/>
  <c r="U179" i="37"/>
  <c r="W180" i="37"/>
  <c r="N181" i="37"/>
  <c r="X182" i="37"/>
  <c r="V183" i="37"/>
  <c r="O184" i="37"/>
  <c r="V192" i="37"/>
  <c r="P193" i="37"/>
  <c r="F159" i="7"/>
  <c r="G159" i="7" s="1"/>
  <c r="I159" i="7" s="1"/>
  <c r="E76" i="7" s="1"/>
  <c r="W185" i="37"/>
  <c r="Z196" i="37"/>
  <c r="K70" i="38"/>
  <c r="L70" i="38" s="1"/>
  <c r="N70" i="38" s="1"/>
  <c r="K66" i="38"/>
  <c r="L66" i="38" s="1"/>
  <c r="N66" i="38" s="1"/>
  <c r="G43" i="38"/>
  <c r="H43" i="38" s="1"/>
  <c r="J43" i="38" s="1"/>
  <c r="V236" i="37"/>
  <c r="Z236" i="37" s="1"/>
  <c r="M235" i="37"/>
  <c r="P234" i="37"/>
  <c r="L233" i="37"/>
  <c r="U221" i="37"/>
  <c r="M103" i="44" s="1"/>
  <c r="W220" i="37"/>
  <c r="M102" i="44" s="1"/>
  <c r="M218" i="37"/>
  <c r="L116" i="44" s="1"/>
  <c r="Z208" i="37"/>
  <c r="Y207" i="37"/>
  <c r="N206" i="37"/>
  <c r="Y204" i="37"/>
  <c r="Y203" i="37"/>
  <c r="U202" i="37"/>
  <c r="O201" i="37"/>
  <c r="M200" i="37"/>
  <c r="Z199" i="37"/>
  <c r="Y198" i="37"/>
  <c r="L198" i="37"/>
  <c r="Z197" i="37"/>
  <c r="O197" i="37"/>
  <c r="U196" i="37"/>
  <c r="X195" i="37"/>
  <c r="M195" i="37"/>
  <c r="P194" i="37"/>
  <c r="V193" i="37"/>
  <c r="Y192" i="37"/>
  <c r="N192" i="37"/>
  <c r="Q191" i="37"/>
  <c r="W190" i="37"/>
  <c r="L190" i="37"/>
  <c r="Z189" i="37"/>
  <c r="O189" i="37"/>
  <c r="U188" i="37"/>
  <c r="X187" i="37"/>
  <c r="M187" i="37"/>
  <c r="P186" i="37"/>
  <c r="V185" i="37"/>
  <c r="Y184" i="37"/>
  <c r="N184" i="37"/>
  <c r="Q183" i="37"/>
  <c r="W182" i="37"/>
  <c r="L182" i="37"/>
  <c r="Z181" i="37"/>
  <c r="O181" i="37"/>
  <c r="U180" i="37"/>
  <c r="X179" i="37"/>
  <c r="M179" i="37"/>
  <c r="P178" i="37"/>
  <c r="V177" i="37"/>
  <c r="Y176" i="37"/>
  <c r="N176" i="37"/>
  <c r="Q175" i="37"/>
  <c r="W174" i="37"/>
  <c r="Y173" i="37"/>
  <c r="N173" i="37"/>
  <c r="Q172" i="37"/>
  <c r="U171" i="37"/>
  <c r="X170" i="37"/>
  <c r="L170" i="37"/>
  <c r="Z169" i="37"/>
  <c r="O169" i="37"/>
  <c r="G33" i="38"/>
  <c r="U230" i="37"/>
  <c r="Z230" i="37" s="1"/>
  <c r="M221" i="37"/>
  <c r="L104" i="44" s="1"/>
  <c r="U220" i="37"/>
  <c r="M100" i="44" s="1"/>
  <c r="W219" i="37"/>
  <c r="M108" i="44" s="1"/>
  <c r="W216" i="37"/>
  <c r="M111" i="44" s="1"/>
  <c r="X208" i="37"/>
  <c r="O207" i="37"/>
  <c r="Y205" i="37"/>
  <c r="V204" i="37"/>
  <c r="U203" i="37"/>
  <c r="N202" i="37"/>
  <c r="M201" i="37"/>
  <c r="Z200" i="37"/>
  <c r="X199" i="37"/>
  <c r="W198" i="37"/>
  <c r="X197" i="37"/>
  <c r="M197" i="37"/>
  <c r="P196" i="37"/>
  <c r="V195" i="37"/>
  <c r="Y194" i="37"/>
  <c r="N194" i="37"/>
  <c r="Q193" i="37"/>
  <c r="W192" i="37"/>
  <c r="L192" i="37"/>
  <c r="Z191" i="37"/>
  <c r="O191" i="37"/>
  <c r="U190" i="37"/>
  <c r="X189" i="37"/>
  <c r="M189" i="37"/>
  <c r="P188" i="37"/>
  <c r="V187" i="37"/>
  <c r="Y186" i="37"/>
  <c r="N186" i="37"/>
  <c r="Q185" i="37"/>
  <c r="W184" i="37"/>
  <c r="L184" i="37"/>
  <c r="Z183" i="37"/>
  <c r="O183" i="37"/>
  <c r="U182" i="37"/>
  <c r="X181" i="37"/>
  <c r="M181" i="37"/>
  <c r="P180" i="37"/>
  <c r="V179" i="37"/>
  <c r="Y178" i="37"/>
  <c r="N178" i="37"/>
  <c r="Q177" i="37"/>
  <c r="W176" i="37"/>
  <c r="L176" i="37"/>
  <c r="Z175" i="37"/>
  <c r="O175" i="37"/>
  <c r="Q174" i="37"/>
  <c r="W173" i="37"/>
  <c r="L173" i="37"/>
  <c r="Z172" i="37"/>
  <c r="O172" i="37"/>
  <c r="P171" i="37"/>
  <c r="U170" i="37"/>
  <c r="X169" i="37"/>
  <c r="L169" i="37"/>
  <c r="K68" i="38"/>
  <c r="K64" i="38"/>
  <c r="E58" i="38"/>
  <c r="I38" i="38"/>
  <c r="W235" i="37"/>
  <c r="V232" i="37"/>
  <c r="U231" i="37"/>
  <c r="M220" i="37"/>
  <c r="L101" i="44" s="1"/>
  <c r="U219" i="37"/>
  <c r="M106" i="44" s="1"/>
  <c r="W218" i="37"/>
  <c r="M117" i="44" s="1"/>
  <c r="U216" i="37"/>
  <c r="M109" i="44" s="1"/>
  <c r="Q208" i="37"/>
  <c r="M207" i="37"/>
  <c r="Z206" i="37"/>
  <c r="Q205" i="37"/>
  <c r="Q204" i="37"/>
  <c r="N203" i="37"/>
  <c r="Y201" i="37"/>
  <c r="X200" i="37"/>
  <c r="U199" i="37"/>
  <c r="U198" i="37"/>
  <c r="V197" i="37"/>
  <c r="Y196" i="37"/>
  <c r="N196" i="37"/>
  <c r="Q195" i="37"/>
  <c r="W194" i="37"/>
  <c r="L194" i="37"/>
  <c r="Z193" i="37"/>
  <c r="O193" i="37"/>
  <c r="U192" i="37"/>
  <c r="X191" i="37"/>
  <c r="M191" i="37"/>
  <c r="P190" i="37"/>
  <c r="V189" i="37"/>
  <c r="Y188" i="37"/>
  <c r="N188" i="37"/>
  <c r="Q187" i="37"/>
  <c r="W186" i="37"/>
  <c r="L186" i="37"/>
  <c r="Z185" i="37"/>
  <c r="O185" i="37"/>
  <c r="U184" i="37"/>
  <c r="X183" i="37"/>
  <c r="M183" i="37"/>
  <c r="P182" i="37"/>
  <c r="V181" i="37"/>
  <c r="Y180" i="37"/>
  <c r="N180" i="37"/>
  <c r="Q179" i="37"/>
  <c r="W178" i="37"/>
  <c r="L178" i="37"/>
  <c r="Z177" i="37"/>
  <c r="O177" i="37"/>
  <c r="U176" i="37"/>
  <c r="X175" i="37"/>
  <c r="M175" i="37"/>
  <c r="O174" i="37"/>
  <c r="U173" i="37"/>
  <c r="X172" i="37"/>
  <c r="Y171" i="37"/>
  <c r="N171" i="37"/>
  <c r="P170" i="37"/>
  <c r="V169" i="37"/>
  <c r="V235" i="37"/>
  <c r="V233" i="37"/>
  <c r="U232" i="37"/>
  <c r="M231" i="37"/>
  <c r="L220" i="37"/>
  <c r="L100" i="44" s="1"/>
  <c r="N219" i="37"/>
  <c r="L108" i="44" s="1"/>
  <c r="V218" i="37"/>
  <c r="M116" i="44" s="1"/>
  <c r="N216" i="37"/>
  <c r="L111" i="44" s="1"/>
  <c r="O208" i="37"/>
  <c r="Y206" i="37"/>
  <c r="O205" i="37"/>
  <c r="O204" i="37"/>
  <c r="M203" i="37"/>
  <c r="Z202" i="37"/>
  <c r="X201" i="37"/>
  <c r="U200" i="37"/>
  <c r="O199" i="37"/>
  <c r="O198" i="37"/>
  <c r="U197" i="37"/>
  <c r="X196" i="37"/>
  <c r="M196" i="37"/>
  <c r="P195" i="37"/>
  <c r="V194" i="37"/>
  <c r="Y193" i="37"/>
  <c r="N193" i="37"/>
  <c r="Q192" i="37"/>
  <c r="W191" i="37"/>
  <c r="L191" i="37"/>
  <c r="Z190" i="37"/>
  <c r="O190" i="37"/>
  <c r="U189" i="37"/>
  <c r="X188" i="37"/>
  <c r="M188" i="37"/>
  <c r="P187" i="37"/>
  <c r="V186" i="37"/>
  <c r="Y185" i="37"/>
  <c r="N185" i="37"/>
  <c r="Q184" i="37"/>
  <c r="W183" i="37"/>
  <c r="L183" i="37"/>
  <c r="Z182" i="37"/>
  <c r="O182" i="37"/>
  <c r="U181" i="37"/>
  <c r="X180" i="37"/>
  <c r="M180" i="37"/>
  <c r="P179" i="37"/>
  <c r="V178" i="37"/>
  <c r="Y177" i="37"/>
  <c r="N177" i="37"/>
  <c r="Q176" i="37"/>
  <c r="W175" i="37"/>
  <c r="L175" i="37"/>
  <c r="Z174" i="37"/>
  <c r="N174" i="37"/>
  <c r="Q173" i="37"/>
  <c r="W172" i="37"/>
  <c r="X171" i="37"/>
  <c r="M171" i="37"/>
  <c r="O170" i="37"/>
  <c r="U169" i="37"/>
  <c r="M236" i="37"/>
  <c r="Q236" i="37" s="1"/>
  <c r="U233" i="37"/>
  <c r="V219" i="37"/>
  <c r="M107" i="44" s="1"/>
  <c r="N218" i="37"/>
  <c r="L117" i="44" s="1"/>
  <c r="O206" i="37"/>
  <c r="M204" i="37"/>
  <c r="Z203" i="37"/>
  <c r="N201" i="37"/>
  <c r="Y200" i="37"/>
  <c r="N198" i="37"/>
  <c r="V196" i="37"/>
  <c r="N195" i="37"/>
  <c r="U193" i="37"/>
  <c r="M192" i="37"/>
  <c r="Y191" i="37"/>
  <c r="N190" i="37"/>
  <c r="V188" i="37"/>
  <c r="N187" i="37"/>
  <c r="U185" i="37"/>
  <c r="M184" i="37"/>
  <c r="Y183" i="37"/>
  <c r="N182" i="37"/>
  <c r="V180" i="37"/>
  <c r="N179" i="37"/>
  <c r="U177" i="37"/>
  <c r="M176" i="37"/>
  <c r="Y175" i="37"/>
  <c r="U172" i="37"/>
  <c r="Y170" i="37"/>
  <c r="N169" i="37"/>
  <c r="Y234" i="37"/>
  <c r="V231" i="37"/>
  <c r="U229" i="37"/>
  <c r="Z229" i="37" s="1"/>
  <c r="W221" i="37"/>
  <c r="M105" i="44" s="1"/>
  <c r="V220" i="37"/>
  <c r="M101" i="44" s="1"/>
  <c r="L219" i="37"/>
  <c r="L106" i="44" s="1"/>
  <c r="V216" i="37"/>
  <c r="M110" i="44" s="1"/>
  <c r="Y208" i="37"/>
  <c r="X205" i="37"/>
  <c r="O203" i="37"/>
  <c r="Y202" i="37"/>
  <c r="N200" i="37"/>
  <c r="Y199" i="37"/>
  <c r="W197" i="37"/>
  <c r="O196" i="37"/>
  <c r="X194" i="37"/>
  <c r="M193" i="37"/>
  <c r="U191" i="37"/>
  <c r="W189" i="37"/>
  <c r="O188" i="37"/>
  <c r="X186" i="37"/>
  <c r="M185" i="37"/>
  <c r="U183" i="37"/>
  <c r="W181" i="37"/>
  <c r="O180" i="37"/>
  <c r="X178" i="37"/>
  <c r="M177" i="37"/>
  <c r="U175" i="37"/>
  <c r="X173" i="37"/>
  <c r="N172" i="37"/>
  <c r="Z171" i="37"/>
  <c r="Q170" i="37"/>
  <c r="U235" i="37"/>
  <c r="X234" i="37"/>
  <c r="L231" i="37"/>
  <c r="L229" i="37"/>
  <c r="Q229" i="37" s="1"/>
  <c r="V221" i="37"/>
  <c r="M104" i="44" s="1"/>
  <c r="N220" i="37"/>
  <c r="L102" i="44" s="1"/>
  <c r="M216" i="37"/>
  <c r="L110" i="44" s="1"/>
  <c r="V208" i="37"/>
  <c r="N205" i="37"/>
  <c r="X202" i="37"/>
  <c r="V199" i="37"/>
  <c r="Q197" i="37"/>
  <c r="L196" i="37"/>
  <c r="Z195" i="37"/>
  <c r="U194" i="37"/>
  <c r="L193" i="37"/>
  <c r="Z192" i="37"/>
  <c r="P191" i="37"/>
  <c r="Q189" i="37"/>
  <c r="L188" i="37"/>
  <c r="Z187" i="37"/>
  <c r="U186" i="37"/>
  <c r="L185" i="37"/>
  <c r="Z184" i="37"/>
  <c r="P183" i="37"/>
  <c r="Q181" i="37"/>
  <c r="L180" i="37"/>
  <c r="Z179" i="37"/>
  <c r="U178" i="37"/>
  <c r="L177" i="37"/>
  <c r="Z176" i="37"/>
  <c r="P175" i="37"/>
  <c r="V173" i="37"/>
  <c r="W171" i="37"/>
  <c r="N170" i="37"/>
  <c r="N235" i="37"/>
  <c r="O234" i="37"/>
  <c r="N221" i="37"/>
  <c r="L105" i="44" s="1"/>
  <c r="L216" i="37"/>
  <c r="L109" i="44" s="1"/>
  <c r="N208" i="37"/>
  <c r="M205" i="37"/>
  <c r="Z204" i="37"/>
  <c r="O202" i="37"/>
  <c r="N199" i="37"/>
  <c r="P197" i="37"/>
  <c r="Y195" i="37"/>
  <c r="Q194" i="37"/>
  <c r="X192" i="37"/>
  <c r="N191" i="37"/>
  <c r="Y190" i="37"/>
  <c r="P189" i="37"/>
  <c r="Y187" i="37"/>
  <c r="Q186" i="37"/>
  <c r="X184" i="37"/>
  <c r="N183" i="37"/>
  <c r="Y182" i="37"/>
  <c r="P181" i="37"/>
  <c r="Y179" i="37"/>
  <c r="Q178" i="37"/>
  <c r="X176" i="37"/>
  <c r="N175" i="37"/>
  <c r="Y174" i="37"/>
  <c r="P173" i="37"/>
  <c r="V171" i="37"/>
  <c r="M170" i="37"/>
  <c r="Y169" i="37"/>
  <c r="M219" i="37"/>
  <c r="L107" i="44" s="1"/>
  <c r="U201" i="37"/>
  <c r="Q196" i="37"/>
  <c r="W195" i="37"/>
  <c r="P192" i="37"/>
  <c r="Q188" i="37"/>
  <c r="W187" i="37"/>
  <c r="P184" i="37"/>
  <c r="Q180" i="37"/>
  <c r="W179" i="37"/>
  <c r="P176" i="37"/>
  <c r="P172" i="37"/>
  <c r="Q171" i="37"/>
  <c r="L235" i="37"/>
  <c r="M233" i="37"/>
  <c r="M208" i="37"/>
  <c r="Z207" i="37"/>
  <c r="X198" i="37"/>
  <c r="O195" i="37"/>
  <c r="V190" i="37"/>
  <c r="O187" i="37"/>
  <c r="V182" i="37"/>
  <c r="O179" i="37"/>
  <c r="U174" i="37"/>
  <c r="L171" i="37"/>
  <c r="Z170" i="37"/>
  <c r="F164" i="7"/>
  <c r="G164" i="7" s="1"/>
  <c r="I164" i="7" s="1"/>
  <c r="E81" i="7" s="1"/>
  <c r="F162" i="7"/>
  <c r="G162" i="7" s="1"/>
  <c r="I162" i="7" s="1"/>
  <c r="E79" i="7" s="1"/>
  <c r="F160" i="7"/>
  <c r="F158" i="7"/>
  <c r="W169" i="37"/>
  <c r="F171" i="7"/>
  <c r="F144" i="7"/>
  <c r="G144" i="7" s="1"/>
  <c r="I144" i="7" s="1"/>
  <c r="D81" i="7" s="1"/>
  <c r="W217" i="37"/>
  <c r="M114" i="44" s="1"/>
  <c r="X207" i="37"/>
  <c r="V198" i="37"/>
  <c r="L195" i="37"/>
  <c r="Z194" i="37"/>
  <c r="Q190" i="37"/>
  <c r="L187" i="37"/>
  <c r="Z186" i="37"/>
  <c r="Q182" i="37"/>
  <c r="L179" i="37"/>
  <c r="Z178" i="37"/>
  <c r="P174" i="37"/>
  <c r="W170" i="37"/>
  <c r="F166" i="7"/>
  <c r="N217" i="37"/>
  <c r="L114" i="44" s="1"/>
  <c r="N207" i="37"/>
  <c r="X206" i="37"/>
  <c r="M198" i="37"/>
  <c r="Y197" i="37"/>
  <c r="O194" i="37"/>
  <c r="M190" i="37"/>
  <c r="Y189" i="37"/>
  <c r="O186" i="37"/>
  <c r="M182" i="37"/>
  <c r="Y181" i="37"/>
  <c r="O178" i="37"/>
  <c r="L174" i="37"/>
  <c r="Z173" i="37"/>
  <c r="Q169" i="37"/>
  <c r="F146" i="7"/>
  <c r="I95" i="37"/>
  <c r="M169" i="37"/>
  <c r="L172" i="37"/>
  <c r="M174" i="37"/>
  <c r="V176" i="37"/>
  <c r="P177" i="37"/>
  <c r="Z188" i="37"/>
  <c r="L189" i="37"/>
  <c r="U204" i="37"/>
  <c r="L218" i="37"/>
  <c r="L115" i="44" s="1"/>
  <c r="F131" i="7"/>
  <c r="W177" i="37"/>
  <c r="N189" i="37"/>
  <c r="X190" i="37"/>
  <c r="V191" i="37"/>
  <c r="O192" i="37"/>
  <c r="X204" i="37"/>
  <c r="Z205" i="37"/>
  <c r="M206" i="37"/>
  <c r="U218" i="37"/>
  <c r="M115" i="44" s="1"/>
  <c r="H153" i="20"/>
  <c r="H178" i="20" s="1"/>
  <c r="F163" i="7"/>
  <c r="G163" i="7" s="1"/>
  <c r="I163" i="7" s="1"/>
  <c r="E80" i="7" s="1"/>
  <c r="Z180" i="37"/>
  <c r="L181" i="37"/>
  <c r="W193" i="37"/>
  <c r="M88" i="37"/>
  <c r="H107" i="37"/>
  <c r="I120" i="37"/>
  <c r="F156" i="20"/>
  <c r="F181" i="20" s="1"/>
  <c r="H95" i="37"/>
  <c r="J121" i="37"/>
  <c r="M172" i="37"/>
  <c r="L88" i="37"/>
  <c r="E122" i="37"/>
  <c r="M122" i="37"/>
  <c r="G142" i="20"/>
  <c r="G167" i="20" s="1"/>
  <c r="G112" i="37"/>
  <c r="I145" i="20"/>
  <c r="I170" i="20" s="1"/>
  <c r="I49" i="37"/>
  <c r="I35" i="13" s="1"/>
  <c r="I51" i="37"/>
  <c r="I37" i="13" s="1"/>
  <c r="Q203" i="37"/>
  <c r="I52" i="37"/>
  <c r="I38" i="13" s="1"/>
  <c r="I53" i="37"/>
  <c r="I39" i="13" s="1"/>
  <c r="L67" i="37"/>
  <c r="L53" i="13" s="1"/>
  <c r="Q198" i="37"/>
  <c r="Q202" i="37"/>
  <c r="B193" i="4"/>
  <c r="G76" i="37" s="1"/>
  <c r="G84" i="37" s="1"/>
  <c r="P199" i="37"/>
  <c r="H68" i="38"/>
  <c r="L48" i="37"/>
  <c r="L34" i="13" s="1"/>
  <c r="L51" i="37"/>
  <c r="L37" i="13" s="1"/>
  <c r="I57" i="37"/>
  <c r="I43" i="13" s="1"/>
  <c r="I58" i="37"/>
  <c r="I44" i="13" s="1"/>
  <c r="I59" i="37"/>
  <c r="I45" i="13" s="1"/>
  <c r="Q199" i="37"/>
  <c r="Q200" i="37"/>
  <c r="P207" i="37"/>
  <c r="L53" i="37"/>
  <c r="L39" i="13" s="1"/>
  <c r="I60" i="37"/>
  <c r="I46" i="13" s="1"/>
  <c r="I61" i="37"/>
  <c r="I47" i="13" s="1"/>
  <c r="V174" i="37"/>
  <c r="Q207" i="37"/>
  <c r="F58" i="38"/>
  <c r="L61" i="37"/>
  <c r="L47" i="13" s="1"/>
  <c r="H70" i="38"/>
  <c r="E146" i="7"/>
  <c r="I63" i="37"/>
  <c r="I49" i="13" s="1"/>
  <c r="Q206" i="37"/>
  <c r="L49" i="37"/>
  <c r="L35" i="13" s="1"/>
  <c r="L57" i="37"/>
  <c r="L43" i="13" s="1"/>
  <c r="L65" i="37"/>
  <c r="L51" i="13" s="1"/>
  <c r="P200" i="37"/>
  <c r="P201" i="37"/>
  <c r="P202" i="37"/>
  <c r="P203" i="37"/>
  <c r="P204" i="37"/>
  <c r="P206" i="37"/>
  <c r="H64" i="38"/>
  <c r="I159" i="4"/>
  <c r="L50" i="37"/>
  <c r="L36" i="13" s="1"/>
  <c r="P205" i="37"/>
  <c r="I155" i="4"/>
  <c r="I163" i="4"/>
  <c r="E92" i="4"/>
  <c r="D353" i="4" s="1"/>
  <c r="P139" i="4"/>
  <c r="N140" i="4"/>
  <c r="P198" i="37"/>
  <c r="E166" i="7"/>
  <c r="L55" i="37"/>
  <c r="L41" i="13" s="1"/>
  <c r="P208" i="37"/>
  <c r="I129" i="4"/>
  <c r="P133" i="4"/>
  <c r="D176" i="53"/>
  <c r="F178" i="53"/>
  <c r="G179" i="53"/>
  <c r="D184" i="53"/>
  <c r="D193" i="53"/>
  <c r="D197" i="53"/>
  <c r="G170" i="53"/>
  <c r="D175" i="53"/>
  <c r="F177" i="53"/>
  <c r="G178" i="53"/>
  <c r="D183" i="53"/>
  <c r="F185" i="53"/>
  <c r="I136" i="4"/>
  <c r="I144" i="4"/>
  <c r="P173" i="4"/>
  <c r="I176" i="4"/>
  <c r="D174" i="53"/>
  <c r="F176" i="53"/>
  <c r="G177" i="53"/>
  <c r="D182" i="53"/>
  <c r="F184" i="53"/>
  <c r="G185" i="53"/>
  <c r="D192" i="53"/>
  <c r="G193" i="53"/>
  <c r="F207" i="53"/>
  <c r="D173" i="53"/>
  <c r="F175" i="53"/>
  <c r="G176" i="53"/>
  <c r="H177" i="53"/>
  <c r="D181" i="53"/>
  <c r="F183" i="53"/>
  <c r="G184" i="53"/>
  <c r="F192" i="53"/>
  <c r="F195" i="53"/>
  <c r="F174" i="53"/>
  <c r="G175" i="53"/>
  <c r="D180" i="53"/>
  <c r="F182" i="53"/>
  <c r="G183" i="53"/>
  <c r="D191" i="53"/>
  <c r="G192" i="53"/>
  <c r="G195" i="53"/>
  <c r="F199" i="53"/>
  <c r="G208" i="53"/>
  <c r="D171" i="53"/>
  <c r="F173" i="53"/>
  <c r="G174" i="53"/>
  <c r="D179" i="53"/>
  <c r="F181" i="53"/>
  <c r="G182" i="53"/>
  <c r="H192" i="53"/>
  <c r="D194" i="53"/>
  <c r="K131" i="4"/>
  <c r="I132" i="4"/>
  <c r="I140" i="4"/>
  <c r="P176" i="4"/>
  <c r="G173" i="53"/>
  <c r="D178" i="53"/>
  <c r="F180" i="53"/>
  <c r="G181" i="53"/>
  <c r="F191" i="53"/>
  <c r="G200" i="53"/>
  <c r="D205" i="53"/>
  <c r="P163" i="4"/>
  <c r="N164" i="4"/>
  <c r="P170" i="4"/>
  <c r="D196" i="53"/>
  <c r="F198" i="53"/>
  <c r="G199" i="53"/>
  <c r="D204" i="53"/>
  <c r="F206" i="53"/>
  <c r="G207" i="53"/>
  <c r="F217" i="53"/>
  <c r="F226" i="53"/>
  <c r="G235" i="53"/>
  <c r="H191" i="53"/>
  <c r="D195" i="53"/>
  <c r="F197" i="53"/>
  <c r="G198" i="53"/>
  <c r="D203" i="53"/>
  <c r="F205" i="53"/>
  <c r="G206" i="53"/>
  <c r="N122" i="4"/>
  <c r="K125" i="4"/>
  <c r="I126" i="4"/>
  <c r="K133" i="4"/>
  <c r="P175" i="4"/>
  <c r="E191" i="4"/>
  <c r="H140" i="20"/>
  <c r="H165" i="20" s="1"/>
  <c r="J104" i="37"/>
  <c r="F196" i="53"/>
  <c r="G197" i="53"/>
  <c r="D202" i="53"/>
  <c r="F204" i="53"/>
  <c r="G205" i="53"/>
  <c r="G210" i="53"/>
  <c r="F218" i="53"/>
  <c r="G227" i="53"/>
  <c r="D232" i="53"/>
  <c r="N123" i="4"/>
  <c r="K134" i="4"/>
  <c r="K141" i="4"/>
  <c r="P146" i="4"/>
  <c r="I153" i="4"/>
  <c r="N170" i="4"/>
  <c r="K171" i="4"/>
  <c r="B190" i="4"/>
  <c r="E76" i="37" s="1"/>
  <c r="E81" i="37" s="1"/>
  <c r="K11" i="44"/>
  <c r="I42" i="44"/>
  <c r="H158" i="20"/>
  <c r="H183" i="20" s="1"/>
  <c r="J153" i="20"/>
  <c r="J178" i="20" s="1"/>
  <c r="C79" i="37"/>
  <c r="E139" i="20"/>
  <c r="E164" i="20" s="1"/>
  <c r="G196" i="53"/>
  <c r="D201" i="53"/>
  <c r="F203" i="53"/>
  <c r="G204" i="53"/>
  <c r="D209" i="53"/>
  <c r="D200" i="53"/>
  <c r="F202" i="53"/>
  <c r="G203" i="53"/>
  <c r="D208" i="53"/>
  <c r="D216" i="53"/>
  <c r="G219" i="53"/>
  <c r="D224" i="53"/>
  <c r="I128" i="4"/>
  <c r="H144" i="20"/>
  <c r="H169" i="20" s="1"/>
  <c r="F193" i="53"/>
  <c r="G194" i="53"/>
  <c r="D199" i="53"/>
  <c r="F201" i="53"/>
  <c r="G202" i="53"/>
  <c r="D207" i="53"/>
  <c r="F209" i="53"/>
  <c r="I167" i="4"/>
  <c r="I168" i="4"/>
  <c r="N172" i="4"/>
  <c r="D198" i="53"/>
  <c r="F200" i="53"/>
  <c r="G201" i="53"/>
  <c r="D206" i="53"/>
  <c r="F208" i="53"/>
  <c r="G209" i="53"/>
  <c r="F234" i="53"/>
  <c r="P135" i="4"/>
  <c r="I138" i="4"/>
  <c r="K156" i="4"/>
  <c r="P165" i="4"/>
  <c r="W199" i="37"/>
  <c r="M106" i="37"/>
  <c r="N124" i="4"/>
  <c r="K126" i="4"/>
  <c r="I127" i="4"/>
  <c r="N136" i="4"/>
  <c r="N160" i="4"/>
  <c r="K168" i="4"/>
  <c r="I169" i="4"/>
  <c r="M114" i="37"/>
  <c r="V170" i="37"/>
  <c r="D71" i="44"/>
  <c r="F122" i="37"/>
  <c r="K49" i="15"/>
  <c r="L66" i="15"/>
  <c r="I122" i="4"/>
  <c r="N126" i="4"/>
  <c r="K127" i="4"/>
  <c r="P131" i="4"/>
  <c r="N132" i="4"/>
  <c r="I134" i="4"/>
  <c r="N138" i="4"/>
  <c r="K140" i="4"/>
  <c r="P145" i="4"/>
  <c r="I152" i="4"/>
  <c r="N158" i="4"/>
  <c r="P167" i="4"/>
  <c r="N168" i="4"/>
  <c r="N175" i="4"/>
  <c r="G7" i="44"/>
  <c r="G161" i="7"/>
  <c r="K122" i="4"/>
  <c r="P126" i="4"/>
  <c r="I166" i="4"/>
  <c r="H30" i="44"/>
  <c r="K124" i="4"/>
  <c r="I125" i="4"/>
  <c r="I137" i="4"/>
  <c r="N141" i="4"/>
  <c r="K144" i="4"/>
  <c r="K153" i="4"/>
  <c r="K161" i="4"/>
  <c r="I162" i="4"/>
  <c r="K173" i="4"/>
  <c r="G134" i="53"/>
  <c r="I134" i="53" s="1"/>
  <c r="L17" i="44"/>
  <c r="L199" i="37"/>
  <c r="F108" i="37"/>
  <c r="J149" i="20"/>
  <c r="J174" i="20" s="1"/>
  <c r="G112" i="53"/>
  <c r="I112" i="53" s="1"/>
  <c r="G218" i="53"/>
  <c r="D223" i="53"/>
  <c r="F225" i="53"/>
  <c r="G226" i="53"/>
  <c r="H227" i="53"/>
  <c r="D231" i="53"/>
  <c r="F233" i="53"/>
  <c r="G234" i="53"/>
  <c r="K146" i="4"/>
  <c r="K165" i="4"/>
  <c r="R176" i="4"/>
  <c r="J105" i="37"/>
  <c r="G108" i="37"/>
  <c r="H141" i="20"/>
  <c r="H166" i="20" s="1"/>
  <c r="I144" i="20"/>
  <c r="I169" i="20" s="1"/>
  <c r="H154" i="20"/>
  <c r="H179" i="20" s="1"/>
  <c r="F216" i="53"/>
  <c r="G217" i="53"/>
  <c r="D222" i="53"/>
  <c r="F224" i="53"/>
  <c r="G225" i="53"/>
  <c r="D230" i="53"/>
  <c r="F232" i="53"/>
  <c r="G233" i="53"/>
  <c r="P138" i="4"/>
  <c r="K139" i="4"/>
  <c r="I141" i="4"/>
  <c r="N146" i="4"/>
  <c r="N156" i="4"/>
  <c r="I157" i="4"/>
  <c r="P158" i="4"/>
  <c r="P164" i="4"/>
  <c r="K172" i="4"/>
  <c r="K37" i="44"/>
  <c r="M105" i="37"/>
  <c r="K44" i="15"/>
  <c r="K52" i="15"/>
  <c r="L69" i="15"/>
  <c r="J28" i="38"/>
  <c r="L28" i="38" s="1"/>
  <c r="H150" i="20"/>
  <c r="H175" i="20" s="1"/>
  <c r="D210" i="53"/>
  <c r="G216" i="53"/>
  <c r="D221" i="53"/>
  <c r="F223" i="53"/>
  <c r="G224" i="53"/>
  <c r="D229" i="53"/>
  <c r="F231" i="53"/>
  <c r="G232" i="53"/>
  <c r="R138" i="4"/>
  <c r="L13" i="44"/>
  <c r="L61" i="44"/>
  <c r="C78" i="37"/>
  <c r="E155" i="20"/>
  <c r="E180" i="20" s="1"/>
  <c r="H145" i="20"/>
  <c r="H170" i="20" s="1"/>
  <c r="H155" i="20"/>
  <c r="H180" i="20" s="1"/>
  <c r="D220" i="53"/>
  <c r="F222" i="53"/>
  <c r="G223" i="53"/>
  <c r="D228" i="53"/>
  <c r="F230" i="53"/>
  <c r="G231" i="53"/>
  <c r="N125" i="4"/>
  <c r="N130" i="4"/>
  <c r="P143" i="4"/>
  <c r="P156" i="4"/>
  <c r="I164" i="4"/>
  <c r="N171" i="4"/>
  <c r="K176" i="4"/>
  <c r="H26" i="44"/>
  <c r="I106" i="37"/>
  <c r="E114" i="37"/>
  <c r="H142" i="20"/>
  <c r="H167" i="20" s="1"/>
  <c r="J151" i="20"/>
  <c r="J176" i="20" s="1"/>
  <c r="G123" i="53"/>
  <c r="I123" i="53" s="1"/>
  <c r="G136" i="53"/>
  <c r="I136" i="53" s="1"/>
  <c r="F210" i="53"/>
  <c r="D219" i="53"/>
  <c r="F221" i="53"/>
  <c r="G222" i="53"/>
  <c r="D227" i="53"/>
  <c r="E228" i="53"/>
  <c r="F229" i="53"/>
  <c r="G230" i="53"/>
  <c r="D235" i="53"/>
  <c r="K137" i="4"/>
  <c r="K155" i="4"/>
  <c r="K164" i="4"/>
  <c r="K169" i="4"/>
  <c r="D218" i="53"/>
  <c r="F220" i="53"/>
  <c r="G221" i="53"/>
  <c r="D226" i="53"/>
  <c r="E227" i="53"/>
  <c r="F228" i="53"/>
  <c r="G229" i="53"/>
  <c r="D234" i="53"/>
  <c r="N127" i="4"/>
  <c r="P130" i="4"/>
  <c r="K138" i="4"/>
  <c r="N152" i="4"/>
  <c r="N169" i="4"/>
  <c r="P172" i="4"/>
  <c r="N176" i="4"/>
  <c r="K15" i="44"/>
  <c r="M110" i="37"/>
  <c r="K48" i="15"/>
  <c r="L65" i="15"/>
  <c r="H143" i="20"/>
  <c r="H168" i="20" s="1"/>
  <c r="H157" i="20"/>
  <c r="H182" i="20" s="1"/>
  <c r="G135" i="53"/>
  <c r="I135" i="53" s="1"/>
  <c r="D217" i="53"/>
  <c r="F219" i="53"/>
  <c r="G220" i="53"/>
  <c r="D225" i="53"/>
  <c r="F227" i="53"/>
  <c r="G228" i="53"/>
  <c r="H229" i="53"/>
  <c r="D233" i="53"/>
  <c r="K121" i="4"/>
  <c r="J354" i="4" s="1"/>
  <c r="N145" i="4"/>
  <c r="I156" i="4"/>
  <c r="P157" i="4"/>
  <c r="K167" i="4"/>
  <c r="P169" i="4"/>
  <c r="I171" i="4"/>
  <c r="E190" i="4"/>
  <c r="F22" i="44"/>
  <c r="D35" i="44"/>
  <c r="L74" i="44"/>
  <c r="N137" i="4"/>
  <c r="P137" i="4"/>
  <c r="G154" i="20"/>
  <c r="G179" i="20" s="1"/>
  <c r="G158" i="20"/>
  <c r="G183" i="20" s="1"/>
  <c r="G157" i="20"/>
  <c r="G182" i="20" s="1"/>
  <c r="F146" i="20"/>
  <c r="F171" i="20" s="1"/>
  <c r="G154" i="4"/>
  <c r="F154" i="4" s="1"/>
  <c r="E154" i="4" s="1"/>
  <c r="D154" i="4" s="1"/>
  <c r="C154" i="4" s="1"/>
  <c r="I154" i="4"/>
  <c r="F148" i="20"/>
  <c r="F173" i="20" s="1"/>
  <c r="H78" i="37"/>
  <c r="H84" i="37"/>
  <c r="J113" i="37"/>
  <c r="V202" i="37"/>
  <c r="J144" i="20"/>
  <c r="J169" i="20" s="1"/>
  <c r="H146" i="20"/>
  <c r="H171" i="20" s="1"/>
  <c r="H148" i="20"/>
  <c r="H173" i="20" s="1"/>
  <c r="F150" i="20"/>
  <c r="F175" i="20" s="1"/>
  <c r="F152" i="20"/>
  <c r="F177" i="20" s="1"/>
  <c r="E154" i="20"/>
  <c r="E179" i="20" s="1"/>
  <c r="H156" i="20"/>
  <c r="H181" i="20" s="1"/>
  <c r="K78" i="37"/>
  <c r="I80" i="37"/>
  <c r="F105" i="37"/>
  <c r="I110" i="37"/>
  <c r="I118" i="37"/>
  <c r="V200" i="37"/>
  <c r="V205" i="37"/>
  <c r="K46" i="15"/>
  <c r="L63" i="15"/>
  <c r="L71" i="15"/>
  <c r="F141" i="20"/>
  <c r="F166" i="20" s="1"/>
  <c r="F143" i="20"/>
  <c r="F168" i="20" s="1"/>
  <c r="J146" i="20"/>
  <c r="J171" i="20" s="1"/>
  <c r="J148" i="20"/>
  <c r="J173" i="20" s="1"/>
  <c r="G150" i="20"/>
  <c r="G175" i="20" s="1"/>
  <c r="H152" i="20"/>
  <c r="H177" i="20" s="1"/>
  <c r="F154" i="20"/>
  <c r="F179" i="20" s="1"/>
  <c r="P142" i="4"/>
  <c r="R142" i="4"/>
  <c r="G141" i="20"/>
  <c r="G166" i="20" s="1"/>
  <c r="F145" i="20"/>
  <c r="F170" i="20" s="1"/>
  <c r="J152" i="20"/>
  <c r="J177" i="20" s="1"/>
  <c r="F157" i="20"/>
  <c r="F182" i="20" s="1"/>
  <c r="V206" i="37"/>
  <c r="F139" i="20"/>
  <c r="F164" i="20" s="1"/>
  <c r="F184" i="20" s="1"/>
  <c r="J143" i="20"/>
  <c r="J168" i="20" s="1"/>
  <c r="F147" i="20"/>
  <c r="F172" i="20" s="1"/>
  <c r="F149" i="20"/>
  <c r="F174" i="20" s="1"/>
  <c r="J154" i="20"/>
  <c r="J179" i="20" s="1"/>
  <c r="G354" i="4"/>
  <c r="C186" i="21" s="1"/>
  <c r="C187" i="21" s="1"/>
  <c r="D187" i="21" s="1"/>
  <c r="D53" i="21" s="1"/>
  <c r="I121" i="4"/>
  <c r="H354" i="4" s="1"/>
  <c r="K104" i="37"/>
  <c r="C82" i="37"/>
  <c r="K108" i="37"/>
  <c r="V203" i="37"/>
  <c r="H33" i="38"/>
  <c r="D139" i="20"/>
  <c r="D164" i="20" s="1"/>
  <c r="H139" i="20"/>
  <c r="H164" i="20" s="1"/>
  <c r="H184" i="20" s="1"/>
  <c r="H147" i="20"/>
  <c r="H172" i="20" s="1"/>
  <c r="G149" i="20"/>
  <c r="G174" i="20" s="1"/>
  <c r="F151" i="20"/>
  <c r="F176" i="20" s="1"/>
  <c r="F153" i="20"/>
  <c r="F178" i="20" s="1"/>
  <c r="P166" i="4"/>
  <c r="N166" i="4"/>
  <c r="R168" i="4"/>
  <c r="P168" i="4"/>
  <c r="F140" i="20"/>
  <c r="F165" i="20" s="1"/>
  <c r="G104" i="37"/>
  <c r="E106" i="37"/>
  <c r="V201" i="37"/>
  <c r="V207" i="37"/>
  <c r="K50" i="15"/>
  <c r="L67" i="15"/>
  <c r="E158" i="20"/>
  <c r="E183" i="20" s="1"/>
  <c r="F142" i="20"/>
  <c r="F167" i="20" s="1"/>
  <c r="F144" i="20"/>
  <c r="F169" i="20" s="1"/>
  <c r="J145" i="20"/>
  <c r="J170" i="20" s="1"/>
  <c r="J147" i="20"/>
  <c r="J172" i="20" s="1"/>
  <c r="H149" i="20"/>
  <c r="H174" i="20" s="1"/>
  <c r="H151" i="20"/>
  <c r="H176" i="20" s="1"/>
  <c r="F155" i="20"/>
  <c r="F180" i="20" s="1"/>
  <c r="F158" i="20"/>
  <c r="F183" i="20" s="1"/>
  <c r="G124" i="4"/>
  <c r="F124" i="4" s="1"/>
  <c r="E124" i="4" s="1"/>
  <c r="D124" i="4" s="1"/>
  <c r="C124" i="4" s="1"/>
  <c r="I124" i="4"/>
  <c r="F54" i="21"/>
  <c r="H129" i="55" s="1"/>
  <c r="H92" i="55" s="1"/>
  <c r="I130" i="4"/>
  <c r="P134" i="4"/>
  <c r="I135" i="4"/>
  <c r="K143" i="4"/>
  <c r="K145" i="4"/>
  <c r="K152" i="4"/>
  <c r="N159" i="4"/>
  <c r="I5" i="44"/>
  <c r="H7" i="44"/>
  <c r="L11" i="44"/>
  <c r="L15" i="44"/>
  <c r="H20" i="44"/>
  <c r="G22" i="44"/>
  <c r="H24" i="44"/>
  <c r="D29" i="44"/>
  <c r="D33" i="44"/>
  <c r="K35" i="44"/>
  <c r="L37" i="44"/>
  <c r="H40" i="44"/>
  <c r="I44" i="44"/>
  <c r="K71" i="44"/>
  <c r="P123" i="4"/>
  <c r="P127" i="4"/>
  <c r="N129" i="4"/>
  <c r="K135" i="4"/>
  <c r="N143" i="4"/>
  <c r="N153" i="4"/>
  <c r="K154" i="4"/>
  <c r="K160" i="4"/>
  <c r="K163" i="4"/>
  <c r="I175" i="4"/>
  <c r="J5" i="44"/>
  <c r="I7" i="44"/>
  <c r="H10" i="44"/>
  <c r="F14" i="44"/>
  <c r="H18" i="44"/>
  <c r="H22" i="44"/>
  <c r="D27" i="44"/>
  <c r="J29" i="44"/>
  <c r="D31" i="44"/>
  <c r="K33" i="44"/>
  <c r="L35" i="44"/>
  <c r="I40" i="44"/>
  <c r="J44" i="44"/>
  <c r="L53" i="44"/>
  <c r="I81" i="44"/>
  <c r="K132" i="4"/>
  <c r="N133" i="4"/>
  <c r="P136" i="4"/>
  <c r="K5" i="44"/>
  <c r="I10" i="44"/>
  <c r="H12" i="44"/>
  <c r="G14" i="44"/>
  <c r="H16" i="44"/>
  <c r="D21" i="44"/>
  <c r="D25" i="44"/>
  <c r="J27" i="44"/>
  <c r="K29" i="44"/>
  <c r="J31" i="44"/>
  <c r="L33" i="44"/>
  <c r="H38" i="44"/>
  <c r="J81" i="44"/>
  <c r="K128" i="4"/>
  <c r="I131" i="4"/>
  <c r="P141" i="4"/>
  <c r="I142" i="4"/>
  <c r="K157" i="4"/>
  <c r="P161" i="4"/>
  <c r="I165" i="4"/>
  <c r="K175" i="4"/>
  <c r="B191" i="4"/>
  <c r="F76" i="37" s="1"/>
  <c r="D8" i="44"/>
  <c r="J10" i="44"/>
  <c r="H14" i="44"/>
  <c r="D19" i="44"/>
  <c r="J21" i="44"/>
  <c r="D23" i="44"/>
  <c r="J25" i="44"/>
  <c r="K27" i="44"/>
  <c r="L29" i="44"/>
  <c r="K31" i="44"/>
  <c r="G36" i="44"/>
  <c r="H41" i="44"/>
  <c r="K46" i="44"/>
  <c r="I57" i="44"/>
  <c r="I60" i="44"/>
  <c r="D66" i="44"/>
  <c r="C57" i="50"/>
  <c r="D57" i="50" s="1"/>
  <c r="C22" i="55" s="1"/>
  <c r="I22" i="55" s="1"/>
  <c r="AD20" i="55" s="1"/>
  <c r="I123" i="4"/>
  <c r="I139" i="4"/>
  <c r="D6" i="44"/>
  <c r="J8" i="44"/>
  <c r="D13" i="44"/>
  <c r="D17" i="44"/>
  <c r="J19" i="44"/>
  <c r="K21" i="44"/>
  <c r="J23" i="44"/>
  <c r="K25" i="44"/>
  <c r="L27" i="44"/>
  <c r="L31" i="44"/>
  <c r="G34" i="44"/>
  <c r="H36" i="44"/>
  <c r="D39" i="44"/>
  <c r="J41" i="44"/>
  <c r="J57" i="44"/>
  <c r="J76" i="44"/>
  <c r="L79" i="44"/>
  <c r="E121" i="4"/>
  <c r="D354" i="4" s="1"/>
  <c r="N121" i="4"/>
  <c r="M354" i="4" s="1"/>
  <c r="N128" i="4"/>
  <c r="P132" i="4"/>
  <c r="I133" i="4"/>
  <c r="P140" i="4"/>
  <c r="N142" i="4"/>
  <c r="N162" i="4"/>
  <c r="L6" i="44"/>
  <c r="K8" i="44"/>
  <c r="D11" i="44"/>
  <c r="J13" i="44"/>
  <c r="D15" i="44"/>
  <c r="J17" i="44"/>
  <c r="K19" i="44"/>
  <c r="L21" i="44"/>
  <c r="K23" i="44"/>
  <c r="L25" i="44"/>
  <c r="F30" i="44"/>
  <c r="H34" i="44"/>
  <c r="K39" i="44"/>
  <c r="I52" i="44"/>
  <c r="K76" i="44"/>
  <c r="H86" i="44"/>
  <c r="K123" i="4"/>
  <c r="R126" i="4"/>
  <c r="P128" i="4"/>
  <c r="N134" i="4"/>
  <c r="K136" i="4"/>
  <c r="I143" i="4"/>
  <c r="I145" i="4"/>
  <c r="P155" i="4"/>
  <c r="K159" i="4"/>
  <c r="I172" i="4"/>
  <c r="N173" i="4"/>
  <c r="K174" i="4"/>
  <c r="L8" i="44"/>
  <c r="K13" i="44"/>
  <c r="J15" i="44"/>
  <c r="K17" i="44"/>
  <c r="L19" i="44"/>
  <c r="L23" i="44"/>
  <c r="H28" i="44"/>
  <c r="G30" i="44"/>
  <c r="H32" i="44"/>
  <c r="D37" i="44"/>
  <c r="L39" i="44"/>
  <c r="J49" i="44"/>
  <c r="J52" i="44"/>
  <c r="F61" i="44"/>
  <c r="G64" i="44"/>
  <c r="I86" i="44"/>
  <c r="C232" i="10"/>
  <c r="C228" i="10"/>
  <c r="C224" i="10"/>
  <c r="C220" i="10"/>
  <c r="C216" i="10"/>
  <c r="C235" i="10"/>
  <c r="C231" i="10"/>
  <c r="C227" i="10"/>
  <c r="C223" i="10"/>
  <c r="C219" i="10"/>
  <c r="C230" i="10"/>
  <c r="C225" i="10"/>
  <c r="C234" i="10"/>
  <c r="C229" i="10"/>
  <c r="C218" i="10"/>
  <c r="C226" i="10"/>
  <c r="C221" i="10"/>
  <c r="C233" i="10"/>
  <c r="D131" i="10"/>
  <c r="C217" i="10"/>
  <c r="C222" i="10"/>
  <c r="J95" i="37"/>
  <c r="J96" i="37"/>
  <c r="J88" i="37"/>
  <c r="J89" i="37"/>
  <c r="I78" i="37"/>
  <c r="D79" i="37"/>
  <c r="L79" i="37"/>
  <c r="C81" i="37"/>
  <c r="J82" i="37"/>
  <c r="D84" i="37"/>
  <c r="J86" i="37"/>
  <c r="I87" i="37"/>
  <c r="K88" i="37"/>
  <c r="J94" i="37"/>
  <c r="C94" i="37"/>
  <c r="C92" i="37"/>
  <c r="K94" i="37"/>
  <c r="K92" i="37"/>
  <c r="J78" i="37"/>
  <c r="M79" i="37"/>
  <c r="H80" i="37"/>
  <c r="K82" i="37"/>
  <c r="K86" i="37"/>
  <c r="J87" i="37"/>
  <c r="M94" i="37"/>
  <c r="C96" i="37"/>
  <c r="D90" i="37"/>
  <c r="D82" i="37"/>
  <c r="D94" i="37"/>
  <c r="D86" i="37"/>
  <c r="L90" i="37"/>
  <c r="L82" i="37"/>
  <c r="L94" i="37"/>
  <c r="L86" i="37"/>
  <c r="M82" i="37"/>
  <c r="M86" i="37"/>
  <c r="M87" i="37"/>
  <c r="D92" i="37"/>
  <c r="D96" i="37"/>
  <c r="C122" i="37"/>
  <c r="C114" i="37"/>
  <c r="C106" i="37"/>
  <c r="C112" i="37"/>
  <c r="C107" i="37"/>
  <c r="C118" i="37"/>
  <c r="C110" i="37"/>
  <c r="C120" i="37"/>
  <c r="C105" i="37"/>
  <c r="C116" i="37"/>
  <c r="C103" i="37"/>
  <c r="C108" i="37"/>
  <c r="M93" i="37"/>
  <c r="M85" i="37"/>
  <c r="M96" i="37"/>
  <c r="M89" i="37"/>
  <c r="M92" i="37"/>
  <c r="M90" i="37"/>
  <c r="D78" i="37"/>
  <c r="L78" i="37"/>
  <c r="J80" i="37"/>
  <c r="C86" i="37"/>
  <c r="C90" i="37"/>
  <c r="J93" i="37"/>
  <c r="H96" i="37"/>
  <c r="D112" i="37"/>
  <c r="D104" i="37"/>
  <c r="D118" i="37"/>
  <c r="D110" i="37"/>
  <c r="D120" i="37"/>
  <c r="D105" i="37"/>
  <c r="D116" i="37"/>
  <c r="D108" i="37"/>
  <c r="D122" i="37"/>
  <c r="D114" i="37"/>
  <c r="D106" i="37"/>
  <c r="L122" i="37"/>
  <c r="L112" i="37"/>
  <c r="L104" i="37"/>
  <c r="L118" i="37"/>
  <c r="L110" i="37"/>
  <c r="L105" i="37"/>
  <c r="L116" i="37"/>
  <c r="L108" i="37"/>
  <c r="L120" i="37"/>
  <c r="L114" i="37"/>
  <c r="L106" i="37"/>
  <c r="C104" i="37"/>
  <c r="J77" i="37"/>
  <c r="M78" i="37"/>
  <c r="H79" i="37"/>
  <c r="C80" i="37"/>
  <c r="K80" i="37"/>
  <c r="M83" i="37"/>
  <c r="I84" i="37"/>
  <c r="C88" i="37"/>
  <c r="H92" i="37"/>
  <c r="K96" i="37"/>
  <c r="C77" i="37"/>
  <c r="D80" i="37"/>
  <c r="L80" i="37"/>
  <c r="H81" i="37"/>
  <c r="K84" i="37"/>
  <c r="H85" i="37"/>
  <c r="D88" i="37"/>
  <c r="I90" i="37"/>
  <c r="I92" i="37"/>
  <c r="L96" i="37"/>
  <c r="H94" i="37"/>
  <c r="H86" i="37"/>
  <c r="H90" i="37"/>
  <c r="H82" i="37"/>
  <c r="H93" i="37"/>
  <c r="L77" i="37"/>
  <c r="J79" i="37"/>
  <c r="M80" i="37"/>
  <c r="J81" i="37"/>
  <c r="L84" i="37"/>
  <c r="J85" i="37"/>
  <c r="L92" i="37"/>
  <c r="I89" i="37"/>
  <c r="I81" i="37"/>
  <c r="I96" i="37"/>
  <c r="I88" i="37"/>
  <c r="I94" i="37"/>
  <c r="K81" i="37"/>
  <c r="I82" i="37"/>
  <c r="C84" i="37"/>
  <c r="M84" i="37"/>
  <c r="I86" i="37"/>
  <c r="H87" i="37"/>
  <c r="H88" i="37"/>
  <c r="H89" i="37"/>
  <c r="K90" i="37"/>
  <c r="M91" i="37"/>
  <c r="M95" i="37"/>
  <c r="H113" i="37"/>
  <c r="H105" i="37"/>
  <c r="H120" i="37"/>
  <c r="H116" i="37"/>
  <c r="H108" i="37"/>
  <c r="H111" i="37"/>
  <c r="H119" i="37"/>
  <c r="H114" i="37"/>
  <c r="H106" i="37"/>
  <c r="H122" i="37"/>
  <c r="H112" i="37"/>
  <c r="H104" i="37"/>
  <c r="H121" i="37"/>
  <c r="H115" i="37"/>
  <c r="H118" i="37"/>
  <c r="H110" i="37"/>
  <c r="G122" i="37"/>
  <c r="G120" i="37"/>
  <c r="F104" i="37"/>
  <c r="G107" i="37"/>
  <c r="E109" i="37"/>
  <c r="M109" i="37"/>
  <c r="F112" i="37"/>
  <c r="I113" i="37"/>
  <c r="G115" i="37"/>
  <c r="E117" i="37"/>
  <c r="M117" i="37"/>
  <c r="M119" i="37"/>
  <c r="K120" i="37"/>
  <c r="G121" i="37"/>
  <c r="K116" i="37"/>
  <c r="D148" i="20"/>
  <c r="D173" i="20" s="1"/>
  <c r="D140" i="20"/>
  <c r="D165" i="20" s="1"/>
  <c r="E103" i="37"/>
  <c r="F106" i="37"/>
  <c r="I107" i="37"/>
  <c r="E111" i="37"/>
  <c r="M111" i="37"/>
  <c r="F114" i="37"/>
  <c r="I115" i="37"/>
  <c r="E119" i="37"/>
  <c r="M120" i="37"/>
  <c r="I121" i="37"/>
  <c r="F103" i="37"/>
  <c r="I104" i="37"/>
  <c r="G106" i="37"/>
  <c r="J107" i="37"/>
  <c r="E108" i="37"/>
  <c r="M108" i="37"/>
  <c r="K110" i="37"/>
  <c r="I112" i="37"/>
  <c r="G114" i="37"/>
  <c r="J115" i="37"/>
  <c r="E116" i="37"/>
  <c r="M116" i="37"/>
  <c r="K118" i="37"/>
  <c r="I122" i="37"/>
  <c r="E105" i="37"/>
  <c r="K107" i="37"/>
  <c r="J112" i="37"/>
  <c r="E113" i="37"/>
  <c r="M113" i="37"/>
  <c r="F116" i="37"/>
  <c r="E120" i="37"/>
  <c r="M121" i="37"/>
  <c r="J122" i="37"/>
  <c r="E110" i="37"/>
  <c r="K112" i="37"/>
  <c r="I114" i="37"/>
  <c r="G116" i="37"/>
  <c r="E118" i="37"/>
  <c r="M118" i="37"/>
  <c r="F120" i="37"/>
  <c r="K122" i="37"/>
  <c r="C144" i="20"/>
  <c r="C143" i="20"/>
  <c r="C148" i="20"/>
  <c r="C147" i="20"/>
  <c r="C152" i="20"/>
  <c r="C151" i="20"/>
  <c r="C156" i="20"/>
  <c r="C155" i="20"/>
  <c r="C140" i="20"/>
  <c r="C139" i="20"/>
  <c r="G105" i="37"/>
  <c r="J106" i="37"/>
  <c r="E107" i="37"/>
  <c r="F110" i="37"/>
  <c r="G113" i="37"/>
  <c r="J114" i="37"/>
  <c r="E115" i="37"/>
  <c r="M115" i="37"/>
  <c r="F118" i="37"/>
  <c r="J119" i="37"/>
  <c r="E121" i="37"/>
  <c r="D145" i="20"/>
  <c r="D170" i="20" s="1"/>
  <c r="D152" i="20"/>
  <c r="D177" i="20" s="1"/>
  <c r="D151" i="20"/>
  <c r="D176" i="20" s="1"/>
  <c r="D150" i="20"/>
  <c r="D175" i="20" s="1"/>
  <c r="D153" i="20"/>
  <c r="D178" i="20" s="1"/>
  <c r="D156" i="20"/>
  <c r="D181" i="20" s="1"/>
  <c r="D155" i="20"/>
  <c r="D180" i="20" s="1"/>
  <c r="D154" i="20"/>
  <c r="D179" i="20" s="1"/>
  <c r="D158" i="20"/>
  <c r="D183" i="20" s="1"/>
  <c r="D144" i="20"/>
  <c r="D169" i="20" s="1"/>
  <c r="D143" i="20"/>
  <c r="D168" i="20" s="1"/>
  <c r="D142" i="20"/>
  <c r="D167" i="20" s="1"/>
  <c r="J103" i="37"/>
  <c r="E104" i="37"/>
  <c r="M104" i="37"/>
  <c r="K106" i="37"/>
  <c r="I108" i="37"/>
  <c r="G110" i="37"/>
  <c r="J111" i="37"/>
  <c r="E112" i="37"/>
  <c r="M112" i="37"/>
  <c r="K114" i="37"/>
  <c r="I116" i="37"/>
  <c r="G118" i="37"/>
  <c r="J120" i="37"/>
  <c r="I155" i="20"/>
  <c r="I180" i="20" s="1"/>
  <c r="I151" i="20"/>
  <c r="I176" i="20" s="1"/>
  <c r="I147" i="20"/>
  <c r="I172" i="20" s="1"/>
  <c r="I143" i="20"/>
  <c r="I168" i="20" s="1"/>
  <c r="I139" i="20"/>
  <c r="I158" i="20"/>
  <c r="I183" i="20" s="1"/>
  <c r="I154" i="20"/>
  <c r="I179" i="20" s="1"/>
  <c r="I150" i="20"/>
  <c r="I175" i="20" s="1"/>
  <c r="I146" i="20"/>
  <c r="I171" i="20" s="1"/>
  <c r="I142" i="20"/>
  <c r="I167" i="20" s="1"/>
  <c r="K47" i="15"/>
  <c r="L64" i="15"/>
  <c r="L72" i="15"/>
  <c r="D141" i="20"/>
  <c r="D166" i="20" s="1"/>
  <c r="E142" i="20"/>
  <c r="E167" i="20" s="1"/>
  <c r="E143" i="20"/>
  <c r="E168" i="20" s="1"/>
  <c r="G145" i="20"/>
  <c r="G170" i="20" s="1"/>
  <c r="G146" i="20"/>
  <c r="G171" i="20" s="1"/>
  <c r="I148" i="20"/>
  <c r="I173" i="20" s="1"/>
  <c r="I149" i="20"/>
  <c r="I174" i="20" s="1"/>
  <c r="J150" i="20"/>
  <c r="J175" i="20" s="1"/>
  <c r="D157" i="20"/>
  <c r="D182" i="20" s="1"/>
  <c r="U205" i="37"/>
  <c r="E156" i="20"/>
  <c r="E181" i="20" s="1"/>
  <c r="E152" i="20"/>
  <c r="E177" i="20" s="1"/>
  <c r="E148" i="20"/>
  <c r="E173" i="20" s="1"/>
  <c r="E144" i="20"/>
  <c r="E169" i="20" s="1"/>
  <c r="E140" i="20"/>
  <c r="E165" i="20" s="1"/>
  <c r="C158" i="20"/>
  <c r="I140" i="20"/>
  <c r="I165" i="20" s="1"/>
  <c r="I141" i="20"/>
  <c r="I166" i="20" s="1"/>
  <c r="J142" i="20"/>
  <c r="J167" i="20" s="1"/>
  <c r="D149" i="20"/>
  <c r="D174" i="20" s="1"/>
  <c r="E150" i="20"/>
  <c r="E175" i="20" s="1"/>
  <c r="E151" i="20"/>
  <c r="E176" i="20" s="1"/>
  <c r="G153" i="20"/>
  <c r="G178" i="20" s="1"/>
  <c r="I156" i="20"/>
  <c r="I181" i="20" s="1"/>
  <c r="I157" i="20"/>
  <c r="I182" i="20" s="1"/>
  <c r="J158" i="20"/>
  <c r="J183" i="20" s="1"/>
  <c r="G156" i="20"/>
  <c r="G181" i="20" s="1"/>
  <c r="G152" i="20"/>
  <c r="G177" i="20" s="1"/>
  <c r="G148" i="20"/>
  <c r="G173" i="20" s="1"/>
  <c r="G144" i="20"/>
  <c r="G169" i="20" s="1"/>
  <c r="G140" i="20"/>
  <c r="G165" i="20" s="1"/>
  <c r="G155" i="20"/>
  <c r="G180" i="20" s="1"/>
  <c r="G151" i="20"/>
  <c r="G176" i="20" s="1"/>
  <c r="G147" i="20"/>
  <c r="G172" i="20" s="1"/>
  <c r="G143" i="20"/>
  <c r="G168" i="20" s="1"/>
  <c r="G139" i="20"/>
  <c r="J139" i="20"/>
  <c r="J140" i="20"/>
  <c r="J165" i="20" s="1"/>
  <c r="J141" i="20"/>
  <c r="J166" i="20" s="1"/>
  <c r="D146" i="20"/>
  <c r="D171" i="20" s="1"/>
  <c r="D147" i="20"/>
  <c r="D172" i="20" s="1"/>
  <c r="J155" i="20"/>
  <c r="J180" i="20" s="1"/>
  <c r="J156" i="20"/>
  <c r="J181" i="20" s="1"/>
  <c r="E157" i="20"/>
  <c r="E182" i="20" s="1"/>
  <c r="E146" i="20"/>
  <c r="E171" i="20" s="1"/>
  <c r="E147" i="20"/>
  <c r="E172" i="20" s="1"/>
  <c r="I152" i="20"/>
  <c r="I177" i="20" s="1"/>
  <c r="I153" i="20"/>
  <c r="I178" i="20" s="1"/>
  <c r="N163" i="4"/>
  <c r="P355" i="4"/>
  <c r="P151" i="4"/>
  <c r="O355" i="4" s="1"/>
  <c r="R151" i="4"/>
  <c r="Q355" i="4" s="1"/>
  <c r="F43" i="49"/>
  <c r="I135" i="55" s="1"/>
  <c r="I98" i="55" s="1"/>
  <c r="M4" i="44"/>
  <c r="K51" i="15"/>
  <c r="L68" i="15"/>
  <c r="C141" i="20"/>
  <c r="C145" i="20"/>
  <c r="C149" i="20"/>
  <c r="C153" i="20"/>
  <c r="C157" i="20"/>
  <c r="N135" i="4"/>
  <c r="J111" i="55"/>
  <c r="K45" i="15"/>
  <c r="K53" i="15"/>
  <c r="L70" i="15"/>
  <c r="E141" i="20"/>
  <c r="E166" i="20" s="1"/>
  <c r="C142" i="20"/>
  <c r="E145" i="20"/>
  <c r="E170" i="20" s="1"/>
  <c r="C146" i="20"/>
  <c r="E149" i="20"/>
  <c r="E174" i="20" s="1"/>
  <c r="C150" i="20"/>
  <c r="E153" i="20"/>
  <c r="E178" i="20" s="1"/>
  <c r="C154" i="20"/>
  <c r="V354" i="4"/>
  <c r="K142" i="4"/>
  <c r="P154" i="4"/>
  <c r="N154" i="4"/>
  <c r="K170" i="4"/>
  <c r="I170" i="4"/>
  <c r="K130" i="4"/>
  <c r="N131" i="4"/>
  <c r="P171" i="4"/>
  <c r="E355" i="4"/>
  <c r="E151" i="4"/>
  <c r="R134" i="4"/>
  <c r="G355" i="4"/>
  <c r="C213" i="21" s="1"/>
  <c r="C214" i="21" s="1"/>
  <c r="D214" i="21" s="1"/>
  <c r="E53" i="21" s="1"/>
  <c r="I151" i="4"/>
  <c r="H355" i="4" s="1"/>
  <c r="Y151" i="4"/>
  <c r="W355" i="4"/>
  <c r="R156" i="4"/>
  <c r="R159" i="4"/>
  <c r="P159" i="4"/>
  <c r="P121" i="4"/>
  <c r="O354" i="4" s="1"/>
  <c r="P129" i="4"/>
  <c r="R130" i="4"/>
  <c r="R121" i="4"/>
  <c r="Q354" i="4" s="1"/>
  <c r="P122" i="4"/>
  <c r="P124" i="4"/>
  <c r="P125" i="4"/>
  <c r="N139" i="4"/>
  <c r="E193" i="4"/>
  <c r="P144" i="4"/>
  <c r="N157" i="4"/>
  <c r="K158" i="4"/>
  <c r="I173" i="4"/>
  <c r="P174" i="4"/>
  <c r="P152" i="4"/>
  <c r="N155" i="4"/>
  <c r="P160" i="4"/>
  <c r="N161" i="4"/>
  <c r="K162" i="4"/>
  <c r="I174" i="4"/>
  <c r="V355" i="4"/>
  <c r="I355" i="4"/>
  <c r="K151" i="4"/>
  <c r="J355" i="4" s="1"/>
  <c r="L355" i="4"/>
  <c r="N151" i="4"/>
  <c r="M355" i="4" s="1"/>
  <c r="N165" i="4"/>
  <c r="K166" i="4"/>
  <c r="N144" i="4"/>
  <c r="I146" i="4"/>
  <c r="P153" i="4"/>
  <c r="I158" i="4"/>
  <c r="I161" i="4"/>
  <c r="P162" i="4"/>
  <c r="N174" i="4"/>
  <c r="F16" i="44"/>
  <c r="F24" i="44"/>
  <c r="G32" i="44"/>
  <c r="F48" i="44"/>
  <c r="F56" i="44"/>
  <c r="G16" i="44"/>
  <c r="G24" i="44"/>
  <c r="G48" i="44"/>
  <c r="F18" i="44"/>
  <c r="G18" i="44"/>
  <c r="F83" i="44"/>
  <c r="F75" i="44"/>
  <c r="F67" i="44"/>
  <c r="F86" i="44"/>
  <c r="F78" i="44"/>
  <c r="F70" i="44"/>
  <c r="F62" i="44"/>
  <c r="F54" i="44"/>
  <c r="F42" i="44"/>
  <c r="F81" i="44"/>
  <c r="F73" i="44"/>
  <c r="F65" i="44"/>
  <c r="F57" i="44"/>
  <c r="F49" i="44"/>
  <c r="F47" i="44"/>
  <c r="F84" i="44"/>
  <c r="F76" i="44"/>
  <c r="F68" i="44"/>
  <c r="F60" i="44"/>
  <c r="F52" i="44"/>
  <c r="F44" i="44"/>
  <c r="F79" i="44"/>
  <c r="F71" i="44"/>
  <c r="F63" i="44"/>
  <c r="F55" i="44"/>
  <c r="F82" i="44"/>
  <c r="F74" i="44"/>
  <c r="F66" i="44"/>
  <c r="F58" i="44"/>
  <c r="F50" i="44"/>
  <c r="F46" i="44"/>
  <c r="F41" i="44"/>
  <c r="F69" i="44"/>
  <c r="F64" i="44"/>
  <c r="F53" i="44"/>
  <c r="F38" i="44"/>
  <c r="F36" i="44"/>
  <c r="F34" i="44"/>
  <c r="F32" i="44"/>
  <c r="F40" i="44"/>
  <c r="F7" i="44"/>
  <c r="F77" i="44"/>
  <c r="F72" i="44"/>
  <c r="F10" i="44"/>
  <c r="F43" i="44"/>
  <c r="F5" i="44"/>
  <c r="F85" i="44"/>
  <c r="F80" i="44"/>
  <c r="F59" i="44"/>
  <c r="F45" i="44"/>
  <c r="F39" i="44"/>
  <c r="F37" i="44"/>
  <c r="F35" i="44"/>
  <c r="F33" i="44"/>
  <c r="F31" i="44"/>
  <c r="F29" i="44"/>
  <c r="F27" i="44"/>
  <c r="F25" i="44"/>
  <c r="F23" i="44"/>
  <c r="F21" i="44"/>
  <c r="F19" i="44"/>
  <c r="F17" i="44"/>
  <c r="F15" i="44"/>
  <c r="F13" i="44"/>
  <c r="F8" i="44"/>
  <c r="F51" i="44"/>
  <c r="F11" i="44"/>
  <c r="F6" i="44"/>
  <c r="F9" i="44"/>
  <c r="F12" i="44"/>
  <c r="F20" i="44"/>
  <c r="F28" i="44"/>
  <c r="G86" i="44"/>
  <c r="G78" i="44"/>
  <c r="G70" i="44"/>
  <c r="G62" i="44"/>
  <c r="G81" i="44"/>
  <c r="G73" i="44"/>
  <c r="G65" i="44"/>
  <c r="G57" i="44"/>
  <c r="G49" i="44"/>
  <c r="G47" i="44"/>
  <c r="G84" i="44"/>
  <c r="G76" i="44"/>
  <c r="G68" i="44"/>
  <c r="G60" i="44"/>
  <c r="G52" i="44"/>
  <c r="G44" i="44"/>
  <c r="G79" i="44"/>
  <c r="G71" i="44"/>
  <c r="G63" i="44"/>
  <c r="G55" i="44"/>
  <c r="G82" i="44"/>
  <c r="G74" i="44"/>
  <c r="G66" i="44"/>
  <c r="G58" i="44"/>
  <c r="G50" i="44"/>
  <c r="G46" i="44"/>
  <c r="G41" i="44"/>
  <c r="G85" i="44"/>
  <c r="G77" i="44"/>
  <c r="G69" i="44"/>
  <c r="G61" i="44"/>
  <c r="G53" i="44"/>
  <c r="G43" i="44"/>
  <c r="G42" i="44"/>
  <c r="G40" i="44"/>
  <c r="G72" i="44"/>
  <c r="G67" i="44"/>
  <c r="G10" i="44"/>
  <c r="G54" i="44"/>
  <c r="G5" i="44"/>
  <c r="G80" i="44"/>
  <c r="G75" i="44"/>
  <c r="G59" i="44"/>
  <c r="G45" i="44"/>
  <c r="G39" i="44"/>
  <c r="G37" i="44"/>
  <c r="G35" i="44"/>
  <c r="G33" i="44"/>
  <c r="G31" i="44"/>
  <c r="G29" i="44"/>
  <c r="G27" i="44"/>
  <c r="G25" i="44"/>
  <c r="G23" i="44"/>
  <c r="G21" i="44"/>
  <c r="G19" i="44"/>
  <c r="G17" i="44"/>
  <c r="G15" i="44"/>
  <c r="G13" i="44"/>
  <c r="G8" i="44"/>
  <c r="G51" i="44"/>
  <c r="G11" i="44"/>
  <c r="G83" i="44"/>
  <c r="G56" i="44"/>
  <c r="G6" i="44"/>
  <c r="G9" i="44"/>
  <c r="G12" i="44"/>
  <c r="G20" i="44"/>
  <c r="G28" i="44"/>
  <c r="G38" i="44"/>
  <c r="H81" i="44"/>
  <c r="H73" i="44"/>
  <c r="H65" i="44"/>
  <c r="H84" i="44"/>
  <c r="H76" i="44"/>
  <c r="H68" i="44"/>
  <c r="H60" i="44"/>
  <c r="H52" i="44"/>
  <c r="H44" i="44"/>
  <c r="H79" i="44"/>
  <c r="H71" i="44"/>
  <c r="H63" i="44"/>
  <c r="H55" i="44"/>
  <c r="H82" i="44"/>
  <c r="H74" i="44"/>
  <c r="H66" i="44"/>
  <c r="H58" i="44"/>
  <c r="H50" i="44"/>
  <c r="H46" i="44"/>
  <c r="H85" i="44"/>
  <c r="H77" i="44"/>
  <c r="H69" i="44"/>
  <c r="H61" i="44"/>
  <c r="H53" i="44"/>
  <c r="H43" i="44"/>
  <c r="H80" i="44"/>
  <c r="H72" i="44"/>
  <c r="H64" i="44"/>
  <c r="H56" i="44"/>
  <c r="H48" i="44"/>
  <c r="D5" i="44"/>
  <c r="L5" i="44"/>
  <c r="J7" i="44"/>
  <c r="H9" i="44"/>
  <c r="K10" i="44"/>
  <c r="I12" i="44"/>
  <c r="I14" i="44"/>
  <c r="I16" i="44"/>
  <c r="I18" i="44"/>
  <c r="I20" i="44"/>
  <c r="I22" i="44"/>
  <c r="I24" i="44"/>
  <c r="I26" i="44"/>
  <c r="I28" i="44"/>
  <c r="I30" i="44"/>
  <c r="I32" i="44"/>
  <c r="I34" i="44"/>
  <c r="I36" i="44"/>
  <c r="I38" i="44"/>
  <c r="K40" i="44"/>
  <c r="K41" i="44"/>
  <c r="D43" i="44"/>
  <c r="K44" i="44"/>
  <c r="L46" i="44"/>
  <c r="K52" i="44"/>
  <c r="D55" i="44"/>
  <c r="J60" i="44"/>
  <c r="D63" i="44"/>
  <c r="L66" i="44"/>
  <c r="J68" i="44"/>
  <c r="L71" i="44"/>
  <c r="H78" i="44"/>
  <c r="I84" i="44"/>
  <c r="I76" i="44"/>
  <c r="I68" i="44"/>
  <c r="I79" i="44"/>
  <c r="I71" i="44"/>
  <c r="I63" i="44"/>
  <c r="I55" i="44"/>
  <c r="I82" i="44"/>
  <c r="I74" i="44"/>
  <c r="I66" i="44"/>
  <c r="I58" i="44"/>
  <c r="I50" i="44"/>
  <c r="I46" i="44"/>
  <c r="I41" i="44"/>
  <c r="I85" i="44"/>
  <c r="I77" i="44"/>
  <c r="I69" i="44"/>
  <c r="I61" i="44"/>
  <c r="I53" i="44"/>
  <c r="I43" i="44"/>
  <c r="I80" i="44"/>
  <c r="I72" i="44"/>
  <c r="I64" i="44"/>
  <c r="I56" i="44"/>
  <c r="I48" i="44"/>
  <c r="I83" i="44"/>
  <c r="I75" i="44"/>
  <c r="I67" i="44"/>
  <c r="I59" i="44"/>
  <c r="I51" i="44"/>
  <c r="I45" i="44"/>
  <c r="H6" i="44"/>
  <c r="K7" i="44"/>
  <c r="I9" i="44"/>
  <c r="D10" i="44"/>
  <c r="L10" i="44"/>
  <c r="J12" i="44"/>
  <c r="J14" i="44"/>
  <c r="J16" i="44"/>
  <c r="J18" i="44"/>
  <c r="J20" i="44"/>
  <c r="J22" i="44"/>
  <c r="J24" i="44"/>
  <c r="J26" i="44"/>
  <c r="J28" i="44"/>
  <c r="J30" i="44"/>
  <c r="J32" i="44"/>
  <c r="J34" i="44"/>
  <c r="J36" i="44"/>
  <c r="J38" i="44"/>
  <c r="L40" i="44"/>
  <c r="L41" i="44"/>
  <c r="D50" i="44"/>
  <c r="J55" i="44"/>
  <c r="K60" i="44"/>
  <c r="K63" i="44"/>
  <c r="K68" i="44"/>
  <c r="I78" i="44"/>
  <c r="H83" i="44"/>
  <c r="J79" i="44"/>
  <c r="J71" i="44"/>
  <c r="J63" i="44"/>
  <c r="J82" i="44"/>
  <c r="J74" i="44"/>
  <c r="J66" i="44"/>
  <c r="J58" i="44"/>
  <c r="J50" i="44"/>
  <c r="J46" i="44"/>
  <c r="J85" i="44"/>
  <c r="J77" i="44"/>
  <c r="J69" i="44"/>
  <c r="J61" i="44"/>
  <c r="J53" i="44"/>
  <c r="J43" i="44"/>
  <c r="J80" i="44"/>
  <c r="J72" i="44"/>
  <c r="J64" i="44"/>
  <c r="J56" i="44"/>
  <c r="J48" i="44"/>
  <c r="J83" i="44"/>
  <c r="J75" i="44"/>
  <c r="J67" i="44"/>
  <c r="J59" i="44"/>
  <c r="J51" i="44"/>
  <c r="J45" i="44"/>
  <c r="J86" i="44"/>
  <c r="J78" i="44"/>
  <c r="J70" i="44"/>
  <c r="J62" i="44"/>
  <c r="J54" i="44"/>
  <c r="J42" i="44"/>
  <c r="J40" i="44"/>
  <c r="I6" i="44"/>
  <c r="D7" i="44"/>
  <c r="L7" i="44"/>
  <c r="J9" i="44"/>
  <c r="H11" i="44"/>
  <c r="K12" i="44"/>
  <c r="K14" i="44"/>
  <c r="K16" i="44"/>
  <c r="K18" i="44"/>
  <c r="K20" i="44"/>
  <c r="K22" i="44"/>
  <c r="K24" i="44"/>
  <c r="K26" i="44"/>
  <c r="K28" i="44"/>
  <c r="K30" i="44"/>
  <c r="K32" i="44"/>
  <c r="K34" i="44"/>
  <c r="K36" i="44"/>
  <c r="K38" i="44"/>
  <c r="H47" i="44"/>
  <c r="H51" i="44"/>
  <c r="D58" i="44"/>
  <c r="L63" i="44"/>
  <c r="I65" i="44"/>
  <c r="H70" i="44"/>
  <c r="D82" i="44"/>
  <c r="K82" i="44"/>
  <c r="K74" i="44"/>
  <c r="K66" i="44"/>
  <c r="K85" i="44"/>
  <c r="K77" i="44"/>
  <c r="K69" i="44"/>
  <c r="K61" i="44"/>
  <c r="K53" i="44"/>
  <c r="K43" i="44"/>
  <c r="K80" i="44"/>
  <c r="K72" i="44"/>
  <c r="K64" i="44"/>
  <c r="K56" i="44"/>
  <c r="K48" i="44"/>
  <c r="K83" i="44"/>
  <c r="K75" i="44"/>
  <c r="K67" i="44"/>
  <c r="K59" i="44"/>
  <c r="K51" i="44"/>
  <c r="K45" i="44"/>
  <c r="K86" i="44"/>
  <c r="K78" i="44"/>
  <c r="K70" i="44"/>
  <c r="K62" i="44"/>
  <c r="K54" i="44"/>
  <c r="K42" i="44"/>
  <c r="K81" i="44"/>
  <c r="K73" i="44"/>
  <c r="K65" i="44"/>
  <c r="K57" i="44"/>
  <c r="K49" i="44"/>
  <c r="K47" i="44"/>
  <c r="J6" i="44"/>
  <c r="H8" i="44"/>
  <c r="K9" i="44"/>
  <c r="I11" i="44"/>
  <c r="D12" i="44"/>
  <c r="L12" i="44"/>
  <c r="H13" i="44"/>
  <c r="D14" i="44"/>
  <c r="L14" i="44"/>
  <c r="H15" i="44"/>
  <c r="D16" i="44"/>
  <c r="L16" i="44"/>
  <c r="H17" i="44"/>
  <c r="D18" i="44"/>
  <c r="L18" i="44"/>
  <c r="H19" i="44"/>
  <c r="D20" i="44"/>
  <c r="L20" i="44"/>
  <c r="H21" i="44"/>
  <c r="D22" i="44"/>
  <c r="L22" i="44"/>
  <c r="H23" i="44"/>
  <c r="D24" i="44"/>
  <c r="L24" i="44"/>
  <c r="H25" i="44"/>
  <c r="D26" i="44"/>
  <c r="L26" i="44"/>
  <c r="H27" i="44"/>
  <c r="D28" i="44"/>
  <c r="L28" i="44"/>
  <c r="H29" i="44"/>
  <c r="D30" i="44"/>
  <c r="L30" i="44"/>
  <c r="H31" i="44"/>
  <c r="D32" i="44"/>
  <c r="L32" i="44"/>
  <c r="H33" i="44"/>
  <c r="D34" i="44"/>
  <c r="L34" i="44"/>
  <c r="H35" i="44"/>
  <c r="D36" i="44"/>
  <c r="L36" i="44"/>
  <c r="H37" i="44"/>
  <c r="D38" i="44"/>
  <c r="L38" i="44"/>
  <c r="H39" i="44"/>
  <c r="D40" i="44"/>
  <c r="L43" i="44"/>
  <c r="H45" i="44"/>
  <c r="I47" i="44"/>
  <c r="K50" i="44"/>
  <c r="H59" i="44"/>
  <c r="J65" i="44"/>
  <c r="I70" i="44"/>
  <c r="H75" i="44"/>
  <c r="D85" i="44"/>
  <c r="D77" i="44"/>
  <c r="D69" i="44"/>
  <c r="D80" i="44"/>
  <c r="D72" i="44"/>
  <c r="D64" i="44"/>
  <c r="D56" i="44"/>
  <c r="D48" i="44"/>
  <c r="D83" i="44"/>
  <c r="D75" i="44"/>
  <c r="D67" i="44"/>
  <c r="D59" i="44"/>
  <c r="D51" i="44"/>
  <c r="D45" i="44"/>
  <c r="D86" i="44"/>
  <c r="D78" i="44"/>
  <c r="D70" i="44"/>
  <c r="D62" i="44"/>
  <c r="D54" i="44"/>
  <c r="D81" i="44"/>
  <c r="D73" i="44"/>
  <c r="D65" i="44"/>
  <c r="D57" i="44"/>
  <c r="D49" i="44"/>
  <c r="D47" i="44"/>
  <c r="D84" i="44"/>
  <c r="D76" i="44"/>
  <c r="D68" i="44"/>
  <c r="D60" i="44"/>
  <c r="D52" i="44"/>
  <c r="D44" i="44"/>
  <c r="L85" i="44"/>
  <c r="L77" i="44"/>
  <c r="L69" i="44"/>
  <c r="L80" i="44"/>
  <c r="L72" i="44"/>
  <c r="L64" i="44"/>
  <c r="L56" i="44"/>
  <c r="L48" i="44"/>
  <c r="L83" i="44"/>
  <c r="L75" i="44"/>
  <c r="L67" i="44"/>
  <c r="L59" i="44"/>
  <c r="L51" i="44"/>
  <c r="L45" i="44"/>
  <c r="L86" i="44"/>
  <c r="L78" i="44"/>
  <c r="L70" i="44"/>
  <c r="L62" i="44"/>
  <c r="L54" i="44"/>
  <c r="L42" i="44"/>
  <c r="L81" i="44"/>
  <c r="L73" i="44"/>
  <c r="L65" i="44"/>
  <c r="L57" i="44"/>
  <c r="L49" i="44"/>
  <c r="L47" i="44"/>
  <c r="L84" i="44"/>
  <c r="L76" i="44"/>
  <c r="L68" i="44"/>
  <c r="L60" i="44"/>
  <c r="L52" i="44"/>
  <c r="L44" i="44"/>
  <c r="H5" i="44"/>
  <c r="K6" i="44"/>
  <c r="I8" i="44"/>
  <c r="D9" i="44"/>
  <c r="L9" i="44"/>
  <c r="J11" i="44"/>
  <c r="I13" i="44"/>
  <c r="I15" i="44"/>
  <c r="I17" i="44"/>
  <c r="I19" i="44"/>
  <c r="I21" i="44"/>
  <c r="I23" i="44"/>
  <c r="I25" i="44"/>
  <c r="I27" i="44"/>
  <c r="I29" i="44"/>
  <c r="I31" i="44"/>
  <c r="I33" i="44"/>
  <c r="I35" i="44"/>
  <c r="I37" i="44"/>
  <c r="I39" i="44"/>
  <c r="D41" i="44"/>
  <c r="D42" i="44"/>
  <c r="J47" i="44"/>
  <c r="H49" i="44"/>
  <c r="L50" i="44"/>
  <c r="H54" i="44"/>
  <c r="K58" i="44"/>
  <c r="D61" i="44"/>
  <c r="H62" i="44"/>
  <c r="D74" i="44"/>
  <c r="D79" i="44"/>
  <c r="L82" i="44"/>
  <c r="J84" i="44"/>
  <c r="J33" i="44"/>
  <c r="J35" i="44"/>
  <c r="J37" i="44"/>
  <c r="J39" i="44"/>
  <c r="D46" i="44"/>
  <c r="I49" i="44"/>
  <c r="I54" i="44"/>
  <c r="H57" i="44"/>
  <c r="L58" i="44"/>
  <c r="I62" i="44"/>
  <c r="H67" i="44"/>
  <c r="K79" i="44"/>
  <c r="K84" i="44"/>
  <c r="A57" i="15"/>
  <c r="A12" i="15"/>
  <c r="A35" i="15"/>
  <c r="A43" i="15"/>
  <c r="A58" i="15"/>
  <c r="A13" i="15"/>
  <c r="A22" i="15"/>
  <c r="A36" i="15"/>
  <c r="A59" i="15"/>
  <c r="A14" i="15"/>
  <c r="A23" i="15"/>
  <c r="A37" i="15"/>
  <c r="A60" i="15"/>
  <c r="A15" i="15"/>
  <c r="A24" i="15"/>
  <c r="A38" i="15"/>
  <c r="A61" i="15"/>
  <c r="A16" i="15"/>
  <c r="A39" i="15"/>
  <c r="A54" i="15"/>
  <c r="A62" i="15"/>
  <c r="A17" i="15"/>
  <c r="A40" i="15"/>
  <c r="A55" i="15"/>
  <c r="A41" i="15"/>
  <c r="A56" i="15"/>
  <c r="A11" i="15"/>
  <c r="A42" i="15"/>
  <c r="H292" i="53"/>
  <c r="H317" i="53"/>
  <c r="H267" i="53"/>
  <c r="H165" i="10"/>
  <c r="H242" i="53"/>
  <c r="H190" i="10"/>
  <c r="H140" i="10"/>
  <c r="H215" i="10"/>
  <c r="B136" i="10"/>
  <c r="B126" i="10"/>
  <c r="B116" i="10"/>
  <c r="D317" i="53"/>
  <c r="D292" i="53"/>
  <c r="D242" i="53"/>
  <c r="D190" i="10"/>
  <c r="D267" i="53"/>
  <c r="D165" i="10"/>
  <c r="D215" i="10"/>
  <c r="D140" i="10"/>
  <c r="B132" i="10"/>
  <c r="B122" i="10"/>
  <c r="B112" i="10"/>
  <c r="E267" i="53"/>
  <c r="E242" i="53"/>
  <c r="E317" i="53"/>
  <c r="E292" i="53"/>
  <c r="E165" i="10"/>
  <c r="E190" i="10"/>
  <c r="E215" i="10"/>
  <c r="E140" i="10"/>
  <c r="B133" i="10"/>
  <c r="B123" i="10"/>
  <c r="B113" i="10"/>
  <c r="F267" i="53"/>
  <c r="F242" i="53"/>
  <c r="F317" i="53"/>
  <c r="F292" i="53"/>
  <c r="F140" i="10"/>
  <c r="F215" i="10"/>
  <c r="F190" i="10"/>
  <c r="F165" i="10"/>
  <c r="B134" i="10"/>
  <c r="B124" i="10"/>
  <c r="B114" i="10"/>
  <c r="G242" i="53"/>
  <c r="G317" i="53"/>
  <c r="G292" i="53"/>
  <c r="G267" i="53"/>
  <c r="G215" i="10"/>
  <c r="G190" i="10"/>
  <c r="G140" i="10"/>
  <c r="B135" i="10"/>
  <c r="G165" i="10"/>
  <c r="B125" i="10"/>
  <c r="B115" i="10"/>
  <c r="H8" i="55" l="1"/>
  <c r="G8" i="55"/>
  <c r="F8" i="55"/>
  <c r="F59" i="21"/>
  <c r="H134" i="55" s="1"/>
  <c r="H97" i="55" s="1"/>
  <c r="F55" i="21"/>
  <c r="H130" i="55" s="1"/>
  <c r="H93" i="55" s="1"/>
  <c r="F56" i="21"/>
  <c r="H131" i="55" s="1"/>
  <c r="H94" i="55" s="1"/>
  <c r="F53" i="21"/>
  <c r="C177" i="10"/>
  <c r="C180" i="10"/>
  <c r="C200" i="10"/>
  <c r="C204" i="10"/>
  <c r="C167" i="10"/>
  <c r="C192" i="10"/>
  <c r="C208" i="10"/>
  <c r="C207" i="10"/>
  <c r="C176" i="10"/>
  <c r="C196" i="10"/>
  <c r="E229" i="53"/>
  <c r="E206" i="53"/>
  <c r="H232" i="53"/>
  <c r="H230" i="53"/>
  <c r="H195" i="53"/>
  <c r="H194" i="53"/>
  <c r="E222" i="53"/>
  <c r="H217" i="53"/>
  <c r="H218" i="53"/>
  <c r="E216" i="53"/>
  <c r="H228" i="53"/>
  <c r="E202" i="53"/>
  <c r="H209" i="53"/>
  <c r="H221" i="53"/>
  <c r="H196" i="53"/>
  <c r="H222" i="53"/>
  <c r="H233" i="53"/>
  <c r="E181" i="53"/>
  <c r="H220" i="53"/>
  <c r="E218" i="53"/>
  <c r="E219" i="53"/>
  <c r="E230" i="53"/>
  <c r="H216" i="53"/>
  <c r="H203" i="53"/>
  <c r="H193" i="53"/>
  <c r="H169" i="53"/>
  <c r="E233" i="53"/>
  <c r="H208" i="53"/>
  <c r="E220" i="53"/>
  <c r="E207" i="53"/>
  <c r="E209" i="53"/>
  <c r="E234" i="53"/>
  <c r="H197" i="53"/>
  <c r="E204" i="53"/>
  <c r="H174" i="53"/>
  <c r="E201" i="53"/>
  <c r="E196" i="53"/>
  <c r="E172" i="53"/>
  <c r="H226" i="53"/>
  <c r="H223" i="53"/>
  <c r="E200" i="53"/>
  <c r="E221" i="53"/>
  <c r="H234" i="53"/>
  <c r="E226" i="53"/>
  <c r="E208" i="53"/>
  <c r="H206" i="53"/>
  <c r="H207" i="53"/>
  <c r="H198" i="53"/>
  <c r="E185" i="53"/>
  <c r="E225" i="53"/>
  <c r="H175" i="53"/>
  <c r="H224" i="53"/>
  <c r="E224" i="53"/>
  <c r="E235" i="53"/>
  <c r="E223" i="53"/>
  <c r="E198" i="53"/>
  <c r="H235" i="53"/>
  <c r="E195" i="53"/>
  <c r="H231" i="53"/>
  <c r="H210" i="53"/>
  <c r="E232" i="53"/>
  <c r="H200" i="53"/>
  <c r="E199" i="53"/>
  <c r="H205" i="53"/>
  <c r="C166" i="10"/>
  <c r="C182" i="10"/>
  <c r="C173" i="10"/>
  <c r="C178" i="10"/>
  <c r="D111" i="10"/>
  <c r="G111" i="10" s="1"/>
  <c r="I111" i="10" s="1"/>
  <c r="C169" i="10"/>
  <c r="C175" i="10"/>
  <c r="C168" i="10"/>
  <c r="D121" i="10"/>
  <c r="G121" i="10" s="1"/>
  <c r="I121" i="10" s="1"/>
  <c r="C179" i="10"/>
  <c r="C172" i="10"/>
  <c r="C202" i="10"/>
  <c r="C201" i="10"/>
  <c r="C181" i="10"/>
  <c r="C184" i="10"/>
  <c r="C206" i="10"/>
  <c r="C193" i="10"/>
  <c r="C174" i="10"/>
  <c r="C198" i="10"/>
  <c r="C185" i="10"/>
  <c r="C203" i="10"/>
  <c r="C209" i="10"/>
  <c r="C171" i="10"/>
  <c r="C194" i="10"/>
  <c r="C205" i="10"/>
  <c r="C170" i="10"/>
  <c r="H44" i="3"/>
  <c r="C210" i="10"/>
  <c r="C191" i="10"/>
  <c r="C197" i="10"/>
  <c r="C199" i="10"/>
  <c r="F38" i="49"/>
  <c r="I130" i="55" s="1"/>
  <c r="I93" i="55" s="1"/>
  <c r="G88" i="37"/>
  <c r="G89" i="37"/>
  <c r="G96" i="37"/>
  <c r="G86" i="37"/>
  <c r="G92" i="37"/>
  <c r="G144" i="37" s="1"/>
  <c r="G90" i="37"/>
  <c r="F48" i="38"/>
  <c r="H48" i="38" s="1"/>
  <c r="G78" i="37"/>
  <c r="G130" i="37" s="1"/>
  <c r="G80" i="37"/>
  <c r="G79" i="37"/>
  <c r="G131" i="37" s="1"/>
  <c r="F54" i="49"/>
  <c r="I146" i="55" s="1"/>
  <c r="I109" i="55" s="1"/>
  <c r="L68" i="38"/>
  <c r="N68" i="38" s="1"/>
  <c r="D92" i="4"/>
  <c r="G82" i="37"/>
  <c r="N107" i="44"/>
  <c r="F66" i="21"/>
  <c r="H141" i="55" s="1"/>
  <c r="H104" i="55" s="1"/>
  <c r="F46" i="49"/>
  <c r="I138" i="55" s="1"/>
  <c r="I101" i="55" s="1"/>
  <c r="G131" i="10"/>
  <c r="I131" i="10" s="1"/>
  <c r="F40" i="49"/>
  <c r="I132" i="55" s="1"/>
  <c r="I95" i="55" s="1"/>
  <c r="F67" i="21"/>
  <c r="H142" i="55" s="1"/>
  <c r="H105" i="55" s="1"/>
  <c r="F58" i="21"/>
  <c r="H133" i="55" s="1"/>
  <c r="H96" i="55" s="1"/>
  <c r="F70" i="21"/>
  <c r="H145" i="55" s="1"/>
  <c r="H108" i="55" s="1"/>
  <c r="F53" i="38"/>
  <c r="H53" i="38" s="1"/>
  <c r="F36" i="49"/>
  <c r="I128" i="55" s="1"/>
  <c r="I91" i="55" s="1"/>
  <c r="E193" i="53"/>
  <c r="H201" i="53"/>
  <c r="E205" i="53"/>
  <c r="E66" i="53"/>
  <c r="E191" i="53"/>
  <c r="D121" i="53"/>
  <c r="C121" i="53"/>
  <c r="D111" i="53"/>
  <c r="C111" i="53"/>
  <c r="C160" i="53"/>
  <c r="I160" i="53" s="1"/>
  <c r="C158" i="53"/>
  <c r="I158" i="53" s="1"/>
  <c r="C156" i="53"/>
  <c r="I156" i="53" s="1"/>
  <c r="C154" i="53"/>
  <c r="C152" i="53"/>
  <c r="I152" i="53" s="1"/>
  <c r="C150" i="53"/>
  <c r="C148" i="53"/>
  <c r="I148" i="53" s="1"/>
  <c r="C144" i="53"/>
  <c r="C142" i="53"/>
  <c r="C159" i="53"/>
  <c r="I159" i="53" s="1"/>
  <c r="C157" i="53"/>
  <c r="C155" i="53"/>
  <c r="C153" i="53"/>
  <c r="C151" i="53"/>
  <c r="C149" i="53"/>
  <c r="I149" i="53" s="1"/>
  <c r="C147" i="53"/>
  <c r="C145" i="53"/>
  <c r="C143" i="53"/>
  <c r="I143" i="53" s="1"/>
  <c r="C141" i="53"/>
  <c r="I141" i="53" s="1"/>
  <c r="C146" i="53"/>
  <c r="I146" i="53" s="1"/>
  <c r="E169" i="53"/>
  <c r="D131" i="53"/>
  <c r="C131" i="53"/>
  <c r="H179" i="53"/>
  <c r="E217" i="53"/>
  <c r="E178" i="53"/>
  <c r="I147" i="37"/>
  <c r="C89" i="37"/>
  <c r="C117" i="37"/>
  <c r="C143" i="37" s="1"/>
  <c r="H103" i="37"/>
  <c r="M81" i="37"/>
  <c r="L93" i="37"/>
  <c r="L109" i="37"/>
  <c r="C113" i="37"/>
  <c r="L119" i="37"/>
  <c r="H77" i="37"/>
  <c r="M48" i="37"/>
  <c r="M34" i="13" s="1"/>
  <c r="M54" i="13" s="1"/>
  <c r="C62" i="37"/>
  <c r="C48" i="13" s="1"/>
  <c r="L83" i="37"/>
  <c r="M107" i="37"/>
  <c r="M123" i="37" s="1"/>
  <c r="I62" i="37"/>
  <c r="I48" i="13" s="1"/>
  <c r="M43" i="37"/>
  <c r="M77" i="37"/>
  <c r="I91" i="37"/>
  <c r="I143" i="37" s="1"/>
  <c r="C115" i="37"/>
  <c r="J147" i="37"/>
  <c r="K89" i="37"/>
  <c r="F68" i="21"/>
  <c r="H143" i="55" s="1"/>
  <c r="H106" i="55" s="1"/>
  <c r="F50" i="49"/>
  <c r="I142" i="55" s="1"/>
  <c r="I105" i="55" s="1"/>
  <c r="G91" i="37"/>
  <c r="G143" i="37" s="1"/>
  <c r="C87" i="37"/>
  <c r="D117" i="37"/>
  <c r="N111" i="44"/>
  <c r="J118" i="37"/>
  <c r="N118" i="37" s="1"/>
  <c r="J22" i="13" s="1"/>
  <c r="D91" i="37"/>
  <c r="X217" i="37"/>
  <c r="G58" i="38"/>
  <c r="I58" i="38" s="1"/>
  <c r="F48" i="49"/>
  <c r="I140" i="55" s="1"/>
  <c r="I103" i="55" s="1"/>
  <c r="F45" i="49"/>
  <c r="I137" i="55" s="1"/>
  <c r="I100" i="55" s="1"/>
  <c r="F42" i="49"/>
  <c r="I134" i="55" s="1"/>
  <c r="I97" i="55" s="1"/>
  <c r="G87" i="37"/>
  <c r="G139" i="37" s="1"/>
  <c r="G95" i="37"/>
  <c r="G147" i="37" s="1"/>
  <c r="G94" i="37"/>
  <c r="G81" i="37"/>
  <c r="G133" i="37" s="1"/>
  <c r="N100" i="44"/>
  <c r="G77" i="37"/>
  <c r="G83" i="37"/>
  <c r="G135" i="37" s="1"/>
  <c r="Z233" i="37"/>
  <c r="F44" i="49"/>
  <c r="I136" i="55" s="1"/>
  <c r="I99" i="55" s="1"/>
  <c r="N115" i="44"/>
  <c r="I50" i="37"/>
  <c r="I36" i="13" s="1"/>
  <c r="L113" i="37"/>
  <c r="D111" i="37"/>
  <c r="D137" i="37" s="1"/>
  <c r="I105" i="37"/>
  <c r="I131" i="37" s="1"/>
  <c r="I103" i="37"/>
  <c r="K83" i="37"/>
  <c r="Q231" i="37"/>
  <c r="Z234" i="37"/>
  <c r="R181" i="37"/>
  <c r="Z231" i="37"/>
  <c r="C111" i="37"/>
  <c r="AA176" i="37"/>
  <c r="N101" i="44"/>
  <c r="N106" i="44"/>
  <c r="Q234" i="37"/>
  <c r="C85" i="37"/>
  <c r="D52" i="37"/>
  <c r="D38" i="13" s="1"/>
  <c r="H117" i="37"/>
  <c r="D107" i="37"/>
  <c r="D133" i="37" s="1"/>
  <c r="C95" i="37"/>
  <c r="H91" i="37"/>
  <c r="D115" i="37"/>
  <c r="C121" i="37"/>
  <c r="D89" i="37"/>
  <c r="K79" i="37"/>
  <c r="O217" i="37"/>
  <c r="F222" i="37"/>
  <c r="K87" i="37"/>
  <c r="L62" i="37"/>
  <c r="L48" i="13" s="1"/>
  <c r="R189" i="37"/>
  <c r="L91" i="37"/>
  <c r="L143" i="37" s="1"/>
  <c r="R178" i="37"/>
  <c r="N105" i="44"/>
  <c r="AA186" i="37"/>
  <c r="J61" i="37"/>
  <c r="J47" i="13" s="1"/>
  <c r="R180" i="37"/>
  <c r="N108" i="44"/>
  <c r="K113" i="37"/>
  <c r="J116" i="37"/>
  <c r="N116" i="37" s="1"/>
  <c r="J20" i="13" s="1"/>
  <c r="G85" i="37"/>
  <c r="C42" i="33"/>
  <c r="I109" i="37"/>
  <c r="I135" i="37" s="1"/>
  <c r="D119" i="37"/>
  <c r="I77" i="37"/>
  <c r="X221" i="37"/>
  <c r="O219" i="37"/>
  <c r="H147" i="37"/>
  <c r="J92" i="37"/>
  <c r="G93" i="37"/>
  <c r="G145" i="37" s="1"/>
  <c r="D93" i="37"/>
  <c r="N109" i="44"/>
  <c r="N110" i="44"/>
  <c r="AA181" i="37"/>
  <c r="AA172" i="37"/>
  <c r="AA188" i="37"/>
  <c r="AA174" i="37"/>
  <c r="N102" i="44"/>
  <c r="I54" i="37"/>
  <c r="I40" i="13" s="1"/>
  <c r="V237" i="37"/>
  <c r="D83" i="37"/>
  <c r="D109" i="37"/>
  <c r="J83" i="37"/>
  <c r="J135" i="37" s="1"/>
  <c r="N114" i="44"/>
  <c r="J54" i="37"/>
  <c r="J40" i="13" s="1"/>
  <c r="H133" i="37"/>
  <c r="R169" i="37"/>
  <c r="R183" i="37"/>
  <c r="AA189" i="37"/>
  <c r="X216" i="37"/>
  <c r="G138" i="37"/>
  <c r="X219" i="37"/>
  <c r="W222" i="37"/>
  <c r="J117" i="37"/>
  <c r="L111" i="37"/>
  <c r="K91" i="37"/>
  <c r="X220" i="37"/>
  <c r="G103" i="37"/>
  <c r="AA170" i="37"/>
  <c r="K119" i="37"/>
  <c r="N117" i="44"/>
  <c r="I93" i="37"/>
  <c r="K93" i="37"/>
  <c r="F87" i="37"/>
  <c r="F139" i="37" s="1"/>
  <c r="K109" i="37"/>
  <c r="D77" i="37"/>
  <c r="D129" i="37" s="1"/>
  <c r="L85" i="37"/>
  <c r="J91" i="37"/>
  <c r="L66" i="37"/>
  <c r="L52" i="13" s="1"/>
  <c r="D48" i="37"/>
  <c r="D34" i="13" s="1"/>
  <c r="G43" i="37"/>
  <c r="R172" i="37"/>
  <c r="L222" i="37"/>
  <c r="K117" i="37"/>
  <c r="I119" i="37"/>
  <c r="K115" i="37"/>
  <c r="K105" i="37"/>
  <c r="O216" i="37"/>
  <c r="K103" i="37"/>
  <c r="L121" i="37"/>
  <c r="L147" i="37" s="1"/>
  <c r="V222" i="37"/>
  <c r="N222" i="37"/>
  <c r="K77" i="37"/>
  <c r="AA171" i="37"/>
  <c r="AA192" i="37"/>
  <c r="AA194" i="37"/>
  <c r="AA180" i="37"/>
  <c r="AA191" i="37"/>
  <c r="AA185" i="37"/>
  <c r="AA177" i="37"/>
  <c r="R188" i="37"/>
  <c r="AA193" i="37"/>
  <c r="Z235" i="37"/>
  <c r="R171" i="37"/>
  <c r="R176" i="37"/>
  <c r="R192" i="37"/>
  <c r="AA197" i="37"/>
  <c r="AA184" i="37"/>
  <c r="AA195" i="37"/>
  <c r="AA183" i="37"/>
  <c r="AA175" i="37"/>
  <c r="Q232" i="37"/>
  <c r="C43" i="37"/>
  <c r="I43" i="37"/>
  <c r="O220" i="37"/>
  <c r="L237" i="37"/>
  <c r="AA190" i="37"/>
  <c r="R170" i="37"/>
  <c r="J43" i="37"/>
  <c r="F43" i="37"/>
  <c r="R198" i="37"/>
  <c r="K111" i="37"/>
  <c r="F109" i="37"/>
  <c r="F123" i="37" s="1"/>
  <c r="AA199" i="37"/>
  <c r="O218" i="37"/>
  <c r="F49" i="49"/>
  <c r="I141" i="55" s="1"/>
  <c r="I104" i="55" s="1"/>
  <c r="F52" i="49"/>
  <c r="I144" i="55" s="1"/>
  <c r="I107" i="55" s="1"/>
  <c r="F62" i="21"/>
  <c r="H137" i="55" s="1"/>
  <c r="H100" i="55" s="1"/>
  <c r="F60" i="21"/>
  <c r="H135" i="55" s="1"/>
  <c r="H98" i="55" s="1"/>
  <c r="K54" i="13"/>
  <c r="L43" i="37"/>
  <c r="I111" i="37"/>
  <c r="H109" i="37"/>
  <c r="H135" i="37" s="1"/>
  <c r="I146" i="37"/>
  <c r="C119" i="37"/>
  <c r="C145" i="37" s="1"/>
  <c r="L87" i="37"/>
  <c r="D87" i="37"/>
  <c r="K95" i="37"/>
  <c r="L52" i="37"/>
  <c r="L38" i="13" s="1"/>
  <c r="C64" i="37"/>
  <c r="C50" i="13" s="1"/>
  <c r="D56" i="37"/>
  <c r="J108" i="37"/>
  <c r="J134" i="37" s="1"/>
  <c r="D95" i="37"/>
  <c r="J84" i="37"/>
  <c r="J136" i="37" s="1"/>
  <c r="I56" i="37"/>
  <c r="I42" i="13" s="1"/>
  <c r="J53" i="37"/>
  <c r="J39" i="13" s="1"/>
  <c r="C54" i="37"/>
  <c r="C40" i="13" s="1"/>
  <c r="J55" i="37"/>
  <c r="J41" i="13" s="1"/>
  <c r="H43" i="37"/>
  <c r="D43" i="37"/>
  <c r="G137" i="37"/>
  <c r="K121" i="37"/>
  <c r="K85" i="37"/>
  <c r="L140" i="37"/>
  <c r="L107" i="37"/>
  <c r="D113" i="37"/>
  <c r="L89" i="37"/>
  <c r="H54" i="37"/>
  <c r="H40" i="13" s="1"/>
  <c r="H54" i="13" s="1"/>
  <c r="L81" i="37"/>
  <c r="I85" i="37"/>
  <c r="L115" i="37"/>
  <c r="C109" i="37"/>
  <c r="C83" i="37"/>
  <c r="D121" i="37"/>
  <c r="K68" i="37"/>
  <c r="K43" i="37"/>
  <c r="F63" i="21"/>
  <c r="H138" i="55" s="1"/>
  <c r="H101" i="55" s="1"/>
  <c r="F69" i="21"/>
  <c r="H144" i="55" s="1"/>
  <c r="H107" i="55" s="1"/>
  <c r="F61" i="21"/>
  <c r="H136" i="55" s="1"/>
  <c r="H99" i="55" s="1"/>
  <c r="F65" i="21"/>
  <c r="H140" i="55" s="1"/>
  <c r="H103" i="55" s="1"/>
  <c r="F71" i="21"/>
  <c r="H146" i="55" s="1"/>
  <c r="H109" i="55" s="1"/>
  <c r="F72" i="21"/>
  <c r="H147" i="55" s="1"/>
  <c r="H110" i="55" s="1"/>
  <c r="D73" i="21"/>
  <c r="D20" i="55" s="1"/>
  <c r="C73" i="21"/>
  <c r="C20" i="55" s="1"/>
  <c r="F64" i="21"/>
  <c r="H139" i="55" s="1"/>
  <c r="H102" i="55" s="1"/>
  <c r="C234" i="21"/>
  <c r="D234" i="21" s="1"/>
  <c r="C207" i="21"/>
  <c r="D207" i="21" s="1"/>
  <c r="C180" i="21"/>
  <c r="D180" i="21" s="1"/>
  <c r="H161" i="53"/>
  <c r="D84" i="53"/>
  <c r="D131" i="20"/>
  <c r="C131" i="20"/>
  <c r="H131" i="20"/>
  <c r="E161" i="53"/>
  <c r="I131" i="20"/>
  <c r="F131" i="20"/>
  <c r="E167" i="53"/>
  <c r="E73" i="21"/>
  <c r="E20" i="55" s="1"/>
  <c r="J131" i="20"/>
  <c r="C84" i="53"/>
  <c r="E64" i="53"/>
  <c r="Z210" i="37"/>
  <c r="M99" i="44" s="1"/>
  <c r="I210" i="37"/>
  <c r="F253" i="7"/>
  <c r="F229" i="7"/>
  <c r="G231" i="7"/>
  <c r="G255" i="7"/>
  <c r="O231" i="7"/>
  <c r="O255" i="7"/>
  <c r="R231" i="7"/>
  <c r="R255" i="7"/>
  <c r="P206" i="7"/>
  <c r="P254" i="7"/>
  <c r="P230" i="7"/>
  <c r="P207" i="7"/>
  <c r="P231" i="7"/>
  <c r="P255" i="7"/>
  <c r="R229" i="7"/>
  <c r="R253" i="7"/>
  <c r="G230" i="7"/>
  <c r="G254" i="7"/>
  <c r="R254" i="7"/>
  <c r="R230" i="7"/>
  <c r="O253" i="7"/>
  <c r="O229" i="7"/>
  <c r="P205" i="7"/>
  <c r="P253" i="7"/>
  <c r="P229" i="7"/>
  <c r="O230" i="7"/>
  <c r="O254" i="7"/>
  <c r="N253" i="7"/>
  <c r="N229" i="7"/>
  <c r="G229" i="7"/>
  <c r="G253" i="7"/>
  <c r="N230" i="7"/>
  <c r="N254" i="7"/>
  <c r="M253" i="7"/>
  <c r="M229" i="7"/>
  <c r="M231" i="7"/>
  <c r="M255" i="7"/>
  <c r="M230" i="7"/>
  <c r="M254" i="7"/>
  <c r="N255" i="7"/>
  <c r="N231" i="7"/>
  <c r="F57" i="21"/>
  <c r="H132" i="55" s="1"/>
  <c r="H95" i="55" s="1"/>
  <c r="G262" i="7"/>
  <c r="G238" i="7"/>
  <c r="P218" i="7"/>
  <c r="P242" i="7"/>
  <c r="P266" i="7"/>
  <c r="R238" i="7"/>
  <c r="R262" i="7"/>
  <c r="N240" i="7"/>
  <c r="N264" i="7"/>
  <c r="I240" i="7"/>
  <c r="I264" i="7"/>
  <c r="R260" i="7"/>
  <c r="R236" i="7"/>
  <c r="P214" i="7"/>
  <c r="P262" i="7"/>
  <c r="P238" i="7"/>
  <c r="R243" i="7"/>
  <c r="R267" i="7"/>
  <c r="G234" i="7"/>
  <c r="G258" i="7"/>
  <c r="P223" i="7"/>
  <c r="P247" i="7"/>
  <c r="P271" i="7"/>
  <c r="P209" i="7"/>
  <c r="P257" i="7"/>
  <c r="P233" i="7"/>
  <c r="O257" i="7"/>
  <c r="O233" i="7"/>
  <c r="M262" i="7"/>
  <c r="M238" i="7"/>
  <c r="M247" i="7"/>
  <c r="M271" i="7"/>
  <c r="M243" i="7"/>
  <c r="M267" i="7"/>
  <c r="G239" i="7"/>
  <c r="G263" i="7"/>
  <c r="O245" i="7"/>
  <c r="O269" i="7"/>
  <c r="G236" i="7"/>
  <c r="G260" i="7"/>
  <c r="R266" i="7"/>
  <c r="R242" i="7"/>
  <c r="R265" i="7"/>
  <c r="R241" i="7"/>
  <c r="N236" i="7"/>
  <c r="N260" i="7"/>
  <c r="R270" i="7"/>
  <c r="R246" i="7"/>
  <c r="R245" i="7"/>
  <c r="R269" i="7"/>
  <c r="P213" i="7"/>
  <c r="P237" i="7"/>
  <c r="P261" i="7"/>
  <c r="G259" i="7"/>
  <c r="G235" i="7"/>
  <c r="G265" i="7"/>
  <c r="G241" i="7"/>
  <c r="P216" i="7"/>
  <c r="P240" i="7"/>
  <c r="P264" i="7"/>
  <c r="N239" i="7"/>
  <c r="N263" i="7"/>
  <c r="M264" i="7"/>
  <c r="M240" i="7"/>
  <c r="O259" i="7"/>
  <c r="O235" i="7"/>
  <c r="M269" i="7"/>
  <c r="M245" i="7"/>
  <c r="M236" i="7"/>
  <c r="M260" i="7"/>
  <c r="O264" i="7"/>
  <c r="O240" i="7"/>
  <c r="R263" i="7"/>
  <c r="R239" i="7"/>
  <c r="P222" i="7"/>
  <c r="P246" i="7"/>
  <c r="P270" i="7"/>
  <c r="G237" i="7"/>
  <c r="G261" i="7"/>
  <c r="R235" i="7"/>
  <c r="R259" i="7"/>
  <c r="G242" i="7"/>
  <c r="G266" i="7"/>
  <c r="P215" i="7"/>
  <c r="P239" i="7"/>
  <c r="P263" i="7"/>
  <c r="P217" i="7"/>
  <c r="P265" i="7"/>
  <c r="P241" i="7"/>
  <c r="G240" i="7"/>
  <c r="G264" i="7"/>
  <c r="M239" i="7"/>
  <c r="M263" i="7"/>
  <c r="M258" i="7"/>
  <c r="M234" i="7"/>
  <c r="N259" i="7"/>
  <c r="N235" i="7"/>
  <c r="O237" i="7"/>
  <c r="O261" i="7"/>
  <c r="O260" i="7"/>
  <c r="O236" i="7"/>
  <c r="H242" i="7"/>
  <c r="H266" i="7"/>
  <c r="O247" i="7"/>
  <c r="O271" i="7"/>
  <c r="N269" i="7"/>
  <c r="N245" i="7"/>
  <c r="K266" i="7"/>
  <c r="K242" i="7"/>
  <c r="G270" i="7"/>
  <c r="G246" i="7"/>
  <c r="P221" i="7"/>
  <c r="P245" i="7"/>
  <c r="P269" i="7"/>
  <c r="P219" i="7"/>
  <c r="P243" i="7"/>
  <c r="P267" i="7"/>
  <c r="P210" i="7"/>
  <c r="P234" i="7"/>
  <c r="P258" i="7"/>
  <c r="R257" i="7"/>
  <c r="R233" i="7"/>
  <c r="O265" i="7"/>
  <c r="O241" i="7"/>
  <c r="O239" i="7"/>
  <c r="O263" i="7"/>
  <c r="O234" i="7"/>
  <c r="O258" i="7"/>
  <c r="O270" i="7"/>
  <c r="O246" i="7"/>
  <c r="M235" i="7"/>
  <c r="M259" i="7"/>
  <c r="N261" i="7"/>
  <c r="N237" i="7"/>
  <c r="M242" i="7"/>
  <c r="M266" i="7"/>
  <c r="N233" i="7"/>
  <c r="N257" i="7"/>
  <c r="J237" i="7"/>
  <c r="J261" i="7"/>
  <c r="M233" i="7"/>
  <c r="M257" i="7"/>
  <c r="L233" i="7"/>
  <c r="L257" i="7"/>
  <c r="G245" i="7"/>
  <c r="G269" i="7"/>
  <c r="G243" i="7"/>
  <c r="G267" i="7"/>
  <c r="R258" i="7"/>
  <c r="R234" i="7"/>
  <c r="G247" i="7"/>
  <c r="G271" i="7"/>
  <c r="G257" i="7"/>
  <c r="G233" i="7"/>
  <c r="N265" i="7"/>
  <c r="N241" i="7"/>
  <c r="O262" i="7"/>
  <c r="O238" i="7"/>
  <c r="N234" i="7"/>
  <c r="N258" i="7"/>
  <c r="N270" i="7"/>
  <c r="N246" i="7"/>
  <c r="O267" i="7"/>
  <c r="O243" i="7"/>
  <c r="M261" i="7"/>
  <c r="M237" i="7"/>
  <c r="O242" i="7"/>
  <c r="O266" i="7"/>
  <c r="R237" i="7"/>
  <c r="R261" i="7"/>
  <c r="R240" i="7"/>
  <c r="R264" i="7"/>
  <c r="P211" i="7"/>
  <c r="P235" i="7"/>
  <c r="P259" i="7"/>
  <c r="D238" i="7"/>
  <c r="D262" i="7"/>
  <c r="P212" i="7"/>
  <c r="P260" i="7"/>
  <c r="P236" i="7"/>
  <c r="R247" i="7"/>
  <c r="R271" i="7"/>
  <c r="M241" i="7"/>
  <c r="M265" i="7"/>
  <c r="N238" i="7"/>
  <c r="N262" i="7"/>
  <c r="N247" i="7"/>
  <c r="N271" i="7"/>
  <c r="M270" i="7"/>
  <c r="M246" i="7"/>
  <c r="N267" i="7"/>
  <c r="N243" i="7"/>
  <c r="N242" i="7"/>
  <c r="N266" i="7"/>
  <c r="I161" i="7"/>
  <c r="E78" i="7" s="1"/>
  <c r="E126" i="7"/>
  <c r="G126" i="7" s="1"/>
  <c r="I126" i="7" s="1"/>
  <c r="C83" i="7" s="1"/>
  <c r="E129" i="7"/>
  <c r="G129" i="7" s="1"/>
  <c r="I129" i="7" s="1"/>
  <c r="C86" i="7" s="1"/>
  <c r="F86" i="7" s="1"/>
  <c r="E121" i="7"/>
  <c r="G121" i="7" s="1"/>
  <c r="I121" i="7" s="1"/>
  <c r="C78" i="7" s="1"/>
  <c r="E130" i="7"/>
  <c r="G130" i="7" s="1"/>
  <c r="I130" i="7" s="1"/>
  <c r="C87" i="7" s="1"/>
  <c r="F87" i="7" s="1"/>
  <c r="E128" i="7"/>
  <c r="G128" i="7" s="1"/>
  <c r="I128" i="7" s="1"/>
  <c r="C85" i="7" s="1"/>
  <c r="F85" i="7" s="1"/>
  <c r="E120" i="7"/>
  <c r="G120" i="7" s="1"/>
  <c r="I120" i="7" s="1"/>
  <c r="C77" i="7" s="1"/>
  <c r="E132" i="7"/>
  <c r="G132" i="7" s="1"/>
  <c r="I132" i="7" s="1"/>
  <c r="C89" i="7" s="1"/>
  <c r="E122" i="7"/>
  <c r="G122" i="7" s="1"/>
  <c r="I122" i="7" s="1"/>
  <c r="C79" i="7" s="1"/>
  <c r="F79" i="7" s="1"/>
  <c r="E127" i="7"/>
  <c r="G127" i="7" s="1"/>
  <c r="I127" i="7" s="1"/>
  <c r="C84" i="7" s="1"/>
  <c r="F84" i="7" s="1"/>
  <c r="U183" i="7"/>
  <c r="N206" i="7"/>
  <c r="N279" i="7"/>
  <c r="N289" i="7"/>
  <c r="N216" i="7"/>
  <c r="O282" i="7"/>
  <c r="O209" i="7"/>
  <c r="M214" i="7"/>
  <c r="M287" i="7"/>
  <c r="M296" i="7"/>
  <c r="M223" i="7"/>
  <c r="O279" i="7"/>
  <c r="O206" i="7"/>
  <c r="M219" i="7"/>
  <c r="M292" i="7"/>
  <c r="N205" i="7"/>
  <c r="N278" i="7"/>
  <c r="O296" i="7"/>
  <c r="O223" i="7"/>
  <c r="N285" i="7"/>
  <c r="N212" i="7"/>
  <c r="G287" i="7"/>
  <c r="N215" i="7"/>
  <c r="N288" i="7"/>
  <c r="M216" i="7"/>
  <c r="M289" i="7"/>
  <c r="N207" i="7"/>
  <c r="N280" i="7"/>
  <c r="O211" i="7"/>
  <c r="O284" i="7"/>
  <c r="M221" i="7"/>
  <c r="M294" i="7"/>
  <c r="M212" i="7"/>
  <c r="M285" i="7"/>
  <c r="O289" i="7"/>
  <c r="O216" i="7"/>
  <c r="M209" i="7"/>
  <c r="M282" i="7"/>
  <c r="P284" i="7"/>
  <c r="O194" i="7"/>
  <c r="M194" i="7"/>
  <c r="N194" i="7"/>
  <c r="M215" i="7"/>
  <c r="M288" i="7"/>
  <c r="M283" i="7"/>
  <c r="M210" i="7"/>
  <c r="O207" i="7"/>
  <c r="O280" i="7"/>
  <c r="N211" i="7"/>
  <c r="N284" i="7"/>
  <c r="O286" i="7"/>
  <c r="O213" i="7"/>
  <c r="O285" i="7"/>
  <c r="O212" i="7"/>
  <c r="N282" i="7"/>
  <c r="N209" i="7"/>
  <c r="P291" i="7"/>
  <c r="M207" i="7"/>
  <c r="M280" i="7"/>
  <c r="G178" i="7"/>
  <c r="G204" i="7" s="1"/>
  <c r="M178" i="7"/>
  <c r="M204" i="7" s="1"/>
  <c r="N178" i="7"/>
  <c r="N204" i="7" s="1"/>
  <c r="O178" i="7"/>
  <c r="O217" i="7"/>
  <c r="O290" i="7"/>
  <c r="O288" i="7"/>
  <c r="O215" i="7"/>
  <c r="O210" i="7"/>
  <c r="O283" i="7"/>
  <c r="O222" i="7"/>
  <c r="O295" i="7"/>
  <c r="M211" i="7"/>
  <c r="M284" i="7"/>
  <c r="N213" i="7"/>
  <c r="N286" i="7"/>
  <c r="M218" i="7"/>
  <c r="M291" i="7"/>
  <c r="M278" i="7"/>
  <c r="M205" i="7"/>
  <c r="N221" i="7"/>
  <c r="N294" i="7"/>
  <c r="N290" i="7"/>
  <c r="N217" i="7"/>
  <c r="O214" i="7"/>
  <c r="O287" i="7"/>
  <c r="N210" i="7"/>
  <c r="N283" i="7"/>
  <c r="N222" i="7"/>
  <c r="N295" i="7"/>
  <c r="O219" i="7"/>
  <c r="O292" i="7"/>
  <c r="M286" i="7"/>
  <c r="M213" i="7"/>
  <c r="O218" i="7"/>
  <c r="O291" i="7"/>
  <c r="O221" i="7"/>
  <c r="O294" i="7"/>
  <c r="M279" i="7"/>
  <c r="M206" i="7"/>
  <c r="B208" i="7"/>
  <c r="B232" i="7" s="1"/>
  <c r="B256" i="7" s="1"/>
  <c r="B281" i="7" s="1"/>
  <c r="M182" i="7"/>
  <c r="N182" i="7"/>
  <c r="O182" i="7"/>
  <c r="M290" i="7"/>
  <c r="M217" i="7"/>
  <c r="N287" i="7"/>
  <c r="N214" i="7"/>
  <c r="N296" i="7"/>
  <c r="N223" i="7"/>
  <c r="M222" i="7"/>
  <c r="M295" i="7"/>
  <c r="N219" i="7"/>
  <c r="N292" i="7"/>
  <c r="O278" i="7"/>
  <c r="O205" i="7"/>
  <c r="N218" i="7"/>
  <c r="N291" i="7"/>
  <c r="P288" i="7"/>
  <c r="P286" i="7"/>
  <c r="E179" i="7"/>
  <c r="E205" i="7" s="1"/>
  <c r="P278" i="7"/>
  <c r="F53" i="49"/>
  <c r="I145" i="55" s="1"/>
  <c r="I108" i="55" s="1"/>
  <c r="F37" i="49"/>
  <c r="I129" i="55" s="1"/>
  <c r="I92" i="55" s="1"/>
  <c r="F55" i="49"/>
  <c r="I147" i="55" s="1"/>
  <c r="I110" i="55" s="1"/>
  <c r="F41" i="49"/>
  <c r="I133" i="55" s="1"/>
  <c r="I96" i="55" s="1"/>
  <c r="N116" i="44"/>
  <c r="L64" i="38"/>
  <c r="N64" i="38" s="1"/>
  <c r="F39" i="49"/>
  <c r="I131" i="55" s="1"/>
  <c r="I94" i="55" s="1"/>
  <c r="N103" i="44"/>
  <c r="AA173" i="37"/>
  <c r="G207" i="7"/>
  <c r="AA182" i="37"/>
  <c r="I133" i="7"/>
  <c r="C90" i="7" s="1"/>
  <c r="F90" i="7" s="1"/>
  <c r="E138" i="7"/>
  <c r="G138" i="7" s="1"/>
  <c r="I138" i="7" s="1"/>
  <c r="D75" i="7" s="1"/>
  <c r="G205" i="7"/>
  <c r="G146" i="7"/>
  <c r="I146" i="7" s="1"/>
  <c r="D83" i="7" s="1"/>
  <c r="G166" i="7"/>
  <c r="I166" i="7" s="1"/>
  <c r="E83" i="7" s="1"/>
  <c r="P280" i="7"/>
  <c r="P292" i="7"/>
  <c r="G222" i="7"/>
  <c r="G209" i="7"/>
  <c r="P279" i="7"/>
  <c r="G214" i="7"/>
  <c r="G215" i="7"/>
  <c r="P294" i="7"/>
  <c r="G211" i="7"/>
  <c r="G218" i="7"/>
  <c r="G219" i="7"/>
  <c r="G210" i="7"/>
  <c r="G223" i="7"/>
  <c r="G216" i="7"/>
  <c r="G206" i="7"/>
  <c r="G217" i="7"/>
  <c r="G221" i="7"/>
  <c r="G212" i="7"/>
  <c r="G213" i="7"/>
  <c r="E196" i="7"/>
  <c r="E222" i="7" s="1"/>
  <c r="E216" i="7"/>
  <c r="I196" i="7"/>
  <c r="H195" i="7"/>
  <c r="H187" i="7"/>
  <c r="C186" i="7"/>
  <c r="S186" i="7" s="1"/>
  <c r="H196" i="7"/>
  <c r="H188" i="7"/>
  <c r="K195" i="7"/>
  <c r="H218" i="7"/>
  <c r="G194" i="7"/>
  <c r="P194" i="7"/>
  <c r="R194" i="7"/>
  <c r="H194" i="7"/>
  <c r="I194" i="7"/>
  <c r="Q194" i="7"/>
  <c r="J194" i="7"/>
  <c r="C194" i="7"/>
  <c r="C293" i="7" s="1"/>
  <c r="K194" i="7"/>
  <c r="D194" i="7"/>
  <c r="L194" i="7"/>
  <c r="F194" i="7"/>
  <c r="E194" i="7"/>
  <c r="E220" i="7" s="1"/>
  <c r="K196" i="7"/>
  <c r="F186" i="7"/>
  <c r="L195" i="7"/>
  <c r="I195" i="7"/>
  <c r="Q214" i="7"/>
  <c r="Q287" i="7"/>
  <c r="L181" i="7"/>
  <c r="J193" i="7"/>
  <c r="E185" i="7"/>
  <c r="E211" i="7" s="1"/>
  <c r="J192" i="7"/>
  <c r="C192" i="7"/>
  <c r="F184" i="7"/>
  <c r="F189" i="7"/>
  <c r="K189" i="7"/>
  <c r="H197" i="7"/>
  <c r="I197" i="7"/>
  <c r="I191" i="7"/>
  <c r="K183" i="7"/>
  <c r="Q209" i="7"/>
  <c r="Q282" i="7"/>
  <c r="F190" i="7"/>
  <c r="H190" i="7"/>
  <c r="F180" i="7"/>
  <c r="E178" i="7"/>
  <c r="E204" i="7" s="1"/>
  <c r="Q178" i="7"/>
  <c r="Q204" i="7" s="1"/>
  <c r="R178" i="7"/>
  <c r="P178" i="7"/>
  <c r="L196" i="7"/>
  <c r="C196" i="7"/>
  <c r="S196" i="7" s="1"/>
  <c r="K186" i="7"/>
  <c r="R294" i="7"/>
  <c r="R221" i="7"/>
  <c r="J188" i="7"/>
  <c r="K188" i="7"/>
  <c r="D181" i="7"/>
  <c r="D187" i="7"/>
  <c r="I187" i="7"/>
  <c r="Q292" i="7"/>
  <c r="Q219" i="7"/>
  <c r="R219" i="7"/>
  <c r="R292" i="7"/>
  <c r="L185" i="7"/>
  <c r="R278" i="7"/>
  <c r="R205" i="7"/>
  <c r="Q218" i="7"/>
  <c r="Q291" i="7"/>
  <c r="E184" i="7"/>
  <c r="E210" i="7" s="1"/>
  <c r="H189" i="7"/>
  <c r="C189" i="7"/>
  <c r="S189" i="7" s="1"/>
  <c r="R296" i="7"/>
  <c r="R223" i="7"/>
  <c r="P296" i="7"/>
  <c r="H191" i="7"/>
  <c r="C183" i="7"/>
  <c r="F183" i="7"/>
  <c r="E180" i="7"/>
  <c r="E206" i="7" s="1"/>
  <c r="P295" i="7"/>
  <c r="C188" i="7"/>
  <c r="C287" i="7" s="1"/>
  <c r="R286" i="7"/>
  <c r="R213" i="7"/>
  <c r="F193" i="7"/>
  <c r="I193" i="7"/>
  <c r="D185" i="7"/>
  <c r="Q278" i="7"/>
  <c r="Q205" i="7"/>
  <c r="I184" i="7"/>
  <c r="L184" i="7"/>
  <c r="R288" i="7"/>
  <c r="R215" i="7"/>
  <c r="J189" i="7"/>
  <c r="E197" i="7"/>
  <c r="E223" i="7" s="1"/>
  <c r="Q217" i="7"/>
  <c r="Q290" i="7"/>
  <c r="R217" i="7"/>
  <c r="R290" i="7"/>
  <c r="D183" i="7"/>
  <c r="L190" i="7"/>
  <c r="P289" i="7"/>
  <c r="R206" i="7"/>
  <c r="R279" i="7"/>
  <c r="G182" i="7"/>
  <c r="H182" i="7"/>
  <c r="H281" i="7" s="1"/>
  <c r="I182" i="7"/>
  <c r="J182" i="7"/>
  <c r="C182" i="7"/>
  <c r="K182" i="7"/>
  <c r="F182" i="7"/>
  <c r="D182" i="7"/>
  <c r="L182" i="7"/>
  <c r="P182" i="7"/>
  <c r="R182" i="7"/>
  <c r="E182" i="7"/>
  <c r="E208" i="7" s="1"/>
  <c r="Q182" i="7"/>
  <c r="J186" i="7"/>
  <c r="C195" i="7"/>
  <c r="F195" i="7"/>
  <c r="F188" i="7"/>
  <c r="K181" i="7"/>
  <c r="K187" i="7"/>
  <c r="E193" i="7"/>
  <c r="E219" i="7" s="1"/>
  <c r="Q284" i="7"/>
  <c r="Q211" i="7"/>
  <c r="K185" i="7"/>
  <c r="F192" i="7"/>
  <c r="R210" i="7"/>
  <c r="R283" i="7"/>
  <c r="D184" i="7"/>
  <c r="E189" i="7"/>
  <c r="E215" i="7" s="1"/>
  <c r="I189" i="7"/>
  <c r="L197" i="7"/>
  <c r="D191" i="7"/>
  <c r="J183" i="7"/>
  <c r="E183" i="7"/>
  <c r="E209" i="7" s="1"/>
  <c r="D190" i="7"/>
  <c r="D180" i="7"/>
  <c r="P285" i="7"/>
  <c r="P287" i="7"/>
  <c r="F196" i="7"/>
  <c r="E186" i="7"/>
  <c r="E212" i="7" s="1"/>
  <c r="Q285" i="7"/>
  <c r="Q212" i="7"/>
  <c r="Q294" i="7"/>
  <c r="Q221" i="7"/>
  <c r="E195" i="7"/>
  <c r="E221" i="7" s="1"/>
  <c r="E188" i="7"/>
  <c r="E214" i="7" s="1"/>
  <c r="H181" i="7"/>
  <c r="C181" i="7"/>
  <c r="S181" i="7" s="1"/>
  <c r="J26" i="7" s="1"/>
  <c r="C187" i="7"/>
  <c r="F187" i="7"/>
  <c r="L193" i="7"/>
  <c r="C185" i="7"/>
  <c r="S185" i="7" s="1"/>
  <c r="I192" i="7"/>
  <c r="E192" i="7"/>
  <c r="E218" i="7" s="1"/>
  <c r="H184" i="7"/>
  <c r="K184" i="7"/>
  <c r="D189" i="7"/>
  <c r="Q296" i="7"/>
  <c r="Q223" i="7"/>
  <c r="D197" i="7"/>
  <c r="K191" i="7"/>
  <c r="F191" i="7"/>
  <c r="I183" i="7"/>
  <c r="P282" i="7"/>
  <c r="K190" i="7"/>
  <c r="I180" i="7"/>
  <c r="L180" i="7"/>
  <c r="L186" i="7"/>
  <c r="I186" i="7"/>
  <c r="J195" i="7"/>
  <c r="R214" i="7"/>
  <c r="R287" i="7"/>
  <c r="F181" i="7"/>
  <c r="Q280" i="7"/>
  <c r="Q207" i="7"/>
  <c r="L187" i="7"/>
  <c r="E187" i="7"/>
  <c r="E213" i="7" s="1"/>
  <c r="D193" i="7"/>
  <c r="J185" i="7"/>
  <c r="L192" i="7"/>
  <c r="J184" i="7"/>
  <c r="C184" i="7"/>
  <c r="S184" i="7" s="1"/>
  <c r="Q288" i="7"/>
  <c r="Q215" i="7"/>
  <c r="C191" i="7"/>
  <c r="S191" i="7" s="1"/>
  <c r="H183" i="7"/>
  <c r="R289" i="7"/>
  <c r="R216" i="7"/>
  <c r="C190" i="7"/>
  <c r="H180" i="7"/>
  <c r="Q206" i="7"/>
  <c r="Q279" i="7"/>
  <c r="R222" i="7"/>
  <c r="R295" i="7"/>
  <c r="D196" i="7"/>
  <c r="D186" i="7"/>
  <c r="H186" i="7"/>
  <c r="D195" i="7"/>
  <c r="I188" i="7"/>
  <c r="L188" i="7"/>
  <c r="R280" i="7"/>
  <c r="R207" i="7"/>
  <c r="J181" i="7"/>
  <c r="Q286" i="7"/>
  <c r="Q213" i="7"/>
  <c r="H193" i="7"/>
  <c r="K193" i="7"/>
  <c r="H185" i="7"/>
  <c r="R211" i="7"/>
  <c r="R284" i="7"/>
  <c r="R291" i="7"/>
  <c r="R218" i="7"/>
  <c r="D192" i="7"/>
  <c r="Q210" i="7"/>
  <c r="Q283" i="7"/>
  <c r="P283" i="7"/>
  <c r="L189" i="7"/>
  <c r="J197" i="7"/>
  <c r="K197" i="7"/>
  <c r="J191" i="7"/>
  <c r="E191" i="7"/>
  <c r="E217" i="7" s="1"/>
  <c r="R209" i="7"/>
  <c r="R282" i="7"/>
  <c r="Q289" i="7"/>
  <c r="Q216" i="7"/>
  <c r="J190" i="7"/>
  <c r="J180" i="7"/>
  <c r="K180" i="7"/>
  <c r="J196" i="7"/>
  <c r="Q222" i="7"/>
  <c r="Q295" i="7"/>
  <c r="R212" i="7"/>
  <c r="R285" i="7"/>
  <c r="E181" i="7"/>
  <c r="E207" i="7" s="1"/>
  <c r="I181" i="7"/>
  <c r="C193" i="7"/>
  <c r="S193" i="7" s="1"/>
  <c r="F185" i="7"/>
  <c r="I185" i="7"/>
  <c r="F197" i="7"/>
  <c r="C197" i="7"/>
  <c r="S197" i="7" s="1"/>
  <c r="L191" i="7"/>
  <c r="F205" i="7"/>
  <c r="F178" i="7"/>
  <c r="F204" i="7" s="1"/>
  <c r="B204" i="7"/>
  <c r="B228" i="7" s="1"/>
  <c r="B252" i="7" s="1"/>
  <c r="B277" i="7" s="1"/>
  <c r="H179" i="7"/>
  <c r="H178" i="7"/>
  <c r="B220" i="7"/>
  <c r="B244" i="7" s="1"/>
  <c r="B268" i="7" s="1"/>
  <c r="B293" i="7" s="1"/>
  <c r="D178" i="7"/>
  <c r="D179" i="7"/>
  <c r="K179" i="7"/>
  <c r="K178" i="7"/>
  <c r="K204" i="7" s="1"/>
  <c r="G295" i="7"/>
  <c r="G278" i="7"/>
  <c r="G283" i="7"/>
  <c r="G296" i="7"/>
  <c r="C179" i="7"/>
  <c r="S179" i="7" s="1"/>
  <c r="J24" i="7" s="1"/>
  <c r="S180" i="7"/>
  <c r="J25" i="7" s="1"/>
  <c r="C178" i="7"/>
  <c r="F278" i="7"/>
  <c r="G286" i="7"/>
  <c r="G291" i="7"/>
  <c r="G294" i="7"/>
  <c r="G282" i="7"/>
  <c r="G290" i="7"/>
  <c r="G285" i="7"/>
  <c r="G279" i="7"/>
  <c r="G289" i="7"/>
  <c r="H291" i="7"/>
  <c r="G284" i="7"/>
  <c r="G280" i="7"/>
  <c r="L178" i="7"/>
  <c r="L204" i="7" s="1"/>
  <c r="L179" i="7"/>
  <c r="J178" i="7"/>
  <c r="J179" i="7"/>
  <c r="I178" i="7"/>
  <c r="I179" i="7"/>
  <c r="G292" i="7"/>
  <c r="G288" i="7"/>
  <c r="C279" i="7"/>
  <c r="E289" i="7"/>
  <c r="E4" i="44"/>
  <c r="E171" i="7"/>
  <c r="G171" i="7" s="1"/>
  <c r="I171" i="7" s="1"/>
  <c r="E88" i="7" s="1"/>
  <c r="Z232" i="37"/>
  <c r="R194" i="37"/>
  <c r="AA169" i="37"/>
  <c r="Q233" i="37"/>
  <c r="AA179" i="37"/>
  <c r="AA187" i="37"/>
  <c r="AA178" i="37"/>
  <c r="R196" i="37"/>
  <c r="R174" i="37"/>
  <c r="R179" i="37"/>
  <c r="R184" i="37"/>
  <c r="R190" i="37"/>
  <c r="R195" i="37"/>
  <c r="N210" i="37"/>
  <c r="L96" i="44" s="1"/>
  <c r="R177" i="37"/>
  <c r="R182" i="37"/>
  <c r="R187" i="37"/>
  <c r="R193" i="37"/>
  <c r="AA198" i="37"/>
  <c r="M210" i="37"/>
  <c r="L95" i="44" s="1"/>
  <c r="X210" i="37"/>
  <c r="M97" i="44" s="1"/>
  <c r="R175" i="37"/>
  <c r="R191" i="37"/>
  <c r="N104" i="44"/>
  <c r="Q210" i="37"/>
  <c r="L99" i="44" s="1"/>
  <c r="R186" i="37"/>
  <c r="AA196" i="37"/>
  <c r="O210" i="37"/>
  <c r="L97" i="44" s="1"/>
  <c r="R197" i="37"/>
  <c r="E56" i="49"/>
  <c r="F47" i="49"/>
  <c r="I139" i="55" s="1"/>
  <c r="I102" i="55" s="1"/>
  <c r="X218" i="37"/>
  <c r="D56" i="49"/>
  <c r="R199" i="37"/>
  <c r="U222" i="37"/>
  <c r="C56" i="49"/>
  <c r="M140" i="37"/>
  <c r="M222" i="37"/>
  <c r="U237" i="37"/>
  <c r="M148" i="37"/>
  <c r="Y210" i="37"/>
  <c r="M98" i="44" s="1"/>
  <c r="R173" i="37"/>
  <c r="F51" i="49"/>
  <c r="I143" i="55" s="1"/>
  <c r="I106" i="55" s="1"/>
  <c r="O221" i="37"/>
  <c r="M237" i="37"/>
  <c r="F159" i="20"/>
  <c r="M132" i="37"/>
  <c r="J139" i="37"/>
  <c r="M131" i="37"/>
  <c r="F76" i="7"/>
  <c r="F80" i="37"/>
  <c r="F132" i="37" s="1"/>
  <c r="Q235" i="37"/>
  <c r="R185" i="37"/>
  <c r="K134" i="37"/>
  <c r="I136" i="37"/>
  <c r="H136" i="37"/>
  <c r="F92" i="37"/>
  <c r="F144" i="37" s="1"/>
  <c r="I132" i="37"/>
  <c r="D15" i="38"/>
  <c r="D17" i="55" s="1"/>
  <c r="Y16" i="55" s="1"/>
  <c r="G132" i="37"/>
  <c r="P210" i="37"/>
  <c r="L98" i="44" s="1"/>
  <c r="M136" i="37"/>
  <c r="J131" i="37"/>
  <c r="D186" i="53"/>
  <c r="C131" i="37"/>
  <c r="F81" i="7"/>
  <c r="I144" i="37"/>
  <c r="G211" i="53"/>
  <c r="F186" i="53"/>
  <c r="L148" i="37"/>
  <c r="G186" i="53"/>
  <c r="F211" i="53"/>
  <c r="C80" i="15"/>
  <c r="E83" i="37"/>
  <c r="E135" i="37" s="1"/>
  <c r="E78" i="37"/>
  <c r="E130" i="37" s="1"/>
  <c r="E92" i="37"/>
  <c r="E144" i="37" s="1"/>
  <c r="C81" i="15"/>
  <c r="G134" i="37"/>
  <c r="L132" i="37"/>
  <c r="E95" i="37"/>
  <c r="E147" i="37" s="1"/>
  <c r="F236" i="53"/>
  <c r="G136" i="37"/>
  <c r="E82" i="37"/>
  <c r="E134" i="37" s="1"/>
  <c r="F95" i="37"/>
  <c r="F147" i="37" s="1"/>
  <c r="E90" i="37"/>
  <c r="E142" i="37" s="1"/>
  <c r="F82" i="7"/>
  <c r="F80" i="7"/>
  <c r="D140" i="37"/>
  <c r="H159" i="20"/>
  <c r="E88" i="37"/>
  <c r="E140" i="37" s="1"/>
  <c r="E80" i="37"/>
  <c r="E132" i="37" s="1"/>
  <c r="E87" i="37"/>
  <c r="F78" i="37"/>
  <c r="F130" i="37" s="1"/>
  <c r="F91" i="37"/>
  <c r="F143" i="37" s="1"/>
  <c r="E91" i="37"/>
  <c r="E89" i="37"/>
  <c r="E141" i="37" s="1"/>
  <c r="E77" i="37"/>
  <c r="E129" i="37" s="1"/>
  <c r="E96" i="37"/>
  <c r="E148" i="37" s="1"/>
  <c r="E79" i="37"/>
  <c r="E131" i="37" s="1"/>
  <c r="D211" i="53"/>
  <c r="E133" i="37"/>
  <c r="E85" i="37"/>
  <c r="E137" i="37" s="1"/>
  <c r="J130" i="37"/>
  <c r="E94" i="37"/>
  <c r="E146" i="37" s="1"/>
  <c r="E86" i="37"/>
  <c r="E138" i="37" s="1"/>
  <c r="E93" i="37"/>
  <c r="E145" i="37" s="1"/>
  <c r="E84" i="37"/>
  <c r="E136" i="37" s="1"/>
  <c r="F65" i="37"/>
  <c r="F51" i="13" s="1"/>
  <c r="F61" i="37"/>
  <c r="F47" i="13" s="1"/>
  <c r="F57" i="37"/>
  <c r="F43" i="13" s="1"/>
  <c r="F53" i="37"/>
  <c r="F39" i="13" s="1"/>
  <c r="F49" i="37"/>
  <c r="F35" i="13" s="1"/>
  <c r="F67" i="37"/>
  <c r="F53" i="13" s="1"/>
  <c r="F59" i="37"/>
  <c r="F45" i="13" s="1"/>
  <c r="F66" i="37"/>
  <c r="F52" i="13" s="1"/>
  <c r="F62" i="37"/>
  <c r="F48" i="13" s="1"/>
  <c r="F58" i="37"/>
  <c r="F44" i="13" s="1"/>
  <c r="F63" i="37"/>
  <c r="F49" i="13" s="1"/>
  <c r="F55" i="37"/>
  <c r="F41" i="13" s="1"/>
  <c r="F50" i="37"/>
  <c r="F36" i="13" s="1"/>
  <c r="F64" i="37"/>
  <c r="F50" i="13" s="1"/>
  <c r="F60" i="37"/>
  <c r="F46" i="13" s="1"/>
  <c r="F56" i="37"/>
  <c r="F42" i="13" s="1"/>
  <c r="F52" i="37"/>
  <c r="F38" i="13" s="1"/>
  <c r="F48" i="37"/>
  <c r="F51" i="37"/>
  <c r="F37" i="13" s="1"/>
  <c r="F54" i="37"/>
  <c r="F40" i="13" s="1"/>
  <c r="L136" i="37"/>
  <c r="L144" i="37"/>
  <c r="G236" i="53"/>
  <c r="D236" i="53"/>
  <c r="W200" i="37"/>
  <c r="AA200" i="37" s="1"/>
  <c r="D121" i="4"/>
  <c r="C354" i="4" s="1"/>
  <c r="X20" i="55"/>
  <c r="F83" i="37"/>
  <c r="F86" i="37"/>
  <c r="F138" i="37" s="1"/>
  <c r="F93" i="37"/>
  <c r="F145" i="37" s="1"/>
  <c r="F90" i="37"/>
  <c r="F142" i="37" s="1"/>
  <c r="F84" i="37"/>
  <c r="F136" i="37" s="1"/>
  <c r="F81" i="37"/>
  <c r="F82" i="37"/>
  <c r="F134" i="37" s="1"/>
  <c r="F88" i="37"/>
  <c r="V210" i="37"/>
  <c r="M95" i="44" s="1"/>
  <c r="F89" i="37"/>
  <c r="F141" i="37" s="1"/>
  <c r="F96" i="37"/>
  <c r="F148" i="37" s="1"/>
  <c r="F77" i="37"/>
  <c r="F129" i="37" s="1"/>
  <c r="F94" i="37"/>
  <c r="E61" i="37"/>
  <c r="E47" i="13" s="1"/>
  <c r="E53" i="37"/>
  <c r="E39" i="13" s="1"/>
  <c r="E58" i="37"/>
  <c r="E44" i="13" s="1"/>
  <c r="E66" i="37"/>
  <c r="E52" i="13" s="1"/>
  <c r="E50" i="37"/>
  <c r="E36" i="13" s="1"/>
  <c r="E63" i="37"/>
  <c r="E49" i="13" s="1"/>
  <c r="E55" i="37"/>
  <c r="E41" i="13" s="1"/>
  <c r="E60" i="37"/>
  <c r="E46" i="13" s="1"/>
  <c r="E52" i="37"/>
  <c r="E38" i="13" s="1"/>
  <c r="E51" i="37"/>
  <c r="E37" i="13" s="1"/>
  <c r="E48" i="37"/>
  <c r="E65" i="37"/>
  <c r="E51" i="13" s="1"/>
  <c r="E57" i="37"/>
  <c r="E43" i="13" s="1"/>
  <c r="E49" i="37"/>
  <c r="E35" i="13" s="1"/>
  <c r="E64" i="37"/>
  <c r="E50" i="13" s="1"/>
  <c r="E62" i="37"/>
  <c r="E48" i="13" s="1"/>
  <c r="E54" i="37"/>
  <c r="E40" i="13" s="1"/>
  <c r="E56" i="37"/>
  <c r="E42" i="13" s="1"/>
  <c r="E67" i="37"/>
  <c r="E53" i="13" s="1"/>
  <c r="E59" i="37"/>
  <c r="E45" i="13" s="1"/>
  <c r="L200" i="37"/>
  <c r="E184" i="20"/>
  <c r="F85" i="37"/>
  <c r="F137" i="37" s="1"/>
  <c r="F79" i="37"/>
  <c r="F131" i="37" s="1"/>
  <c r="K130" i="37"/>
  <c r="H130" i="37"/>
  <c r="D130" i="37"/>
  <c r="C353" i="4"/>
  <c r="C92" i="4"/>
  <c r="K146" i="20"/>
  <c r="C171" i="20"/>
  <c r="K171" i="20" s="1"/>
  <c r="C70" i="20" s="1"/>
  <c r="K153" i="20"/>
  <c r="C178" i="20"/>
  <c r="K178" i="20" s="1"/>
  <c r="C77" i="20" s="1"/>
  <c r="E131" i="7"/>
  <c r="G131" i="7" s="1"/>
  <c r="I131" i="7" s="1"/>
  <c r="C88" i="7" s="1"/>
  <c r="K155" i="20"/>
  <c r="C180" i="20"/>
  <c r="K180" i="20" s="1"/>
  <c r="C79" i="20" s="1"/>
  <c r="I138" i="37"/>
  <c r="K136" i="37"/>
  <c r="G146" i="37"/>
  <c r="H144" i="37"/>
  <c r="C138" i="37"/>
  <c r="L130" i="37"/>
  <c r="N120" i="37"/>
  <c r="J24" i="13" s="1"/>
  <c r="M139" i="37"/>
  <c r="M146" i="37"/>
  <c r="H132" i="37"/>
  <c r="J138" i="37"/>
  <c r="L131" i="37"/>
  <c r="G61" i="37"/>
  <c r="G53" i="37"/>
  <c r="G64" i="37"/>
  <c r="G56" i="37"/>
  <c r="G48" i="37"/>
  <c r="G67" i="37"/>
  <c r="G59" i="37"/>
  <c r="G51" i="37"/>
  <c r="G62" i="37"/>
  <c r="G54" i="37"/>
  <c r="G65" i="37"/>
  <c r="G57" i="37"/>
  <c r="G49" i="37"/>
  <c r="G60" i="37"/>
  <c r="G52" i="37"/>
  <c r="G63" i="37"/>
  <c r="G55" i="37"/>
  <c r="G66" i="37"/>
  <c r="G58" i="37"/>
  <c r="G50" i="37"/>
  <c r="W354" i="4"/>
  <c r="Y121" i="4"/>
  <c r="K149" i="20"/>
  <c r="C174" i="20"/>
  <c r="K174" i="20" s="1"/>
  <c r="C73" i="20" s="1"/>
  <c r="E159" i="20"/>
  <c r="K156" i="20"/>
  <c r="C181" i="20"/>
  <c r="K181" i="20" s="1"/>
  <c r="C80" i="20" s="1"/>
  <c r="E123" i="37"/>
  <c r="M147" i="37"/>
  <c r="M137" i="37"/>
  <c r="N110" i="37"/>
  <c r="J14" i="13" s="1"/>
  <c r="N106" i="37"/>
  <c r="J10" i="13" s="1"/>
  <c r="M138" i="37"/>
  <c r="D159" i="20"/>
  <c r="D131" i="37"/>
  <c r="W353" i="4"/>
  <c r="Y92" i="4"/>
  <c r="K142" i="20"/>
  <c r="C167" i="20"/>
  <c r="K167" i="20" s="1"/>
  <c r="C66" i="20" s="1"/>
  <c r="K145" i="20"/>
  <c r="C170" i="20"/>
  <c r="K170" i="20" s="1"/>
  <c r="C69" i="20" s="1"/>
  <c r="M80" i="44"/>
  <c r="M72" i="44"/>
  <c r="M64" i="44"/>
  <c r="M83" i="44"/>
  <c r="M75" i="44"/>
  <c r="M67" i="44"/>
  <c r="M59" i="44"/>
  <c r="M51" i="44"/>
  <c r="M45" i="44"/>
  <c r="M86" i="44"/>
  <c r="M78" i="44"/>
  <c r="M70" i="44"/>
  <c r="M62" i="44"/>
  <c r="M54" i="44"/>
  <c r="M42" i="44"/>
  <c r="M40" i="44"/>
  <c r="M81" i="44"/>
  <c r="M73" i="44"/>
  <c r="M65" i="44"/>
  <c r="M57" i="44"/>
  <c r="M49" i="44"/>
  <c r="M47" i="44"/>
  <c r="M84" i="44"/>
  <c r="M76" i="44"/>
  <c r="M68" i="44"/>
  <c r="M60" i="44"/>
  <c r="M52" i="44"/>
  <c r="M44" i="44"/>
  <c r="M79" i="44"/>
  <c r="M71" i="44"/>
  <c r="M63" i="44"/>
  <c r="M55" i="44"/>
  <c r="M82" i="44"/>
  <c r="M50" i="44"/>
  <c r="M77" i="44"/>
  <c r="M43" i="44"/>
  <c r="M38" i="44"/>
  <c r="M36" i="44"/>
  <c r="M34" i="44"/>
  <c r="M32" i="44"/>
  <c r="M30" i="44"/>
  <c r="M28" i="44"/>
  <c r="M26" i="44"/>
  <c r="M24" i="44"/>
  <c r="M22" i="44"/>
  <c r="M20" i="44"/>
  <c r="M18" i="44"/>
  <c r="M16" i="44"/>
  <c r="M14" i="44"/>
  <c r="M12" i="44"/>
  <c r="M7" i="44"/>
  <c r="M85" i="44"/>
  <c r="M41" i="44"/>
  <c r="M10" i="44"/>
  <c r="M66" i="44"/>
  <c r="M56" i="44"/>
  <c r="M46" i="44"/>
  <c r="M5" i="44"/>
  <c r="M61" i="44"/>
  <c r="M48" i="44"/>
  <c r="M39" i="44"/>
  <c r="M37" i="44"/>
  <c r="M35" i="44"/>
  <c r="M33" i="44"/>
  <c r="M31" i="44"/>
  <c r="M29" i="44"/>
  <c r="M27" i="44"/>
  <c r="M25" i="44"/>
  <c r="M23" i="44"/>
  <c r="M21" i="44"/>
  <c r="M19" i="44"/>
  <c r="M17" i="44"/>
  <c r="M15" i="44"/>
  <c r="M13" i="44"/>
  <c r="M8" i="44"/>
  <c r="M69" i="44"/>
  <c r="M74" i="44"/>
  <c r="M11" i="44"/>
  <c r="M53" i="44"/>
  <c r="M58" i="44"/>
  <c r="M6" i="44"/>
  <c r="M9" i="44"/>
  <c r="U206" i="37"/>
  <c r="C176" i="20"/>
  <c r="K176" i="20" s="1"/>
  <c r="C75" i="20" s="1"/>
  <c r="K151" i="20"/>
  <c r="I133" i="37"/>
  <c r="G141" i="37"/>
  <c r="J133" i="37"/>
  <c r="H145" i="37"/>
  <c r="I142" i="37"/>
  <c r="C129" i="37"/>
  <c r="K132" i="37"/>
  <c r="M145" i="37"/>
  <c r="N114" i="37"/>
  <c r="J18" i="13" s="1"/>
  <c r="K138" i="37"/>
  <c r="D184" i="20"/>
  <c r="D136" i="37"/>
  <c r="I130" i="37"/>
  <c r="D355" i="4"/>
  <c r="D151" i="4"/>
  <c r="K141" i="20"/>
  <c r="C166" i="20"/>
  <c r="K166" i="20" s="1"/>
  <c r="C65" i="20" s="1"/>
  <c r="J159" i="20"/>
  <c r="J164" i="20"/>
  <c r="J184" i="20" s="1"/>
  <c r="C177" i="20"/>
  <c r="K177" i="20" s="1"/>
  <c r="C76" i="20" s="1"/>
  <c r="K152" i="20"/>
  <c r="M143" i="37"/>
  <c r="C136" i="37"/>
  <c r="I141" i="37"/>
  <c r="H134" i="37"/>
  <c r="G140" i="37"/>
  <c r="C132" i="37"/>
  <c r="H148" i="37"/>
  <c r="N122" i="37"/>
  <c r="J26" i="13" s="1"/>
  <c r="L138" i="37"/>
  <c r="D138" i="37"/>
  <c r="C144" i="37"/>
  <c r="K154" i="20"/>
  <c r="C179" i="20"/>
  <c r="K179" i="20" s="1"/>
  <c r="C78" i="20" s="1"/>
  <c r="C6" i="44"/>
  <c r="C9" i="44"/>
  <c r="C12" i="44"/>
  <c r="C7" i="44"/>
  <c r="C10" i="44"/>
  <c r="C11" i="44"/>
  <c r="C8" i="44"/>
  <c r="C5" i="44"/>
  <c r="G159" i="20"/>
  <c r="G164" i="20"/>
  <c r="G184" i="20" s="1"/>
  <c r="C172" i="20"/>
  <c r="K172" i="20" s="1"/>
  <c r="C71" i="20" s="1"/>
  <c r="K147" i="20"/>
  <c r="K142" i="37"/>
  <c r="H142" i="37"/>
  <c r="G148" i="37"/>
  <c r="C140" i="37"/>
  <c r="H131" i="37"/>
  <c r="J145" i="37"/>
  <c r="C134" i="37"/>
  <c r="M142" i="37"/>
  <c r="D148" i="37"/>
  <c r="L146" i="37"/>
  <c r="D146" i="37"/>
  <c r="C146" i="37"/>
  <c r="J141" i="37"/>
  <c r="H128" i="55"/>
  <c r="H91" i="55" s="1"/>
  <c r="C173" i="20"/>
  <c r="K173" i="20" s="1"/>
  <c r="C72" i="20" s="1"/>
  <c r="K148" i="20"/>
  <c r="H141" i="37"/>
  <c r="I134" i="37"/>
  <c r="H138" i="37"/>
  <c r="D132" i="37"/>
  <c r="G142" i="37"/>
  <c r="K148" i="37"/>
  <c r="M130" i="37"/>
  <c r="M144" i="37"/>
  <c r="N112" i="37"/>
  <c r="J16" i="13" s="1"/>
  <c r="M134" i="37"/>
  <c r="D134" i="37"/>
  <c r="K144" i="37"/>
  <c r="J146" i="37"/>
  <c r="Z151" i="4"/>
  <c r="X355" i="4"/>
  <c r="K150" i="20"/>
  <c r="C175" i="20"/>
  <c r="K175" i="20" s="1"/>
  <c r="C74" i="20" s="1"/>
  <c r="K158" i="20"/>
  <c r="C183" i="20"/>
  <c r="K183" i="20" s="1"/>
  <c r="C82" i="20" s="1"/>
  <c r="K139" i="20"/>
  <c r="K159" i="20" s="1"/>
  <c r="C164" i="20"/>
  <c r="C159" i="20"/>
  <c r="C168" i="20"/>
  <c r="K168" i="20" s="1"/>
  <c r="C67" i="20" s="1"/>
  <c r="K143" i="20"/>
  <c r="H140" i="37"/>
  <c r="K133" i="37"/>
  <c r="I140" i="37"/>
  <c r="J137" i="37"/>
  <c r="H146" i="37"/>
  <c r="N104" i="37"/>
  <c r="J8" i="13" s="1"/>
  <c r="J132" i="37"/>
  <c r="D144" i="37"/>
  <c r="C130" i="37"/>
  <c r="L134" i="37"/>
  <c r="D142" i="37"/>
  <c r="K146" i="37"/>
  <c r="K140" i="37"/>
  <c r="C133" i="37"/>
  <c r="J140" i="37"/>
  <c r="C236" i="10"/>
  <c r="K157" i="20"/>
  <c r="C182" i="20"/>
  <c r="K182" i="20" s="1"/>
  <c r="C81" i="20" s="1"/>
  <c r="I159" i="20"/>
  <c r="I164" i="20"/>
  <c r="I184" i="20" s="1"/>
  <c r="K140" i="20"/>
  <c r="C165" i="20"/>
  <c r="K165" i="20" s="1"/>
  <c r="C64" i="20" s="1"/>
  <c r="C169" i="20"/>
  <c r="K169" i="20" s="1"/>
  <c r="C68" i="20" s="1"/>
  <c r="K144" i="20"/>
  <c r="H139" i="37"/>
  <c r="I148" i="37"/>
  <c r="L129" i="37"/>
  <c r="H137" i="37"/>
  <c r="M135" i="37"/>
  <c r="J129" i="37"/>
  <c r="C142" i="37"/>
  <c r="M141" i="37"/>
  <c r="L142" i="37"/>
  <c r="C148" i="37"/>
  <c r="I139" i="37"/>
  <c r="J148" i="37"/>
  <c r="D123" i="10"/>
  <c r="C123" i="10"/>
  <c r="D115" i="10"/>
  <c r="C115" i="10"/>
  <c r="D133" i="10"/>
  <c r="C133" i="10"/>
  <c r="H160" i="10"/>
  <c r="H159" i="10"/>
  <c r="H158" i="10"/>
  <c r="H157" i="10"/>
  <c r="H156" i="10"/>
  <c r="H155" i="10"/>
  <c r="H154" i="10"/>
  <c r="H153" i="10"/>
  <c r="H152" i="10"/>
  <c r="H151" i="10"/>
  <c r="H150" i="10"/>
  <c r="H149" i="10"/>
  <c r="H148" i="10"/>
  <c r="H147" i="10"/>
  <c r="H146" i="10"/>
  <c r="H145" i="10"/>
  <c r="H144" i="10"/>
  <c r="H143" i="10"/>
  <c r="H142" i="10"/>
  <c r="H141" i="10"/>
  <c r="D113" i="10"/>
  <c r="C113" i="10"/>
  <c r="D136" i="10"/>
  <c r="C136" i="10"/>
  <c r="D125" i="10"/>
  <c r="C125" i="10"/>
  <c r="F160" i="10"/>
  <c r="F159" i="10"/>
  <c r="F158" i="10"/>
  <c r="F150" i="10"/>
  <c r="F142" i="10"/>
  <c r="F153" i="10"/>
  <c r="F145" i="10"/>
  <c r="F156" i="10"/>
  <c r="F148" i="10"/>
  <c r="F151" i="10"/>
  <c r="F143" i="10"/>
  <c r="F154" i="10"/>
  <c r="F146" i="10"/>
  <c r="F157" i="10"/>
  <c r="F149" i="10"/>
  <c r="F141" i="10"/>
  <c r="F152" i="10"/>
  <c r="F144" i="10"/>
  <c r="F155" i="10"/>
  <c r="F147" i="10"/>
  <c r="E155" i="10"/>
  <c r="E147" i="10"/>
  <c r="E160" i="10"/>
  <c r="E158" i="10"/>
  <c r="E150" i="10"/>
  <c r="E142" i="10"/>
  <c r="E153" i="10"/>
  <c r="E145" i="10"/>
  <c r="E156" i="10"/>
  <c r="E148" i="10"/>
  <c r="E151" i="10"/>
  <c r="E143" i="10"/>
  <c r="E159" i="10"/>
  <c r="E154" i="10"/>
  <c r="E146" i="10"/>
  <c r="E157" i="10"/>
  <c r="E149" i="10"/>
  <c r="E141" i="10"/>
  <c r="E152" i="10"/>
  <c r="E144" i="10"/>
  <c r="D112" i="10"/>
  <c r="C112" i="10"/>
  <c r="D122" i="10"/>
  <c r="C122" i="10"/>
  <c r="D135" i="10"/>
  <c r="C135" i="10"/>
  <c r="D114" i="10"/>
  <c r="C114" i="10"/>
  <c r="D132" i="10"/>
  <c r="C132" i="10"/>
  <c r="G160" i="10"/>
  <c r="G159" i="10"/>
  <c r="G158" i="10"/>
  <c r="G157" i="10"/>
  <c r="G156" i="10"/>
  <c r="G155" i="10"/>
  <c r="G154" i="10"/>
  <c r="G153" i="10"/>
  <c r="G152" i="10"/>
  <c r="G151" i="10"/>
  <c r="G150" i="10"/>
  <c r="G149" i="10"/>
  <c r="G148" i="10"/>
  <c r="G147" i="10"/>
  <c r="G146" i="10"/>
  <c r="G145" i="10"/>
  <c r="G144" i="10"/>
  <c r="G143" i="10"/>
  <c r="G142" i="10"/>
  <c r="G141" i="10"/>
  <c r="D124" i="10"/>
  <c r="C124" i="10"/>
  <c r="D152" i="10"/>
  <c r="D144" i="10"/>
  <c r="D155" i="10"/>
  <c r="D147" i="10"/>
  <c r="D160" i="10"/>
  <c r="D158" i="10"/>
  <c r="D150" i="10"/>
  <c r="D142" i="10"/>
  <c r="D153" i="10"/>
  <c r="D145" i="10"/>
  <c r="D156" i="10"/>
  <c r="D148" i="10"/>
  <c r="D151" i="10"/>
  <c r="D143" i="10"/>
  <c r="D159" i="10"/>
  <c r="D154" i="10"/>
  <c r="D146" i="10"/>
  <c r="D157" i="10"/>
  <c r="D149" i="10"/>
  <c r="D141" i="10"/>
  <c r="D116" i="10"/>
  <c r="C116" i="10"/>
  <c r="D134" i="10"/>
  <c r="C134" i="10"/>
  <c r="D126" i="10"/>
  <c r="C126" i="10"/>
  <c r="B52" i="33"/>
  <c r="B45" i="33"/>
  <c r="B50" i="33"/>
  <c r="B44" i="33"/>
  <c r="B43" i="33"/>
  <c r="B51" i="33"/>
  <c r="B49" i="33"/>
  <c r="B48" i="33"/>
  <c r="B47" i="33"/>
  <c r="B53" i="33"/>
  <c r="B46" i="33"/>
  <c r="F10" i="55" l="1"/>
  <c r="F9" i="55"/>
  <c r="G10" i="55"/>
  <c r="G9" i="55"/>
  <c r="H9" i="55"/>
  <c r="H10" i="55"/>
  <c r="Z18" i="55"/>
  <c r="E8" i="55"/>
  <c r="Z7" i="55" s="1"/>
  <c r="X18" i="55"/>
  <c r="C8" i="55"/>
  <c r="X7" i="55" s="1"/>
  <c r="Y18" i="55"/>
  <c r="D8" i="55"/>
  <c r="Y7" i="55" s="1"/>
  <c r="S178" i="7"/>
  <c r="G111" i="53"/>
  <c r="I111" i="53" s="1"/>
  <c r="E277" i="7"/>
  <c r="G277" i="7"/>
  <c r="E279" i="7"/>
  <c r="AB7" i="55"/>
  <c r="AC7" i="55"/>
  <c r="AA7" i="55"/>
  <c r="H236" i="53"/>
  <c r="E84" i="53"/>
  <c r="G121" i="53"/>
  <c r="I121" i="53" s="1"/>
  <c r="G131" i="53"/>
  <c r="I131" i="53" s="1"/>
  <c r="H211" i="53"/>
  <c r="E236" i="53"/>
  <c r="H186" i="53"/>
  <c r="C186" i="10"/>
  <c r="C211" i="10"/>
  <c r="D16" i="38"/>
  <c r="E17" i="55" s="1"/>
  <c r="Z16" i="55" s="1"/>
  <c r="E211" i="53"/>
  <c r="M68" i="37"/>
  <c r="C121" i="4"/>
  <c r="B354" i="4" s="1"/>
  <c r="K135" i="37"/>
  <c r="K141" i="37"/>
  <c r="C226" i="53"/>
  <c r="I226" i="53" s="1"/>
  <c r="C176" i="53"/>
  <c r="I176" i="53" s="1"/>
  <c r="C201" i="53"/>
  <c r="I201" i="53" s="1"/>
  <c r="C200" i="53"/>
  <c r="I200" i="53" s="1"/>
  <c r="C225" i="53"/>
  <c r="I225" i="53" s="1"/>
  <c r="C175" i="53"/>
  <c r="I175" i="53" s="1"/>
  <c r="I151" i="53"/>
  <c r="C203" i="53"/>
  <c r="I203" i="53" s="1"/>
  <c r="C228" i="53"/>
  <c r="I228" i="53" s="1"/>
  <c r="C178" i="53"/>
  <c r="I178" i="53" s="1"/>
  <c r="C202" i="53"/>
  <c r="I202" i="53" s="1"/>
  <c r="C177" i="53"/>
  <c r="I177" i="53" s="1"/>
  <c r="C227" i="53"/>
  <c r="I227" i="53" s="1"/>
  <c r="C171" i="53"/>
  <c r="I171" i="53" s="1"/>
  <c r="C221" i="53"/>
  <c r="I221" i="53" s="1"/>
  <c r="C196" i="53"/>
  <c r="I196" i="53" s="1"/>
  <c r="C180" i="53"/>
  <c r="I180" i="53" s="1"/>
  <c r="C205" i="53"/>
  <c r="I205" i="53" s="1"/>
  <c r="C230" i="53"/>
  <c r="I230" i="53" s="1"/>
  <c r="C229" i="53"/>
  <c r="I229" i="53" s="1"/>
  <c r="C179" i="53"/>
  <c r="I179" i="53" s="1"/>
  <c r="C204" i="53"/>
  <c r="I204" i="53" s="1"/>
  <c r="C191" i="53"/>
  <c r="C216" i="53"/>
  <c r="C161" i="53"/>
  <c r="C166" i="53"/>
  <c r="C207" i="53"/>
  <c r="I207" i="53" s="1"/>
  <c r="C232" i="53"/>
  <c r="I232" i="53" s="1"/>
  <c r="C182" i="53"/>
  <c r="I182" i="53" s="1"/>
  <c r="C231" i="53"/>
  <c r="I231" i="53" s="1"/>
  <c r="C206" i="53"/>
  <c r="I206" i="53" s="1"/>
  <c r="C181" i="53"/>
  <c r="I181" i="53" s="1"/>
  <c r="C183" i="53"/>
  <c r="I183" i="53" s="1"/>
  <c r="C233" i="53"/>
  <c r="I233" i="53" s="1"/>
  <c r="C208" i="53"/>
  <c r="I208" i="53" s="1"/>
  <c r="I154" i="53"/>
  <c r="C220" i="53"/>
  <c r="I220" i="53" s="1"/>
  <c r="C195" i="53"/>
  <c r="I195" i="53" s="1"/>
  <c r="C170" i="53"/>
  <c r="I170" i="53" s="1"/>
  <c r="C192" i="53"/>
  <c r="I192" i="53" s="1"/>
  <c r="C217" i="53"/>
  <c r="I217" i="53" s="1"/>
  <c r="C167" i="53"/>
  <c r="I167" i="53" s="1"/>
  <c r="C210" i="53"/>
  <c r="I210" i="53" s="1"/>
  <c r="C185" i="53"/>
  <c r="I185" i="53" s="1"/>
  <c r="C235" i="53"/>
  <c r="I235" i="53" s="1"/>
  <c r="C234" i="53"/>
  <c r="I234" i="53" s="1"/>
  <c r="C209" i="53"/>
  <c r="I209" i="53" s="1"/>
  <c r="C184" i="53"/>
  <c r="I184" i="53" s="1"/>
  <c r="I157" i="53"/>
  <c r="I142" i="53"/>
  <c r="C172" i="53"/>
  <c r="I172" i="53" s="1"/>
  <c r="C197" i="53"/>
  <c r="I197" i="53" s="1"/>
  <c r="C222" i="53"/>
  <c r="I222" i="53" s="1"/>
  <c r="C169" i="53"/>
  <c r="I169" i="53" s="1"/>
  <c r="C219" i="53"/>
  <c r="I219" i="53" s="1"/>
  <c r="C194" i="53"/>
  <c r="I194" i="53" s="1"/>
  <c r="I147" i="53"/>
  <c r="C193" i="53"/>
  <c r="I193" i="53" s="1"/>
  <c r="C218" i="53"/>
  <c r="I218" i="53" s="1"/>
  <c r="C168" i="53"/>
  <c r="I168" i="53" s="1"/>
  <c r="I145" i="53"/>
  <c r="I153" i="53"/>
  <c r="I150" i="53"/>
  <c r="C224" i="53"/>
  <c r="I224" i="53" s="1"/>
  <c r="C174" i="53"/>
  <c r="I174" i="53" s="1"/>
  <c r="C199" i="53"/>
  <c r="I199" i="53" s="1"/>
  <c r="C198" i="53"/>
  <c r="I198" i="53" s="1"/>
  <c r="C223" i="53"/>
  <c r="I223" i="53" s="1"/>
  <c r="C173" i="53"/>
  <c r="I173" i="53" s="1"/>
  <c r="I144" i="53"/>
  <c r="I155" i="53"/>
  <c r="M97" i="37"/>
  <c r="J144" i="37"/>
  <c r="L135" i="37"/>
  <c r="C139" i="37"/>
  <c r="M129" i="37"/>
  <c r="L145" i="37"/>
  <c r="H129" i="37"/>
  <c r="C141" i="37"/>
  <c r="M133" i="37"/>
  <c r="D143" i="37"/>
  <c r="K137" i="37"/>
  <c r="G129" i="37"/>
  <c r="E186" i="53"/>
  <c r="N94" i="37"/>
  <c r="I24" i="13" s="1"/>
  <c r="N108" i="37"/>
  <c r="J12" i="13" s="1"/>
  <c r="J142" i="37"/>
  <c r="N142" i="37" s="1"/>
  <c r="C20" i="13" s="1"/>
  <c r="F20" i="13" s="1"/>
  <c r="D141" i="55" s="1"/>
  <c r="E104" i="55" s="1"/>
  <c r="N107" i="37"/>
  <c r="J11" i="13" s="1"/>
  <c r="L141" i="37"/>
  <c r="K129" i="37"/>
  <c r="L137" i="37"/>
  <c r="N105" i="37"/>
  <c r="J9" i="13" s="1"/>
  <c r="G123" i="37"/>
  <c r="H123" i="37"/>
  <c r="L139" i="37"/>
  <c r="I145" i="37"/>
  <c r="N78" i="37"/>
  <c r="I8" i="13" s="1"/>
  <c r="D141" i="37"/>
  <c r="I129" i="37"/>
  <c r="C135" i="37"/>
  <c r="G97" i="37"/>
  <c r="C137" i="37"/>
  <c r="K139" i="37"/>
  <c r="C147" i="37"/>
  <c r="N81" i="37"/>
  <c r="I11" i="13" s="1"/>
  <c r="H68" i="37"/>
  <c r="J123" i="37"/>
  <c r="K131" i="37"/>
  <c r="N131" i="37" s="1"/>
  <c r="C9" i="13" s="1"/>
  <c r="F9" i="13" s="1"/>
  <c r="D130" i="55" s="1"/>
  <c r="E93" i="55" s="1"/>
  <c r="J143" i="37"/>
  <c r="L133" i="37"/>
  <c r="C97" i="37"/>
  <c r="F135" i="37"/>
  <c r="N117" i="37"/>
  <c r="J21" i="13" s="1"/>
  <c r="D135" i="37"/>
  <c r="H143" i="37"/>
  <c r="N95" i="44"/>
  <c r="N99" i="44"/>
  <c r="C246" i="37"/>
  <c r="H97" i="37"/>
  <c r="C123" i="37"/>
  <c r="L54" i="13"/>
  <c r="K145" i="37"/>
  <c r="N111" i="37"/>
  <c r="J15" i="13" s="1"/>
  <c r="N119" i="37"/>
  <c r="J23" i="13" s="1"/>
  <c r="D147" i="37"/>
  <c r="L68" i="37"/>
  <c r="K143" i="37"/>
  <c r="D145" i="37"/>
  <c r="X222" i="37"/>
  <c r="I97" i="37"/>
  <c r="N121" i="37"/>
  <c r="J25" i="13" s="1"/>
  <c r="J97" i="37"/>
  <c r="N109" i="37"/>
  <c r="J13" i="13" s="1"/>
  <c r="L97" i="37"/>
  <c r="D246" i="37"/>
  <c r="D123" i="37"/>
  <c r="C54" i="13"/>
  <c r="I123" i="37"/>
  <c r="O222" i="37"/>
  <c r="I54" i="13"/>
  <c r="N113" i="37"/>
  <c r="J17" i="13" s="1"/>
  <c r="N103" i="37"/>
  <c r="J7" i="13" s="1"/>
  <c r="D139" i="37"/>
  <c r="K123" i="37"/>
  <c r="C68" i="37"/>
  <c r="D245" i="37"/>
  <c r="Q237" i="37"/>
  <c r="C245" i="37"/>
  <c r="K147" i="37"/>
  <c r="I68" i="37"/>
  <c r="D97" i="37"/>
  <c r="J54" i="13"/>
  <c r="K97" i="37"/>
  <c r="I137" i="37"/>
  <c r="L123" i="37"/>
  <c r="J68" i="37"/>
  <c r="D42" i="13"/>
  <c r="D54" i="13" s="1"/>
  <c r="D68" i="37"/>
  <c r="N115" i="37"/>
  <c r="J19" i="13" s="1"/>
  <c r="F146" i="37"/>
  <c r="N146" i="37" s="1"/>
  <c r="N87" i="37"/>
  <c r="I17" i="13" s="1"/>
  <c r="I20" i="55"/>
  <c r="AD18" i="55" s="1"/>
  <c r="H111" i="55"/>
  <c r="F73" i="21"/>
  <c r="C238" i="21"/>
  <c r="T178" i="7"/>
  <c r="K23" i="7" s="1"/>
  <c r="F78" i="7"/>
  <c r="U179" i="7"/>
  <c r="L24" i="7" s="1"/>
  <c r="L229" i="7"/>
  <c r="L253" i="7"/>
  <c r="K229" i="7"/>
  <c r="K253" i="7"/>
  <c r="D204" i="7"/>
  <c r="D228" i="7"/>
  <c r="D252" i="7"/>
  <c r="D230" i="7"/>
  <c r="D254" i="7"/>
  <c r="D255" i="7"/>
  <c r="D231" i="7"/>
  <c r="P252" i="7"/>
  <c r="P204" i="7"/>
  <c r="P228" i="7"/>
  <c r="O252" i="7"/>
  <c r="O228" i="7"/>
  <c r="D253" i="7"/>
  <c r="D229" i="7"/>
  <c r="U180" i="7"/>
  <c r="L25" i="7" s="1"/>
  <c r="L230" i="7"/>
  <c r="L254" i="7"/>
  <c r="K255" i="7"/>
  <c r="K231" i="7"/>
  <c r="R252" i="7"/>
  <c r="R204" i="7"/>
  <c r="R228" i="7"/>
  <c r="N252" i="7"/>
  <c r="N228" i="7"/>
  <c r="O204" i="7"/>
  <c r="L228" i="7"/>
  <c r="L252" i="7"/>
  <c r="I229" i="7"/>
  <c r="I253" i="7"/>
  <c r="H277" i="7"/>
  <c r="H204" i="7"/>
  <c r="H252" i="7"/>
  <c r="H228" i="7"/>
  <c r="H254" i="7"/>
  <c r="H230" i="7"/>
  <c r="I254" i="7"/>
  <c r="I230" i="7"/>
  <c r="M228" i="7"/>
  <c r="M252" i="7"/>
  <c r="I204" i="7"/>
  <c r="I252" i="7"/>
  <c r="I228" i="7"/>
  <c r="H253" i="7"/>
  <c r="H229" i="7"/>
  <c r="F255" i="7"/>
  <c r="F231" i="7"/>
  <c r="G252" i="7"/>
  <c r="G228" i="7"/>
  <c r="J229" i="7"/>
  <c r="J253" i="7"/>
  <c r="K254" i="7"/>
  <c r="K230" i="7"/>
  <c r="F279" i="7"/>
  <c r="F254" i="7"/>
  <c r="F230" i="7"/>
  <c r="U181" i="7"/>
  <c r="L26" i="7" s="1"/>
  <c r="L255" i="7"/>
  <c r="L231" i="7"/>
  <c r="J228" i="7"/>
  <c r="J204" i="7"/>
  <c r="J252" i="7"/>
  <c r="K228" i="7"/>
  <c r="K252" i="7"/>
  <c r="F252" i="7"/>
  <c r="F228" i="7"/>
  <c r="I231" i="7"/>
  <c r="I255" i="7"/>
  <c r="J254" i="7"/>
  <c r="J230" i="7"/>
  <c r="J231" i="7"/>
  <c r="J255" i="7"/>
  <c r="H280" i="7"/>
  <c r="H231" i="7"/>
  <c r="H255" i="7"/>
  <c r="D241" i="7"/>
  <c r="D265" i="7"/>
  <c r="K271" i="7"/>
  <c r="K247" i="7"/>
  <c r="F246" i="7"/>
  <c r="F270" i="7"/>
  <c r="I243" i="7"/>
  <c r="I267" i="7"/>
  <c r="R268" i="7"/>
  <c r="R244" i="7"/>
  <c r="J240" i="7"/>
  <c r="J264" i="7"/>
  <c r="J271" i="7"/>
  <c r="J247" i="7"/>
  <c r="H257" i="7"/>
  <c r="H233" i="7"/>
  <c r="D267" i="7"/>
  <c r="D243" i="7"/>
  <c r="J269" i="7"/>
  <c r="J245" i="7"/>
  <c r="F241" i="7"/>
  <c r="F265" i="7"/>
  <c r="I239" i="7"/>
  <c r="I263" i="7"/>
  <c r="U190" i="7"/>
  <c r="L264" i="7"/>
  <c r="L240" i="7"/>
  <c r="F267" i="7"/>
  <c r="F243" i="7"/>
  <c r="H265" i="7"/>
  <c r="H241" i="7"/>
  <c r="I237" i="7"/>
  <c r="I261" i="7"/>
  <c r="F264" i="7"/>
  <c r="F240" i="7"/>
  <c r="F288" i="7"/>
  <c r="F239" i="7"/>
  <c r="F263" i="7"/>
  <c r="D244" i="7"/>
  <c r="D268" i="7"/>
  <c r="P220" i="7"/>
  <c r="P268" i="7"/>
  <c r="P244" i="7"/>
  <c r="H294" i="7"/>
  <c r="H245" i="7"/>
  <c r="H269" i="7"/>
  <c r="M244" i="7"/>
  <c r="M268" i="7"/>
  <c r="U192" i="7"/>
  <c r="L266" i="7"/>
  <c r="L242" i="7"/>
  <c r="U197" i="7"/>
  <c r="L247" i="7"/>
  <c r="L271" i="7"/>
  <c r="H237" i="7"/>
  <c r="H261" i="7"/>
  <c r="U191" i="7"/>
  <c r="L241" i="7"/>
  <c r="L265" i="7"/>
  <c r="I260" i="7"/>
  <c r="I236" i="7"/>
  <c r="K241" i="7"/>
  <c r="K265" i="7"/>
  <c r="I242" i="7"/>
  <c r="I266" i="7"/>
  <c r="J232" i="7"/>
  <c r="J256" i="7"/>
  <c r="D233" i="7"/>
  <c r="D257" i="7"/>
  <c r="D261" i="7"/>
  <c r="D237" i="7"/>
  <c r="U196" i="7"/>
  <c r="L246" i="7"/>
  <c r="L270" i="7"/>
  <c r="F283" i="7"/>
  <c r="F234" i="7"/>
  <c r="F258" i="7"/>
  <c r="I245" i="7"/>
  <c r="I269" i="7"/>
  <c r="K268" i="7"/>
  <c r="K244" i="7"/>
  <c r="G293" i="7"/>
  <c r="G268" i="7"/>
  <c r="G244" i="7"/>
  <c r="I246" i="7"/>
  <c r="I270" i="7"/>
  <c r="O244" i="7"/>
  <c r="O268" i="7"/>
  <c r="F282" i="7"/>
  <c r="F233" i="7"/>
  <c r="F257" i="7"/>
  <c r="J235" i="7"/>
  <c r="J259" i="7"/>
  <c r="H289" i="7"/>
  <c r="H240" i="7"/>
  <c r="H264" i="7"/>
  <c r="U189" i="7"/>
  <c r="L263" i="7"/>
  <c r="L239" i="7"/>
  <c r="H235" i="7"/>
  <c r="H259" i="7"/>
  <c r="U188" i="7"/>
  <c r="L238" i="7"/>
  <c r="L262" i="7"/>
  <c r="U187" i="7"/>
  <c r="L261" i="7"/>
  <c r="L237" i="7"/>
  <c r="U186" i="7"/>
  <c r="L236" i="7"/>
  <c r="L260" i="7"/>
  <c r="D247" i="7"/>
  <c r="D271" i="7"/>
  <c r="D234" i="7"/>
  <c r="D258" i="7"/>
  <c r="K237" i="7"/>
  <c r="K261" i="7"/>
  <c r="R232" i="7"/>
  <c r="R256" i="7"/>
  <c r="I232" i="7"/>
  <c r="I256" i="7"/>
  <c r="U184" i="7"/>
  <c r="L258" i="7"/>
  <c r="L234" i="7"/>
  <c r="U195" i="7"/>
  <c r="L269" i="7"/>
  <c r="L245" i="7"/>
  <c r="O256" i="7"/>
  <c r="O232" i="7"/>
  <c r="D236" i="7"/>
  <c r="D260" i="7"/>
  <c r="K235" i="7"/>
  <c r="K259" i="7"/>
  <c r="D235" i="7"/>
  <c r="D259" i="7"/>
  <c r="F220" i="7"/>
  <c r="F244" i="7"/>
  <c r="F268" i="7"/>
  <c r="I257" i="7"/>
  <c r="I233" i="7"/>
  <c r="J260" i="7"/>
  <c r="J236" i="7"/>
  <c r="K260" i="7"/>
  <c r="K236" i="7"/>
  <c r="N244" i="7"/>
  <c r="N268" i="7"/>
  <c r="F247" i="7"/>
  <c r="F271" i="7"/>
  <c r="K243" i="7"/>
  <c r="K267" i="7"/>
  <c r="I238" i="7"/>
  <c r="I262" i="7"/>
  <c r="U193" i="7"/>
  <c r="L243" i="7"/>
  <c r="L267" i="7"/>
  <c r="D264" i="7"/>
  <c r="D240" i="7"/>
  <c r="P232" i="7"/>
  <c r="P256" i="7"/>
  <c r="H232" i="7"/>
  <c r="H256" i="7"/>
  <c r="I234" i="7"/>
  <c r="I258" i="7"/>
  <c r="U185" i="7"/>
  <c r="L235" i="7"/>
  <c r="L259" i="7"/>
  <c r="K238" i="7"/>
  <c r="K262" i="7"/>
  <c r="K233" i="7"/>
  <c r="K257" i="7"/>
  <c r="J242" i="7"/>
  <c r="J266" i="7"/>
  <c r="F212" i="7"/>
  <c r="F236" i="7"/>
  <c r="F260" i="7"/>
  <c r="J268" i="7"/>
  <c r="J244" i="7"/>
  <c r="K245" i="7"/>
  <c r="K269" i="7"/>
  <c r="N256" i="7"/>
  <c r="N232" i="7"/>
  <c r="J241" i="7"/>
  <c r="J265" i="7"/>
  <c r="K258" i="7"/>
  <c r="K234" i="7"/>
  <c r="F281" i="7"/>
  <c r="F256" i="7"/>
  <c r="F232" i="7"/>
  <c r="H268" i="7"/>
  <c r="H244" i="7"/>
  <c r="D246" i="7"/>
  <c r="D270" i="7"/>
  <c r="J263" i="7"/>
  <c r="J239" i="7"/>
  <c r="K263" i="7"/>
  <c r="K239" i="7"/>
  <c r="I235" i="7"/>
  <c r="I259" i="7"/>
  <c r="H292" i="7"/>
  <c r="H267" i="7"/>
  <c r="H243" i="7"/>
  <c r="D245" i="7"/>
  <c r="D269" i="7"/>
  <c r="F237" i="7"/>
  <c r="F261" i="7"/>
  <c r="F262" i="7"/>
  <c r="F238" i="7"/>
  <c r="U182" i="7"/>
  <c r="L40" i="7" s="1"/>
  <c r="L232" i="7"/>
  <c r="L256" i="7"/>
  <c r="G281" i="7"/>
  <c r="G232" i="7"/>
  <c r="G256" i="7"/>
  <c r="J238" i="7"/>
  <c r="J262" i="7"/>
  <c r="I265" i="7"/>
  <c r="I241" i="7"/>
  <c r="K246" i="7"/>
  <c r="K270" i="7"/>
  <c r="H262" i="7"/>
  <c r="H238" i="7"/>
  <c r="M232" i="7"/>
  <c r="M256" i="7"/>
  <c r="H247" i="7"/>
  <c r="H271" i="7"/>
  <c r="H283" i="7"/>
  <c r="H234" i="7"/>
  <c r="H258" i="7"/>
  <c r="K232" i="7"/>
  <c r="K256" i="7"/>
  <c r="L244" i="7"/>
  <c r="L268" i="7"/>
  <c r="F259" i="7"/>
  <c r="F235" i="7"/>
  <c r="J246" i="7"/>
  <c r="J270" i="7"/>
  <c r="D266" i="7"/>
  <c r="D242" i="7"/>
  <c r="H285" i="7"/>
  <c r="H260" i="7"/>
  <c r="H236" i="7"/>
  <c r="J258" i="7"/>
  <c r="J234" i="7"/>
  <c r="K264" i="7"/>
  <c r="K240" i="7"/>
  <c r="D239" i="7"/>
  <c r="D263" i="7"/>
  <c r="J233" i="7"/>
  <c r="J257" i="7"/>
  <c r="F242" i="7"/>
  <c r="F266" i="7"/>
  <c r="F245" i="7"/>
  <c r="F269" i="7"/>
  <c r="D256" i="7"/>
  <c r="D232" i="7"/>
  <c r="H288" i="7"/>
  <c r="H239" i="7"/>
  <c r="H263" i="7"/>
  <c r="I247" i="7"/>
  <c r="I271" i="7"/>
  <c r="J243" i="7"/>
  <c r="J267" i="7"/>
  <c r="I268" i="7"/>
  <c r="I244" i="7"/>
  <c r="H295" i="7"/>
  <c r="H270" i="7"/>
  <c r="H246" i="7"/>
  <c r="E252" i="7"/>
  <c r="E271" i="7"/>
  <c r="E253" i="7"/>
  <c r="E254" i="7"/>
  <c r="E255" i="7"/>
  <c r="E256" i="7"/>
  <c r="E257" i="7"/>
  <c r="E258" i="7"/>
  <c r="E259" i="7"/>
  <c r="E260" i="7"/>
  <c r="E261" i="7"/>
  <c r="E262" i="7"/>
  <c r="E263" i="7"/>
  <c r="E264" i="7"/>
  <c r="E265" i="7"/>
  <c r="E266" i="7"/>
  <c r="E267" i="7"/>
  <c r="E268" i="7"/>
  <c r="E269" i="7"/>
  <c r="E270" i="7"/>
  <c r="E172" i="7"/>
  <c r="G172" i="7" s="1"/>
  <c r="I172" i="7" s="1"/>
  <c r="E89" i="7" s="1"/>
  <c r="Q252" i="7"/>
  <c r="Q271" i="7"/>
  <c r="Q253" i="7"/>
  <c r="Q254" i="7"/>
  <c r="Q255" i="7"/>
  <c r="Q256" i="7"/>
  <c r="Q257" i="7"/>
  <c r="Q258" i="7"/>
  <c r="Q259" i="7"/>
  <c r="Q260" i="7"/>
  <c r="Q261" i="7"/>
  <c r="Q262" i="7"/>
  <c r="Q263" i="7"/>
  <c r="Q264" i="7"/>
  <c r="Q265" i="7"/>
  <c r="Q266" i="7"/>
  <c r="Q267" i="7"/>
  <c r="Q268" i="7"/>
  <c r="Q269" i="7"/>
  <c r="Q270" i="7"/>
  <c r="C253" i="7"/>
  <c r="C252" i="7"/>
  <c r="C262" i="7"/>
  <c r="C268" i="7"/>
  <c r="C270" i="7"/>
  <c r="C271" i="7"/>
  <c r="C255" i="7"/>
  <c r="C257" i="7"/>
  <c r="C259" i="7"/>
  <c r="C264" i="7"/>
  <c r="C266" i="7"/>
  <c r="C256" i="7"/>
  <c r="C258" i="7"/>
  <c r="C260" i="7"/>
  <c r="C269" i="7"/>
  <c r="C254" i="7"/>
  <c r="C261" i="7"/>
  <c r="C267" i="7"/>
  <c r="C263" i="7"/>
  <c r="C265" i="7"/>
  <c r="C228" i="7"/>
  <c r="C229" i="7"/>
  <c r="C230" i="7"/>
  <c r="C231" i="7"/>
  <c r="C232" i="7"/>
  <c r="C233" i="7"/>
  <c r="C234" i="7"/>
  <c r="C235" i="7"/>
  <c r="C236" i="7"/>
  <c r="C237" i="7"/>
  <c r="C238" i="7"/>
  <c r="C239" i="7"/>
  <c r="C240" i="7"/>
  <c r="C241" i="7"/>
  <c r="C242" i="7"/>
  <c r="C243" i="7"/>
  <c r="C244" i="7"/>
  <c r="C245" i="7"/>
  <c r="C246" i="7"/>
  <c r="C247" i="7"/>
  <c r="C206" i="7"/>
  <c r="C204" i="7"/>
  <c r="E231" i="7"/>
  <c r="E239" i="7"/>
  <c r="E244" i="7"/>
  <c r="E232" i="7"/>
  <c r="E240" i="7"/>
  <c r="E242" i="7"/>
  <c r="E228" i="7"/>
  <c r="E230" i="7"/>
  <c r="E235" i="7"/>
  <c r="E237" i="7"/>
  <c r="E229" i="7"/>
  <c r="E234" i="7"/>
  <c r="E236" i="7"/>
  <c r="E241" i="7"/>
  <c r="E246" i="7"/>
  <c r="E233" i="7"/>
  <c r="E238" i="7"/>
  <c r="E243" i="7"/>
  <c r="E245" i="7"/>
  <c r="E247" i="7"/>
  <c r="E158" i="7"/>
  <c r="G158" i="7" s="1"/>
  <c r="I158" i="7" s="1"/>
  <c r="E75" i="7" s="1"/>
  <c r="Q228" i="7"/>
  <c r="Q240" i="7"/>
  <c r="Q242" i="7"/>
  <c r="Q243" i="7"/>
  <c r="Q244" i="7"/>
  <c r="Q245" i="7"/>
  <c r="Q246" i="7"/>
  <c r="Q247" i="7"/>
  <c r="Q229" i="7"/>
  <c r="Q230" i="7"/>
  <c r="Q231" i="7"/>
  <c r="Q232" i="7"/>
  <c r="Q233" i="7"/>
  <c r="Q234" i="7"/>
  <c r="Q235" i="7"/>
  <c r="Q236" i="7"/>
  <c r="Q237" i="7"/>
  <c r="Q238" i="7"/>
  <c r="Q239" i="7"/>
  <c r="Q241" i="7"/>
  <c r="E152" i="7"/>
  <c r="G152" i="7" s="1"/>
  <c r="I152" i="7" s="1"/>
  <c r="D89" i="7" s="1"/>
  <c r="U194" i="7"/>
  <c r="C284" i="7"/>
  <c r="U178" i="7"/>
  <c r="L23" i="7" s="1"/>
  <c r="F88" i="7"/>
  <c r="T182" i="7"/>
  <c r="E282" i="7"/>
  <c r="F286" i="7"/>
  <c r="S195" i="7"/>
  <c r="F280" i="7"/>
  <c r="M208" i="7"/>
  <c r="M281" i="7"/>
  <c r="N293" i="7"/>
  <c r="N220" i="7"/>
  <c r="M293" i="7"/>
  <c r="M220" i="7"/>
  <c r="O277" i="7"/>
  <c r="O198" i="7"/>
  <c r="O293" i="7"/>
  <c r="O220" i="7"/>
  <c r="N277" i="7"/>
  <c r="N198" i="7"/>
  <c r="N208" i="7"/>
  <c r="N281" i="7"/>
  <c r="M277" i="7"/>
  <c r="M198" i="7"/>
  <c r="E278" i="7"/>
  <c r="O208" i="7"/>
  <c r="O281" i="7"/>
  <c r="S182" i="7"/>
  <c r="C211" i="7"/>
  <c r="C296" i="7"/>
  <c r="H211" i="7"/>
  <c r="C281" i="7"/>
  <c r="H284" i="7"/>
  <c r="E294" i="7"/>
  <c r="T189" i="7"/>
  <c r="T191" i="7"/>
  <c r="T185" i="7"/>
  <c r="T186" i="7"/>
  <c r="T179" i="7"/>
  <c r="K24" i="7" s="1"/>
  <c r="T192" i="7"/>
  <c r="T196" i="7"/>
  <c r="F285" i="7"/>
  <c r="T197" i="7"/>
  <c r="T187" i="7"/>
  <c r="T180" i="7"/>
  <c r="K25" i="7" s="1"/>
  <c r="T184" i="7"/>
  <c r="T181" i="7"/>
  <c r="K26" i="7" s="1"/>
  <c r="T190" i="7"/>
  <c r="T194" i="7"/>
  <c r="T195" i="7"/>
  <c r="T188" i="7"/>
  <c r="E280" i="7"/>
  <c r="T193" i="7"/>
  <c r="T183" i="7"/>
  <c r="C82" i="15"/>
  <c r="C208" i="7"/>
  <c r="I111" i="55"/>
  <c r="F56" i="49"/>
  <c r="E21" i="55" s="1"/>
  <c r="Z19" i="55" s="1"/>
  <c r="N77" i="37"/>
  <c r="I7" i="13" s="1"/>
  <c r="N98" i="44"/>
  <c r="Z237" i="37"/>
  <c r="F133" i="37"/>
  <c r="E118" i="7"/>
  <c r="G118" i="7" s="1"/>
  <c r="I118" i="7" s="1"/>
  <c r="C223" i="7"/>
  <c r="F83" i="7"/>
  <c r="F213" i="7"/>
  <c r="F284" i="7"/>
  <c r="E290" i="7"/>
  <c r="C291" i="7"/>
  <c r="C218" i="7"/>
  <c r="C283" i="7"/>
  <c r="F216" i="7"/>
  <c r="F296" i="7"/>
  <c r="E281" i="7"/>
  <c r="E292" i="7"/>
  <c r="F289" i="7"/>
  <c r="E285" i="7"/>
  <c r="E295" i="7"/>
  <c r="C289" i="7"/>
  <c r="S190" i="7"/>
  <c r="C216" i="7"/>
  <c r="F295" i="7"/>
  <c r="H287" i="7"/>
  <c r="F209" i="7"/>
  <c r="E293" i="7"/>
  <c r="F292" i="7"/>
  <c r="H214" i="7"/>
  <c r="E286" i="7"/>
  <c r="C220" i="7"/>
  <c r="C214" i="7"/>
  <c r="E284" i="7"/>
  <c r="E287" i="7"/>
  <c r="S188" i="7"/>
  <c r="E291" i="7"/>
  <c r="E224" i="7"/>
  <c r="H286" i="7"/>
  <c r="S192" i="7"/>
  <c r="P293" i="7"/>
  <c r="H213" i="7"/>
  <c r="E288" i="7"/>
  <c r="F290" i="7"/>
  <c r="C210" i="7"/>
  <c r="F217" i="7"/>
  <c r="R198" i="7"/>
  <c r="G198" i="7"/>
  <c r="S183" i="7"/>
  <c r="E283" i="7"/>
  <c r="F287" i="7"/>
  <c r="F291" i="7"/>
  <c r="F214" i="7"/>
  <c r="F198" i="7"/>
  <c r="H293" i="7"/>
  <c r="E198" i="7"/>
  <c r="H215" i="7"/>
  <c r="C278" i="7"/>
  <c r="C286" i="7"/>
  <c r="F293" i="7"/>
  <c r="S187" i="7"/>
  <c r="C213" i="7"/>
  <c r="C292" i="7"/>
  <c r="C282" i="7"/>
  <c r="C205" i="7"/>
  <c r="C219" i="7"/>
  <c r="E296" i="7"/>
  <c r="C209" i="7"/>
  <c r="F218" i="7"/>
  <c r="P208" i="7"/>
  <c r="F219" i="7"/>
  <c r="G208" i="7"/>
  <c r="R277" i="7"/>
  <c r="F215" i="7"/>
  <c r="F221" i="7"/>
  <c r="P281" i="7"/>
  <c r="Q198" i="7"/>
  <c r="Q277" i="7"/>
  <c r="F210" i="7"/>
  <c r="R220" i="7"/>
  <c r="R293" i="7"/>
  <c r="L198" i="7"/>
  <c r="F208" i="7"/>
  <c r="F207" i="7"/>
  <c r="G220" i="7"/>
  <c r="F223" i="7"/>
  <c r="Q281" i="7"/>
  <c r="Q208" i="7"/>
  <c r="F206" i="7"/>
  <c r="F294" i="7"/>
  <c r="F277" i="7"/>
  <c r="F222" i="7"/>
  <c r="F211" i="7"/>
  <c r="R281" i="7"/>
  <c r="R208" i="7"/>
  <c r="Q293" i="7"/>
  <c r="Q220" i="7"/>
  <c r="S194" i="7"/>
  <c r="H198" i="7"/>
  <c r="C295" i="7"/>
  <c r="C222" i="7"/>
  <c r="H217" i="7"/>
  <c r="H219" i="7"/>
  <c r="H221" i="7"/>
  <c r="H222" i="7"/>
  <c r="H206" i="7"/>
  <c r="H209" i="7"/>
  <c r="C280" i="7"/>
  <c r="H279" i="7"/>
  <c r="H207" i="7"/>
  <c r="H223" i="7"/>
  <c r="H296" i="7"/>
  <c r="H208" i="7"/>
  <c r="H212" i="7"/>
  <c r="C207" i="7"/>
  <c r="H282" i="7"/>
  <c r="H290" i="7"/>
  <c r="H216" i="7"/>
  <c r="H210" i="7"/>
  <c r="C217" i="7"/>
  <c r="C221" i="7"/>
  <c r="C294" i="7"/>
  <c r="H220" i="7"/>
  <c r="P277" i="7"/>
  <c r="P198" i="7"/>
  <c r="H278" i="7"/>
  <c r="H205" i="7"/>
  <c r="C212" i="7"/>
  <c r="C215" i="7"/>
  <c r="C277" i="7"/>
  <c r="C288" i="7"/>
  <c r="C290" i="7"/>
  <c r="C285" i="7"/>
  <c r="I288" i="7"/>
  <c r="I215" i="7"/>
  <c r="I198" i="7"/>
  <c r="I277" i="7"/>
  <c r="I290" i="7"/>
  <c r="I217" i="7"/>
  <c r="J279" i="7"/>
  <c r="J206" i="7"/>
  <c r="J293" i="7"/>
  <c r="J220" i="7"/>
  <c r="L283" i="7"/>
  <c r="L210" i="7"/>
  <c r="L296" i="7"/>
  <c r="L223" i="7"/>
  <c r="L293" i="7"/>
  <c r="L220" i="7"/>
  <c r="K277" i="7"/>
  <c r="K198" i="7"/>
  <c r="K296" i="7"/>
  <c r="K223" i="7"/>
  <c r="K293" i="7"/>
  <c r="K220" i="7"/>
  <c r="D282" i="7"/>
  <c r="D209" i="7"/>
  <c r="D287" i="7"/>
  <c r="D214" i="7"/>
  <c r="I296" i="7"/>
  <c r="I223" i="7"/>
  <c r="I285" i="7"/>
  <c r="I212" i="7"/>
  <c r="J217" i="7"/>
  <c r="J290" i="7"/>
  <c r="J287" i="7"/>
  <c r="J214" i="7"/>
  <c r="J284" i="7"/>
  <c r="J211" i="7"/>
  <c r="L291" i="7"/>
  <c r="L218" i="7"/>
  <c r="L279" i="7"/>
  <c r="L206" i="7"/>
  <c r="C198" i="7"/>
  <c r="J23" i="7"/>
  <c r="K210" i="7"/>
  <c r="K283" i="7"/>
  <c r="K279" i="7"/>
  <c r="K206" i="7"/>
  <c r="K284" i="7"/>
  <c r="K211" i="7"/>
  <c r="D290" i="7"/>
  <c r="D217" i="7"/>
  <c r="D295" i="7"/>
  <c r="D222" i="7"/>
  <c r="I279" i="7"/>
  <c r="I206" i="7"/>
  <c r="I293" i="7"/>
  <c r="I220" i="7"/>
  <c r="J282" i="7"/>
  <c r="J209" i="7"/>
  <c r="J295" i="7"/>
  <c r="J222" i="7"/>
  <c r="J292" i="7"/>
  <c r="J219" i="7"/>
  <c r="L282" i="7"/>
  <c r="L209" i="7"/>
  <c r="L287" i="7"/>
  <c r="L214" i="7"/>
  <c r="K282" i="7"/>
  <c r="K209" i="7"/>
  <c r="K287" i="7"/>
  <c r="K214" i="7"/>
  <c r="K292" i="7"/>
  <c r="K219" i="7"/>
  <c r="D281" i="7"/>
  <c r="D208" i="7"/>
  <c r="D286" i="7"/>
  <c r="D213" i="7"/>
  <c r="I287" i="7"/>
  <c r="I214" i="7"/>
  <c r="I284" i="7"/>
  <c r="I211" i="7"/>
  <c r="J281" i="7"/>
  <c r="J208" i="7"/>
  <c r="J278" i="7"/>
  <c r="J205" i="7"/>
  <c r="J283" i="7"/>
  <c r="J210" i="7"/>
  <c r="L290" i="7"/>
  <c r="L217" i="7"/>
  <c r="L295" i="7"/>
  <c r="L222" i="7"/>
  <c r="K290" i="7"/>
  <c r="K217" i="7"/>
  <c r="K295" i="7"/>
  <c r="K222" i="7"/>
  <c r="D292" i="7"/>
  <c r="D219" i="7"/>
  <c r="D289" i="7"/>
  <c r="D216" i="7"/>
  <c r="D294" i="7"/>
  <c r="D221" i="7"/>
  <c r="I295" i="7"/>
  <c r="I222" i="7"/>
  <c r="I292" i="7"/>
  <c r="I219" i="7"/>
  <c r="J289" i="7"/>
  <c r="J216" i="7"/>
  <c r="J286" i="7"/>
  <c r="J213" i="7"/>
  <c r="J291" i="7"/>
  <c r="J218" i="7"/>
  <c r="L281" i="7"/>
  <c r="L208" i="7"/>
  <c r="L286" i="7"/>
  <c r="L213" i="7"/>
  <c r="K281" i="7"/>
  <c r="K208" i="7"/>
  <c r="K278" i="7"/>
  <c r="K205" i="7"/>
  <c r="D278" i="7"/>
  <c r="D205" i="7"/>
  <c r="D280" i="7"/>
  <c r="D207" i="7"/>
  <c r="D198" i="7"/>
  <c r="D277" i="7"/>
  <c r="I289" i="7"/>
  <c r="I216" i="7"/>
  <c r="I278" i="7"/>
  <c r="I205" i="7"/>
  <c r="I283" i="7"/>
  <c r="I210" i="7"/>
  <c r="J207" i="7"/>
  <c r="J280" i="7"/>
  <c r="J294" i="7"/>
  <c r="J221" i="7"/>
  <c r="L292" i="7"/>
  <c r="L219" i="7"/>
  <c r="L289" i="7"/>
  <c r="L216" i="7"/>
  <c r="L294" i="7"/>
  <c r="L221" i="7"/>
  <c r="K289" i="7"/>
  <c r="K216" i="7"/>
  <c r="K286" i="7"/>
  <c r="K213" i="7"/>
  <c r="D284" i="7"/>
  <c r="D211" i="7"/>
  <c r="D288" i="7"/>
  <c r="D215" i="7"/>
  <c r="D285" i="7"/>
  <c r="D212" i="7"/>
  <c r="I281" i="7"/>
  <c r="I208" i="7"/>
  <c r="I286" i="7"/>
  <c r="I213" i="7"/>
  <c r="I291" i="7"/>
  <c r="I218" i="7"/>
  <c r="J288" i="7"/>
  <c r="J215" i="7"/>
  <c r="J277" i="7"/>
  <c r="J198" i="7"/>
  <c r="L278" i="7"/>
  <c r="L205" i="7"/>
  <c r="L280" i="7"/>
  <c r="L207" i="7"/>
  <c r="L277" i="7"/>
  <c r="K280" i="7"/>
  <c r="K207" i="7"/>
  <c r="K294" i="7"/>
  <c r="K221" i="7"/>
  <c r="D283" i="7"/>
  <c r="D210" i="7"/>
  <c r="D296" i="7"/>
  <c r="D223" i="7"/>
  <c r="D293" i="7"/>
  <c r="D220" i="7"/>
  <c r="I280" i="7"/>
  <c r="I207" i="7"/>
  <c r="I294" i="7"/>
  <c r="I221" i="7"/>
  <c r="I282" i="7"/>
  <c r="I209" i="7"/>
  <c r="J296" i="7"/>
  <c r="J223" i="7"/>
  <c r="J285" i="7"/>
  <c r="J212" i="7"/>
  <c r="L284" i="7"/>
  <c r="L211" i="7"/>
  <c r="L288" i="7"/>
  <c r="L215" i="7"/>
  <c r="L285" i="7"/>
  <c r="L212" i="7"/>
  <c r="K291" i="7"/>
  <c r="K218" i="7"/>
  <c r="K288" i="7"/>
  <c r="K215" i="7"/>
  <c r="K285" i="7"/>
  <c r="K212" i="7"/>
  <c r="D291" i="7"/>
  <c r="D218" i="7"/>
  <c r="D279" i="7"/>
  <c r="D206" i="7"/>
  <c r="E160" i="7"/>
  <c r="G160" i="7" s="1"/>
  <c r="I160" i="7" s="1"/>
  <c r="E77" i="7" s="1"/>
  <c r="E140" i="7"/>
  <c r="G140" i="7" s="1"/>
  <c r="I140" i="7" s="1"/>
  <c r="D77" i="7" s="1"/>
  <c r="E50" i="44"/>
  <c r="N50" i="44" s="1"/>
  <c r="E44" i="44"/>
  <c r="N44" i="44" s="1"/>
  <c r="E28" i="44"/>
  <c r="N28" i="44" s="1"/>
  <c r="E66" i="44"/>
  <c r="N66" i="44" s="1"/>
  <c r="E72" i="44"/>
  <c r="N72" i="44" s="1"/>
  <c r="E86" i="44"/>
  <c r="N86" i="44" s="1"/>
  <c r="E73" i="44"/>
  <c r="N73" i="44" s="1"/>
  <c r="E60" i="44"/>
  <c r="N60" i="44" s="1"/>
  <c r="E61" i="44"/>
  <c r="N61" i="44" s="1"/>
  <c r="E32" i="44"/>
  <c r="N32" i="44" s="1"/>
  <c r="E16" i="44"/>
  <c r="N16" i="44" s="1"/>
  <c r="E10" i="44"/>
  <c r="N10" i="44" s="1"/>
  <c r="E31" i="44"/>
  <c r="N31" i="44" s="1"/>
  <c r="E15" i="44"/>
  <c r="N15" i="44" s="1"/>
  <c r="E46" i="44"/>
  <c r="N46" i="44" s="1"/>
  <c r="E64" i="44"/>
  <c r="N64" i="44" s="1"/>
  <c r="E78" i="44"/>
  <c r="N78" i="44" s="1"/>
  <c r="E65" i="44"/>
  <c r="N65" i="44" s="1"/>
  <c r="E52" i="44"/>
  <c r="N52" i="44" s="1"/>
  <c r="E48" i="44"/>
  <c r="N48" i="44" s="1"/>
  <c r="E30" i="44"/>
  <c r="N30" i="44" s="1"/>
  <c r="E14" i="44"/>
  <c r="N14" i="44" s="1"/>
  <c r="E43" i="44"/>
  <c r="N43" i="44" s="1"/>
  <c r="E29" i="44"/>
  <c r="N29" i="44" s="1"/>
  <c r="E13" i="44"/>
  <c r="N13" i="44" s="1"/>
  <c r="E56" i="44"/>
  <c r="N56" i="44" s="1"/>
  <c r="E83" i="44"/>
  <c r="N83" i="44" s="1"/>
  <c r="E27" i="44"/>
  <c r="N27" i="44" s="1"/>
  <c r="E75" i="44"/>
  <c r="N75" i="44" s="1"/>
  <c r="E62" i="44"/>
  <c r="N62" i="44" s="1"/>
  <c r="E49" i="44"/>
  <c r="N49" i="44" s="1"/>
  <c r="E79" i="44"/>
  <c r="N79" i="44" s="1"/>
  <c r="E69" i="44"/>
  <c r="N69" i="44" s="1"/>
  <c r="E26" i="44"/>
  <c r="N26" i="44" s="1"/>
  <c r="E82" i="44"/>
  <c r="N82" i="44" s="1"/>
  <c r="E85" i="44"/>
  <c r="N85" i="44" s="1"/>
  <c r="E25" i="44"/>
  <c r="N25" i="44" s="1"/>
  <c r="E6" i="44"/>
  <c r="N6" i="44" s="1"/>
  <c r="E54" i="44"/>
  <c r="N54" i="44" s="1"/>
  <c r="E71" i="44"/>
  <c r="N71" i="44" s="1"/>
  <c r="E58" i="44"/>
  <c r="N58" i="44" s="1"/>
  <c r="E23" i="44"/>
  <c r="N23" i="44" s="1"/>
  <c r="E81" i="44"/>
  <c r="N81" i="44" s="1"/>
  <c r="E18" i="44"/>
  <c r="N18" i="44" s="1"/>
  <c r="E70" i="44"/>
  <c r="N70" i="44" s="1"/>
  <c r="E5" i="44"/>
  <c r="N5" i="44" s="1"/>
  <c r="E67" i="44"/>
  <c r="N67" i="44" s="1"/>
  <c r="E47" i="44"/>
  <c r="N47" i="44" s="1"/>
  <c r="E53" i="44"/>
  <c r="N53" i="44" s="1"/>
  <c r="E24" i="44"/>
  <c r="N24" i="44" s="1"/>
  <c r="E39" i="44"/>
  <c r="N39" i="44" s="1"/>
  <c r="E9" i="44"/>
  <c r="N9" i="44" s="1"/>
  <c r="E68" i="44"/>
  <c r="N68" i="44" s="1"/>
  <c r="E33" i="44"/>
  <c r="N33" i="44" s="1"/>
  <c r="E41" i="44"/>
  <c r="N41" i="44" s="1"/>
  <c r="E59" i="44"/>
  <c r="N59" i="44" s="1"/>
  <c r="E42" i="44"/>
  <c r="N42" i="44" s="1"/>
  <c r="E84" i="44"/>
  <c r="N84" i="44" s="1"/>
  <c r="E63" i="44"/>
  <c r="N63" i="44" s="1"/>
  <c r="E38" i="44"/>
  <c r="N38" i="44" s="1"/>
  <c r="E22" i="44"/>
  <c r="N22" i="44" s="1"/>
  <c r="E7" i="44"/>
  <c r="N7" i="44" s="1"/>
  <c r="E37" i="44"/>
  <c r="N37" i="44" s="1"/>
  <c r="E21" i="44"/>
  <c r="N21" i="44" s="1"/>
  <c r="E51" i="44"/>
  <c r="N51" i="44" s="1"/>
  <c r="E76" i="44"/>
  <c r="N76" i="44" s="1"/>
  <c r="E20" i="44"/>
  <c r="N20" i="44" s="1"/>
  <c r="E35" i="44"/>
  <c r="N35" i="44" s="1"/>
  <c r="E45" i="44"/>
  <c r="N45" i="44" s="1"/>
  <c r="E74" i="44"/>
  <c r="N74" i="44" s="1"/>
  <c r="E17" i="44"/>
  <c r="N17" i="44" s="1"/>
  <c r="E12" i="44"/>
  <c r="N12" i="44" s="1"/>
  <c r="E40" i="44"/>
  <c r="N40" i="44" s="1"/>
  <c r="E55" i="44"/>
  <c r="N55" i="44" s="1"/>
  <c r="E36" i="44"/>
  <c r="N36" i="44" s="1"/>
  <c r="E77" i="44"/>
  <c r="N77" i="44" s="1"/>
  <c r="E19" i="44"/>
  <c r="N19" i="44" s="1"/>
  <c r="E11" i="44"/>
  <c r="N11" i="44" s="1"/>
  <c r="E80" i="44"/>
  <c r="N80" i="44" s="1"/>
  <c r="E34" i="44"/>
  <c r="N34" i="44" s="1"/>
  <c r="E57" i="44"/>
  <c r="N57" i="44" s="1"/>
  <c r="E8" i="44"/>
  <c r="N8" i="44" s="1"/>
  <c r="N97" i="44"/>
  <c r="N92" i="37"/>
  <c r="I22" i="13" s="1"/>
  <c r="N89" i="37"/>
  <c r="I19" i="13" s="1"/>
  <c r="N84" i="37"/>
  <c r="I14" i="13" s="1"/>
  <c r="N90" i="37"/>
  <c r="I20" i="13" s="1"/>
  <c r="N83" i="37"/>
  <c r="I13" i="13" s="1"/>
  <c r="E139" i="37"/>
  <c r="N85" i="37"/>
  <c r="I15" i="13" s="1"/>
  <c r="N80" i="37"/>
  <c r="I10" i="13" s="1"/>
  <c r="N91" i="37"/>
  <c r="I21" i="13" s="1"/>
  <c r="N95" i="37"/>
  <c r="I25" i="13" s="1"/>
  <c r="E143" i="37"/>
  <c r="N86" i="37"/>
  <c r="I16" i="13" s="1"/>
  <c r="N93" i="37"/>
  <c r="I23" i="13" s="1"/>
  <c r="N82" i="37"/>
  <c r="I12" i="13" s="1"/>
  <c r="F97" i="37"/>
  <c r="F140" i="37"/>
  <c r="N140" i="37" s="1"/>
  <c r="E97" i="37"/>
  <c r="N130" i="37"/>
  <c r="K8" i="13" s="1"/>
  <c r="N88" i="37"/>
  <c r="I18" i="13" s="1"/>
  <c r="N96" i="37"/>
  <c r="I26" i="13" s="1"/>
  <c r="F34" i="13"/>
  <c r="F54" i="13" s="1"/>
  <c r="F68" i="37"/>
  <c r="W201" i="37"/>
  <c r="AA201" i="37" s="1"/>
  <c r="R200" i="37"/>
  <c r="L201" i="37"/>
  <c r="R201" i="37" s="1"/>
  <c r="N79" i="37"/>
  <c r="I9" i="13" s="1"/>
  <c r="N148" i="37"/>
  <c r="C26" i="13" s="1"/>
  <c r="F26" i="13" s="1"/>
  <c r="D147" i="55" s="1"/>
  <c r="E34" i="13"/>
  <c r="E54" i="13" s="1"/>
  <c r="E68" i="37"/>
  <c r="G126" i="10"/>
  <c r="I126" i="10" s="1"/>
  <c r="G132" i="10"/>
  <c r="I132" i="10" s="1"/>
  <c r="G112" i="10"/>
  <c r="I112" i="10" s="1"/>
  <c r="G123" i="10"/>
  <c r="I123" i="10" s="1"/>
  <c r="G133" i="10"/>
  <c r="I133" i="10" s="1"/>
  <c r="G38" i="13"/>
  <c r="N38" i="13" s="1"/>
  <c r="N52" i="37"/>
  <c r="G45" i="13"/>
  <c r="N45" i="13" s="1"/>
  <c r="N59" i="37"/>
  <c r="G134" i="10"/>
  <c r="I134" i="10" s="1"/>
  <c r="G124" i="10"/>
  <c r="I124" i="10" s="1"/>
  <c r="G114" i="10"/>
  <c r="I114" i="10" s="1"/>
  <c r="G125" i="10"/>
  <c r="I125" i="10" s="1"/>
  <c r="X354" i="4"/>
  <c r="Z121" i="4"/>
  <c r="G46" i="13"/>
  <c r="N46" i="13" s="1"/>
  <c r="N60" i="37"/>
  <c r="G53" i="13"/>
  <c r="N53" i="13" s="1"/>
  <c r="N67" i="37"/>
  <c r="Y355" i="4"/>
  <c r="AA151" i="4"/>
  <c r="G149" i="37"/>
  <c r="N136" i="37"/>
  <c r="G35" i="13"/>
  <c r="N35" i="13" s="1"/>
  <c r="N49" i="37"/>
  <c r="G68" i="37"/>
  <c r="G34" i="13"/>
  <c r="N48" i="37"/>
  <c r="C184" i="20"/>
  <c r="K164" i="20"/>
  <c r="N134" i="37"/>
  <c r="N144" i="37"/>
  <c r="G36" i="13"/>
  <c r="N36" i="13" s="1"/>
  <c r="N50" i="37"/>
  <c r="G43" i="13"/>
  <c r="N43" i="13" s="1"/>
  <c r="N57" i="37"/>
  <c r="G42" i="13"/>
  <c r="N56" i="37"/>
  <c r="N138" i="37"/>
  <c r="G44" i="13"/>
  <c r="N44" i="13" s="1"/>
  <c r="N58" i="37"/>
  <c r="G51" i="13"/>
  <c r="N51" i="13" s="1"/>
  <c r="N65" i="37"/>
  <c r="G50" i="13"/>
  <c r="N50" i="13" s="1"/>
  <c r="N64" i="37"/>
  <c r="G122" i="10"/>
  <c r="I122" i="10" s="1"/>
  <c r="G113" i="10"/>
  <c r="I113" i="10" s="1"/>
  <c r="G115" i="10"/>
  <c r="I115" i="10" s="1"/>
  <c r="C355" i="4"/>
  <c r="C151" i="4"/>
  <c r="B355" i="4" s="1"/>
  <c r="X353" i="4"/>
  <c r="Z92" i="4"/>
  <c r="G52" i="13"/>
  <c r="N52" i="13" s="1"/>
  <c r="N66" i="37"/>
  <c r="G40" i="13"/>
  <c r="N40" i="13" s="1"/>
  <c r="N54" i="37"/>
  <c r="G39" i="13"/>
  <c r="N39" i="13" s="1"/>
  <c r="N53" i="37"/>
  <c r="G41" i="13"/>
  <c r="N41" i="13" s="1"/>
  <c r="N55" i="37"/>
  <c r="G48" i="13"/>
  <c r="N48" i="13" s="1"/>
  <c r="N62" i="37"/>
  <c r="G47" i="13"/>
  <c r="N47" i="13" s="1"/>
  <c r="N61" i="37"/>
  <c r="N132" i="37"/>
  <c r="U207" i="37"/>
  <c r="G49" i="13"/>
  <c r="N49" i="13" s="1"/>
  <c r="N63" i="37"/>
  <c r="G37" i="13"/>
  <c r="N37" i="13" s="1"/>
  <c r="N51" i="37"/>
  <c r="G116" i="10"/>
  <c r="I116" i="10" s="1"/>
  <c r="G135" i="10"/>
  <c r="I135" i="10" s="1"/>
  <c r="G136" i="10"/>
  <c r="I136" i="10" s="1"/>
  <c r="D192" i="10"/>
  <c r="D217" i="10"/>
  <c r="D167" i="10"/>
  <c r="I142" i="10"/>
  <c r="G222" i="10"/>
  <c r="G197" i="10"/>
  <c r="G172" i="10"/>
  <c r="G230" i="10"/>
  <c r="G205" i="10"/>
  <c r="G180" i="10"/>
  <c r="E194" i="10"/>
  <c r="E169" i="10"/>
  <c r="E219" i="10"/>
  <c r="E193" i="10"/>
  <c r="E168" i="10"/>
  <c r="E218" i="10"/>
  <c r="E208" i="10"/>
  <c r="E183" i="10"/>
  <c r="E233" i="10"/>
  <c r="F166" i="10"/>
  <c r="F191" i="10"/>
  <c r="F216" i="10"/>
  <c r="F161" i="10"/>
  <c r="F181" i="10"/>
  <c r="F206" i="10"/>
  <c r="F231" i="10"/>
  <c r="H218" i="10"/>
  <c r="H193" i="10"/>
  <c r="H168" i="10"/>
  <c r="H226" i="10"/>
  <c r="H201" i="10"/>
  <c r="H176" i="10"/>
  <c r="H234" i="10"/>
  <c r="H209" i="10"/>
  <c r="H184" i="10"/>
  <c r="D209" i="10"/>
  <c r="D234" i="10"/>
  <c r="D184" i="10"/>
  <c r="I159" i="10"/>
  <c r="C261" i="53" s="1"/>
  <c r="D200" i="10"/>
  <c r="D225" i="10"/>
  <c r="D175" i="10"/>
  <c r="I150" i="10"/>
  <c r="G223" i="10"/>
  <c r="G198" i="10"/>
  <c r="G173" i="10"/>
  <c r="G231" i="10"/>
  <c r="G206" i="10"/>
  <c r="G181" i="10"/>
  <c r="E202" i="10"/>
  <c r="E177" i="10"/>
  <c r="E227" i="10"/>
  <c r="E201" i="10"/>
  <c r="E176" i="10"/>
  <c r="E226" i="10"/>
  <c r="E210" i="10"/>
  <c r="E185" i="10"/>
  <c r="E235" i="10"/>
  <c r="F174" i="10"/>
  <c r="F199" i="10"/>
  <c r="F224" i="10"/>
  <c r="F170" i="10"/>
  <c r="F195" i="10"/>
  <c r="F220" i="10"/>
  <c r="H219" i="10"/>
  <c r="H194" i="10"/>
  <c r="H169" i="10"/>
  <c r="H227" i="10"/>
  <c r="H202" i="10"/>
  <c r="H177" i="10"/>
  <c r="H235" i="10"/>
  <c r="H210" i="10"/>
  <c r="H185" i="10"/>
  <c r="D204" i="10"/>
  <c r="D229" i="10"/>
  <c r="D179" i="10"/>
  <c r="I154" i="10"/>
  <c r="D193" i="10"/>
  <c r="D218" i="10"/>
  <c r="D168" i="10"/>
  <c r="I143" i="10"/>
  <c r="C245" i="53" s="1"/>
  <c r="G216" i="10"/>
  <c r="G161" i="10"/>
  <c r="G191" i="10"/>
  <c r="G166" i="10"/>
  <c r="G224" i="10"/>
  <c r="G199" i="10"/>
  <c r="G174" i="10"/>
  <c r="G232" i="10"/>
  <c r="G207" i="10"/>
  <c r="G182" i="10"/>
  <c r="E191" i="10"/>
  <c r="E166" i="10"/>
  <c r="E216" i="10"/>
  <c r="E161" i="10"/>
  <c r="E198" i="10"/>
  <c r="E173" i="10"/>
  <c r="E223" i="10"/>
  <c r="E197" i="10"/>
  <c r="E172" i="10"/>
  <c r="E222" i="10"/>
  <c r="F182" i="10"/>
  <c r="F207" i="10"/>
  <c r="F232" i="10"/>
  <c r="F178" i="10"/>
  <c r="F203" i="10"/>
  <c r="F228" i="10"/>
  <c r="H220" i="10"/>
  <c r="H195" i="10"/>
  <c r="H170" i="10"/>
  <c r="H228" i="10"/>
  <c r="H203" i="10"/>
  <c r="H178" i="10"/>
  <c r="D208" i="10"/>
  <c r="D233" i="10"/>
  <c r="D183" i="10"/>
  <c r="I158" i="10"/>
  <c r="C260" i="53" s="1"/>
  <c r="D201" i="10"/>
  <c r="D226" i="10"/>
  <c r="D176" i="10"/>
  <c r="I151" i="10"/>
  <c r="C253" i="53" s="1"/>
  <c r="D210" i="10"/>
  <c r="D235" i="10"/>
  <c r="D185" i="10"/>
  <c r="I160" i="10"/>
  <c r="C262" i="53" s="1"/>
  <c r="G217" i="10"/>
  <c r="G192" i="10"/>
  <c r="G167" i="10"/>
  <c r="G225" i="10"/>
  <c r="G200" i="10"/>
  <c r="G175" i="10"/>
  <c r="G233" i="10"/>
  <c r="G208" i="10"/>
  <c r="G183" i="10"/>
  <c r="E199" i="10"/>
  <c r="E174" i="10"/>
  <c r="E224" i="10"/>
  <c r="E206" i="10"/>
  <c r="E181" i="10"/>
  <c r="E231" i="10"/>
  <c r="E205" i="10"/>
  <c r="E180" i="10"/>
  <c r="E230" i="10"/>
  <c r="F171" i="10"/>
  <c r="F196" i="10"/>
  <c r="F221" i="10"/>
  <c r="F167" i="10"/>
  <c r="F192" i="10"/>
  <c r="F217" i="10"/>
  <c r="H221" i="10"/>
  <c r="H196" i="10"/>
  <c r="H171" i="10"/>
  <c r="H229" i="10"/>
  <c r="H204" i="10"/>
  <c r="H179" i="10"/>
  <c r="D198" i="10"/>
  <c r="D223" i="10"/>
  <c r="D173" i="10"/>
  <c r="I148" i="10"/>
  <c r="C250" i="53" s="1"/>
  <c r="G218" i="10"/>
  <c r="G193" i="10"/>
  <c r="G168" i="10"/>
  <c r="G226" i="10"/>
  <c r="G201" i="10"/>
  <c r="G176" i="10"/>
  <c r="G234" i="10"/>
  <c r="G209" i="10"/>
  <c r="G184" i="10"/>
  <c r="E207" i="10"/>
  <c r="E182" i="10"/>
  <c r="E232" i="10"/>
  <c r="E195" i="10"/>
  <c r="E170" i="10"/>
  <c r="E220" i="10"/>
  <c r="F172" i="10"/>
  <c r="F197" i="10"/>
  <c r="F222" i="10"/>
  <c r="F179" i="10"/>
  <c r="F204" i="10"/>
  <c r="F229" i="10"/>
  <c r="F175" i="10"/>
  <c r="F200" i="10"/>
  <c r="F225" i="10"/>
  <c r="H222" i="10"/>
  <c r="H197" i="10"/>
  <c r="H172" i="10"/>
  <c r="H230" i="10"/>
  <c r="H205" i="10"/>
  <c r="H180" i="10"/>
  <c r="D191" i="10"/>
  <c r="D216" i="10"/>
  <c r="D161" i="10"/>
  <c r="D166" i="10"/>
  <c r="I141" i="10"/>
  <c r="E243" i="53" s="1"/>
  <c r="D197" i="10"/>
  <c r="D222" i="10"/>
  <c r="D172" i="10"/>
  <c r="I147" i="10"/>
  <c r="D199" i="10"/>
  <c r="D224" i="10"/>
  <c r="D174" i="10"/>
  <c r="I149" i="10"/>
  <c r="C251" i="53" s="1"/>
  <c r="D206" i="10"/>
  <c r="D231" i="10"/>
  <c r="D181" i="10"/>
  <c r="I156" i="10"/>
  <c r="C258" i="53" s="1"/>
  <c r="D205" i="10"/>
  <c r="D230" i="10"/>
  <c r="D180" i="10"/>
  <c r="I155" i="10"/>
  <c r="G219" i="10"/>
  <c r="G194" i="10"/>
  <c r="G169" i="10"/>
  <c r="G227" i="10"/>
  <c r="G202" i="10"/>
  <c r="G177" i="10"/>
  <c r="G235" i="10"/>
  <c r="G210" i="10"/>
  <c r="G185" i="10"/>
  <c r="E196" i="10"/>
  <c r="E171" i="10"/>
  <c r="E221" i="10"/>
  <c r="E203" i="10"/>
  <c r="E178" i="10"/>
  <c r="E228" i="10"/>
  <c r="F180" i="10"/>
  <c r="F205" i="10"/>
  <c r="F230" i="10"/>
  <c r="F168" i="10"/>
  <c r="F193" i="10"/>
  <c r="F218" i="10"/>
  <c r="F183" i="10"/>
  <c r="F208" i="10"/>
  <c r="F233" i="10"/>
  <c r="H223" i="10"/>
  <c r="H198" i="10"/>
  <c r="H173" i="10"/>
  <c r="H231" i="10"/>
  <c r="H206" i="10"/>
  <c r="H181" i="10"/>
  <c r="D207" i="10"/>
  <c r="D232" i="10"/>
  <c r="D182" i="10"/>
  <c r="I157" i="10"/>
  <c r="D195" i="10"/>
  <c r="D220" i="10"/>
  <c r="D170" i="10"/>
  <c r="I145" i="10"/>
  <c r="G220" i="10"/>
  <c r="G195" i="10"/>
  <c r="G170" i="10"/>
  <c r="E204" i="10"/>
  <c r="E179" i="10"/>
  <c r="E229" i="10"/>
  <c r="E192" i="10"/>
  <c r="E167" i="10"/>
  <c r="E217" i="10"/>
  <c r="F169" i="10"/>
  <c r="F194" i="10"/>
  <c r="F219" i="10"/>
  <c r="F176" i="10"/>
  <c r="F201" i="10"/>
  <c r="F226" i="10"/>
  <c r="F184" i="10"/>
  <c r="F209" i="10"/>
  <c r="F234" i="10"/>
  <c r="H216" i="10"/>
  <c r="H161" i="10"/>
  <c r="H191" i="10"/>
  <c r="H166" i="10"/>
  <c r="H224" i="10"/>
  <c r="H199" i="10"/>
  <c r="H174" i="10"/>
  <c r="H232" i="10"/>
  <c r="H207" i="10"/>
  <c r="H182" i="10"/>
  <c r="D194" i="10"/>
  <c r="D219" i="10"/>
  <c r="D169" i="10"/>
  <c r="I144" i="10"/>
  <c r="G228" i="10"/>
  <c r="G203" i="10"/>
  <c r="G178" i="10"/>
  <c r="D196" i="10"/>
  <c r="D221" i="10"/>
  <c r="D171" i="10"/>
  <c r="I146" i="10"/>
  <c r="C248" i="53" s="1"/>
  <c r="D203" i="10"/>
  <c r="D228" i="10"/>
  <c r="D178" i="10"/>
  <c r="I153" i="10"/>
  <c r="D202" i="10"/>
  <c r="D227" i="10"/>
  <c r="D177" i="10"/>
  <c r="I152" i="10"/>
  <c r="C254" i="53" s="1"/>
  <c r="G221" i="10"/>
  <c r="G196" i="10"/>
  <c r="G171" i="10"/>
  <c r="G229" i="10"/>
  <c r="G204" i="10"/>
  <c r="G179" i="10"/>
  <c r="E209" i="10"/>
  <c r="E184" i="10"/>
  <c r="E234" i="10"/>
  <c r="E200" i="10"/>
  <c r="E175" i="10"/>
  <c r="E225" i="10"/>
  <c r="F177" i="10"/>
  <c r="F202" i="10"/>
  <c r="F227" i="10"/>
  <c r="F173" i="10"/>
  <c r="F198" i="10"/>
  <c r="F223" i="10"/>
  <c r="F185" i="10"/>
  <c r="F210" i="10"/>
  <c r="F235" i="10"/>
  <c r="H217" i="10"/>
  <c r="H192" i="10"/>
  <c r="H167" i="10"/>
  <c r="H225" i="10"/>
  <c r="H200" i="10"/>
  <c r="H175" i="10"/>
  <c r="H233" i="10"/>
  <c r="H208" i="10"/>
  <c r="H183" i="10"/>
  <c r="I8" i="55" l="1"/>
  <c r="AD7" i="55" s="1"/>
  <c r="D17" i="38"/>
  <c r="F149" i="55" s="1"/>
  <c r="M149" i="55" s="1"/>
  <c r="I17" i="55"/>
  <c r="AD16" i="55" s="1"/>
  <c r="C256" i="53"/>
  <c r="AC8" i="55"/>
  <c r="AC9" i="55"/>
  <c r="AA8" i="55"/>
  <c r="AA9" i="55"/>
  <c r="AB8" i="55"/>
  <c r="AB9" i="55"/>
  <c r="C259" i="53"/>
  <c r="C334" i="53" s="1"/>
  <c r="C244" i="53"/>
  <c r="C269" i="53" s="1"/>
  <c r="C249" i="53"/>
  <c r="C324" i="53" s="1"/>
  <c r="C255" i="53"/>
  <c r="C330" i="53" s="1"/>
  <c r="C247" i="53"/>
  <c r="C322" i="53" s="1"/>
  <c r="I21" i="55"/>
  <c r="AD19" i="55" s="1"/>
  <c r="G297" i="7"/>
  <c r="L79" i="7" s="1"/>
  <c r="I161" i="53"/>
  <c r="C246" i="53"/>
  <c r="C296" i="53" s="1"/>
  <c r="C211" i="53"/>
  <c r="I191" i="53"/>
  <c r="I211" i="53" s="1"/>
  <c r="C252" i="53"/>
  <c r="C327" i="53" s="1"/>
  <c r="C257" i="53"/>
  <c r="C282" i="53" s="1"/>
  <c r="I216" i="53"/>
  <c r="I236" i="53" s="1"/>
  <c r="C236" i="53"/>
  <c r="I166" i="53"/>
  <c r="I186" i="53" s="1"/>
  <c r="C186" i="53"/>
  <c r="D16" i="55"/>
  <c r="I16" i="55" s="1"/>
  <c r="AD15" i="55" s="1"/>
  <c r="E148" i="55"/>
  <c r="E110" i="55"/>
  <c r="H244" i="53"/>
  <c r="H269" i="53" s="1"/>
  <c r="F244" i="53"/>
  <c r="F269" i="53" s="1"/>
  <c r="E244" i="53"/>
  <c r="E319" i="53" s="1"/>
  <c r="M149" i="37"/>
  <c r="F128" i="44" s="1"/>
  <c r="H149" i="37"/>
  <c r="E110" i="44" s="1"/>
  <c r="F110" i="44" s="1"/>
  <c r="H110" i="44" s="1"/>
  <c r="N133" i="37"/>
  <c r="C11" i="13" s="1"/>
  <c r="F11" i="13" s="1"/>
  <c r="D132" i="55" s="1"/>
  <c r="E95" i="55" s="1"/>
  <c r="N129" i="37"/>
  <c r="C7" i="13" s="1"/>
  <c r="N141" i="37"/>
  <c r="C19" i="13" s="1"/>
  <c r="F19" i="13" s="1"/>
  <c r="D140" i="55" s="1"/>
  <c r="E103" i="55" s="1"/>
  <c r="N139" i="37"/>
  <c r="C17" i="13" s="1"/>
  <c r="F17" i="13" s="1"/>
  <c r="D138" i="55" s="1"/>
  <c r="E101" i="55" s="1"/>
  <c r="J149" i="37"/>
  <c r="E117" i="44" s="1"/>
  <c r="F117" i="44" s="1"/>
  <c r="H117" i="44" s="1"/>
  <c r="L149" i="37"/>
  <c r="F127" i="44" s="1"/>
  <c r="N147" i="37"/>
  <c r="C25" i="13" s="1"/>
  <c r="F25" i="13" s="1"/>
  <c r="D146" i="55" s="1"/>
  <c r="E109" i="55" s="1"/>
  <c r="C149" i="37"/>
  <c r="E95" i="44" s="1"/>
  <c r="F95" i="44" s="1"/>
  <c r="H95" i="44" s="1"/>
  <c r="I149" i="37"/>
  <c r="E114" i="44" s="1"/>
  <c r="F114" i="44" s="1"/>
  <c r="H114" i="44" s="1"/>
  <c r="N145" i="37"/>
  <c r="K23" i="13" s="1"/>
  <c r="N135" i="37"/>
  <c r="C13" i="13" s="1"/>
  <c r="F13" i="13" s="1"/>
  <c r="D134" i="55" s="1"/>
  <c r="E97" i="55" s="1"/>
  <c r="N143" i="37"/>
  <c r="K21" i="13" s="1"/>
  <c r="E246" i="37"/>
  <c r="J27" i="13"/>
  <c r="D149" i="37"/>
  <c r="E98" i="44" s="1"/>
  <c r="F98" i="44" s="1"/>
  <c r="H98" i="44" s="1"/>
  <c r="N137" i="37"/>
  <c r="C15" i="13" s="1"/>
  <c r="F15" i="13" s="1"/>
  <c r="D136" i="55" s="1"/>
  <c r="E99" i="55" s="1"/>
  <c r="N123" i="37"/>
  <c r="K149" i="37"/>
  <c r="F126" i="44" s="1"/>
  <c r="E245" i="37"/>
  <c r="N42" i="13"/>
  <c r="F260" i="53"/>
  <c r="F335" i="53" s="1"/>
  <c r="G262" i="53"/>
  <c r="G312" i="53" s="1"/>
  <c r="F256" i="53"/>
  <c r="F331" i="53" s="1"/>
  <c r="G252" i="53"/>
  <c r="G277" i="53" s="1"/>
  <c r="H252" i="53"/>
  <c r="H327" i="53" s="1"/>
  <c r="H260" i="53"/>
  <c r="H310" i="53" s="1"/>
  <c r="G244" i="53"/>
  <c r="G319" i="53" s="1"/>
  <c r="F262" i="53"/>
  <c r="F287" i="53" s="1"/>
  <c r="G256" i="53"/>
  <c r="G306" i="53" s="1"/>
  <c r="E256" i="53"/>
  <c r="E331" i="53" s="1"/>
  <c r="F253" i="53"/>
  <c r="F278" i="53" s="1"/>
  <c r="H256" i="53"/>
  <c r="H331" i="53" s="1"/>
  <c r="G261" i="53"/>
  <c r="G336" i="53" s="1"/>
  <c r="E261" i="53"/>
  <c r="E311" i="53" s="1"/>
  <c r="F261" i="53"/>
  <c r="F311" i="53" s="1"/>
  <c r="H258" i="53"/>
  <c r="H308" i="53" s="1"/>
  <c r="F245" i="53"/>
  <c r="F270" i="53" s="1"/>
  <c r="F89" i="7"/>
  <c r="S204" i="7"/>
  <c r="C23" i="7" s="1"/>
  <c r="S235" i="7"/>
  <c r="S230" i="7"/>
  <c r="D25" i="7" s="1"/>
  <c r="H251" i="53"/>
  <c r="H276" i="53" s="1"/>
  <c r="G245" i="53"/>
  <c r="G320" i="53" s="1"/>
  <c r="U198" i="7"/>
  <c r="S234" i="7"/>
  <c r="L35" i="7"/>
  <c r="L36" i="7"/>
  <c r="S262" i="7"/>
  <c r="L37" i="7"/>
  <c r="L38" i="7"/>
  <c r="L31" i="7"/>
  <c r="L32" i="7"/>
  <c r="L29" i="7"/>
  <c r="L30" i="7"/>
  <c r="S259" i="7"/>
  <c r="T198" i="7"/>
  <c r="L27" i="7"/>
  <c r="L28" i="7"/>
  <c r="L34" i="7"/>
  <c r="L41" i="7"/>
  <c r="L42" i="7"/>
  <c r="S246" i="7"/>
  <c r="L33" i="7"/>
  <c r="S198" i="7"/>
  <c r="L39" i="7"/>
  <c r="E91" i="7"/>
  <c r="S293" i="7"/>
  <c r="S279" i="7"/>
  <c r="M25" i="7" s="1"/>
  <c r="S258" i="7"/>
  <c r="S270" i="7"/>
  <c r="S266" i="7"/>
  <c r="S207" i="7"/>
  <c r="C26" i="7" s="1"/>
  <c r="S286" i="7"/>
  <c r="S287" i="7"/>
  <c r="S211" i="7"/>
  <c r="S261" i="7"/>
  <c r="S253" i="7"/>
  <c r="E24" i="7" s="1"/>
  <c r="S247" i="7"/>
  <c r="S231" i="7"/>
  <c r="D26" i="7" s="1"/>
  <c r="S254" i="7"/>
  <c r="E25" i="7" s="1"/>
  <c r="E252" i="53"/>
  <c r="E277" i="53" s="1"/>
  <c r="G253" i="53"/>
  <c r="G278" i="53" s="1"/>
  <c r="F250" i="53"/>
  <c r="F325" i="53" s="1"/>
  <c r="H250" i="53"/>
  <c r="H275" i="53" s="1"/>
  <c r="H259" i="53"/>
  <c r="H334" i="53" s="1"/>
  <c r="H243" i="53"/>
  <c r="H268" i="53" s="1"/>
  <c r="F252" i="53"/>
  <c r="F327" i="53" s="1"/>
  <c r="D253" i="53"/>
  <c r="D278" i="53" s="1"/>
  <c r="S223" i="7"/>
  <c r="S281" i="7"/>
  <c r="S284" i="7"/>
  <c r="S238" i="7"/>
  <c r="S290" i="7"/>
  <c r="S280" i="7"/>
  <c r="M26" i="7" s="1"/>
  <c r="S295" i="7"/>
  <c r="S209" i="7"/>
  <c r="S291" i="7"/>
  <c r="S296" i="7"/>
  <c r="S244" i="7"/>
  <c r="S236" i="7"/>
  <c r="S228" i="7"/>
  <c r="D23" i="7" s="1"/>
  <c r="S260" i="7"/>
  <c r="S271" i="7"/>
  <c r="S277" i="7"/>
  <c r="M23" i="7" s="1"/>
  <c r="S219" i="7"/>
  <c r="S242" i="7"/>
  <c r="S256" i="7"/>
  <c r="D91" i="7"/>
  <c r="S215" i="7"/>
  <c r="S221" i="7"/>
  <c r="R297" i="7"/>
  <c r="L90" i="7" s="1"/>
  <c r="S205" i="7"/>
  <c r="S214" i="7"/>
  <c r="S241" i="7"/>
  <c r="S233" i="7"/>
  <c r="S263" i="7"/>
  <c r="S288" i="7"/>
  <c r="S243" i="7"/>
  <c r="S294" i="7"/>
  <c r="S278" i="7"/>
  <c r="M24" i="7" s="1"/>
  <c r="S265" i="7"/>
  <c r="S268" i="7"/>
  <c r="S212" i="7"/>
  <c r="S217" i="7"/>
  <c r="S282" i="7"/>
  <c r="S220" i="7"/>
  <c r="S216" i="7"/>
  <c r="S206" i="7"/>
  <c r="C25" i="7" s="1"/>
  <c r="S240" i="7"/>
  <c r="S232" i="7"/>
  <c r="S267" i="7"/>
  <c r="S264" i="7"/>
  <c r="S252" i="7"/>
  <c r="S292" i="7"/>
  <c r="S208" i="7"/>
  <c r="S239" i="7"/>
  <c r="S213" i="7"/>
  <c r="S289" i="7"/>
  <c r="S283" i="7"/>
  <c r="S257" i="7"/>
  <c r="S285" i="7"/>
  <c r="S222" i="7"/>
  <c r="S210" i="7"/>
  <c r="S218" i="7"/>
  <c r="S245" i="7"/>
  <c r="S237" i="7"/>
  <c r="S229" i="7"/>
  <c r="D24" i="7" s="1"/>
  <c r="S269" i="7"/>
  <c r="S255" i="7"/>
  <c r="E26" i="7" s="1"/>
  <c r="J27" i="7"/>
  <c r="J29" i="7"/>
  <c r="J31" i="7"/>
  <c r="J33" i="7"/>
  <c r="J35" i="7"/>
  <c r="J37" i="7"/>
  <c r="J39" i="7"/>
  <c r="J41" i="7"/>
  <c r="J28" i="7"/>
  <c r="J32" i="7"/>
  <c r="J36" i="7"/>
  <c r="J40" i="7"/>
  <c r="J30" i="7"/>
  <c r="J34" i="7"/>
  <c r="J38" i="7"/>
  <c r="J42" i="7"/>
  <c r="C75" i="7"/>
  <c r="C91" i="7" s="1"/>
  <c r="K30" i="7"/>
  <c r="K34" i="7"/>
  <c r="K42" i="7"/>
  <c r="K27" i="7"/>
  <c r="K29" i="7"/>
  <c r="K31" i="7"/>
  <c r="K33" i="7"/>
  <c r="K35" i="7"/>
  <c r="K37" i="7"/>
  <c r="K39" i="7"/>
  <c r="K41" i="7"/>
  <c r="K28" i="7"/>
  <c r="K36" i="7"/>
  <c r="K32" i="7"/>
  <c r="K40" i="7"/>
  <c r="K38" i="7"/>
  <c r="N297" i="7"/>
  <c r="L86" i="7" s="1"/>
  <c r="M272" i="7"/>
  <c r="M248" i="7"/>
  <c r="M224" i="7"/>
  <c r="O272" i="7"/>
  <c r="O248" i="7"/>
  <c r="O297" i="7"/>
  <c r="L87" i="7" s="1"/>
  <c r="O224" i="7"/>
  <c r="M297" i="7"/>
  <c r="L85" i="7" s="1"/>
  <c r="N272" i="7"/>
  <c r="N224" i="7"/>
  <c r="N248" i="7"/>
  <c r="P248" i="7"/>
  <c r="P272" i="7"/>
  <c r="P224" i="7"/>
  <c r="G272" i="7"/>
  <c r="F297" i="7"/>
  <c r="L78" i="7" s="1"/>
  <c r="E297" i="7"/>
  <c r="L77" i="7" s="1"/>
  <c r="P297" i="7"/>
  <c r="L88" i="7" s="1"/>
  <c r="C248" i="7"/>
  <c r="F272" i="7"/>
  <c r="G248" i="7"/>
  <c r="C224" i="7"/>
  <c r="F224" i="7"/>
  <c r="F248" i="7"/>
  <c r="Q272" i="7"/>
  <c r="Q248" i="7"/>
  <c r="R224" i="7"/>
  <c r="R248" i="7"/>
  <c r="R272" i="7"/>
  <c r="Q224" i="7"/>
  <c r="H297" i="7"/>
  <c r="L80" i="7" s="1"/>
  <c r="G224" i="7"/>
  <c r="Q297" i="7"/>
  <c r="L89" i="7" s="1"/>
  <c r="H272" i="7"/>
  <c r="C272" i="7"/>
  <c r="F77" i="7"/>
  <c r="H248" i="7"/>
  <c r="C297" i="7"/>
  <c r="L75" i="7" s="1"/>
  <c r="H224" i="7"/>
  <c r="L248" i="7"/>
  <c r="J248" i="7"/>
  <c r="L297" i="7"/>
  <c r="L84" i="7" s="1"/>
  <c r="K224" i="7"/>
  <c r="I224" i="7"/>
  <c r="J297" i="7"/>
  <c r="L82" i="7" s="1"/>
  <c r="I297" i="7"/>
  <c r="L81" i="7" s="1"/>
  <c r="I272" i="7"/>
  <c r="K297" i="7"/>
  <c r="L83" i="7" s="1"/>
  <c r="D297" i="7"/>
  <c r="L76" i="7" s="1"/>
  <c r="K272" i="7"/>
  <c r="D248" i="7"/>
  <c r="L224" i="7"/>
  <c r="J224" i="7"/>
  <c r="D272" i="7"/>
  <c r="L272" i="7"/>
  <c r="J272" i="7"/>
  <c r="D224" i="7"/>
  <c r="K248" i="7"/>
  <c r="I248" i="7"/>
  <c r="E248" i="7"/>
  <c r="E272" i="7"/>
  <c r="E149" i="37"/>
  <c r="E101" i="44" s="1"/>
  <c r="F101" i="44" s="1"/>
  <c r="H101" i="44" s="1"/>
  <c r="C8" i="13"/>
  <c r="F8" i="13" s="1"/>
  <c r="D129" i="55" s="1"/>
  <c r="E92" i="55" s="1"/>
  <c r="K20" i="13"/>
  <c r="K26" i="13"/>
  <c r="I27" i="13"/>
  <c r="N97" i="37"/>
  <c r="N68" i="37"/>
  <c r="F149" i="37"/>
  <c r="E103" i="44" s="1"/>
  <c r="F103" i="44" s="1"/>
  <c r="H103" i="44" s="1"/>
  <c r="W202" i="37"/>
  <c r="AA202" i="37" s="1"/>
  <c r="L202" i="37"/>
  <c r="R202" i="37" s="1"/>
  <c r="I228" i="10"/>
  <c r="K9" i="13"/>
  <c r="I220" i="10"/>
  <c r="E26" i="10" s="1"/>
  <c r="I194" i="10"/>
  <c r="D23" i="10" s="1"/>
  <c r="U208" i="37"/>
  <c r="C16" i="13"/>
  <c r="F16" i="13" s="1"/>
  <c r="D137" i="55" s="1"/>
  <c r="E100" i="55" s="1"/>
  <c r="K16" i="13"/>
  <c r="C14" i="13"/>
  <c r="F14" i="13" s="1"/>
  <c r="D135" i="55" s="1"/>
  <c r="E98" i="55" s="1"/>
  <c r="K14" i="13"/>
  <c r="I172" i="10"/>
  <c r="C10" i="13"/>
  <c r="F10" i="13" s="1"/>
  <c r="D131" i="55" s="1"/>
  <c r="E94" i="55" s="1"/>
  <c r="K10" i="13"/>
  <c r="Y353" i="4"/>
  <c r="AA92" i="4"/>
  <c r="C22" i="13"/>
  <c r="F22" i="13" s="1"/>
  <c r="D143" i="55" s="1"/>
  <c r="E106" i="55" s="1"/>
  <c r="K22" i="13"/>
  <c r="G54" i="13"/>
  <c r="N34" i="13"/>
  <c r="C18" i="13"/>
  <c r="F18" i="13" s="1"/>
  <c r="D139" i="55" s="1"/>
  <c r="E102" i="55" s="1"/>
  <c r="K18" i="13"/>
  <c r="K11" i="13"/>
  <c r="C12" i="13"/>
  <c r="F12" i="13" s="1"/>
  <c r="D133" i="55" s="1"/>
  <c r="E96" i="55" s="1"/>
  <c r="K12" i="13"/>
  <c r="E108" i="44"/>
  <c r="F108" i="44" s="1"/>
  <c r="H108" i="44" s="1"/>
  <c r="E107" i="44"/>
  <c r="F107" i="44" s="1"/>
  <c r="H107" i="44" s="1"/>
  <c r="E106" i="44"/>
  <c r="F106" i="44" s="1"/>
  <c r="H106" i="44" s="1"/>
  <c r="C63" i="20"/>
  <c r="C83" i="20" s="1"/>
  <c r="K184" i="20"/>
  <c r="Z355" i="4"/>
  <c r="AB151" i="4"/>
  <c r="AA355" i="4" s="1"/>
  <c r="Y354" i="4"/>
  <c r="AA121" i="4"/>
  <c r="C24" i="13"/>
  <c r="F24" i="13" s="1"/>
  <c r="D145" i="55" s="1"/>
  <c r="E108" i="55" s="1"/>
  <c r="K24" i="13"/>
  <c r="I219" i="10"/>
  <c r="E23" i="10" s="1"/>
  <c r="I171" i="10"/>
  <c r="I227" i="10"/>
  <c r="I206" i="10"/>
  <c r="D258" i="53"/>
  <c r="D333" i="53" s="1"/>
  <c r="G260" i="53"/>
  <c r="G335" i="53" s="1"/>
  <c r="D252" i="53"/>
  <c r="D327" i="53" s="1"/>
  <c r="D248" i="53"/>
  <c r="D323" i="53" s="1"/>
  <c r="D246" i="53"/>
  <c r="D296" i="53" s="1"/>
  <c r="E258" i="53"/>
  <c r="E283" i="53" s="1"/>
  <c r="I182" i="10"/>
  <c r="I174" i="10"/>
  <c r="I205" i="10"/>
  <c r="F254" i="53"/>
  <c r="F304" i="53" s="1"/>
  <c r="G248" i="53"/>
  <c r="G323" i="53" s="1"/>
  <c r="I203" i="10"/>
  <c r="E318" i="53"/>
  <c r="E293" i="53"/>
  <c r="E268" i="53"/>
  <c r="I177" i="10"/>
  <c r="D255" i="53"/>
  <c r="H211" i="10"/>
  <c r="D247" i="53"/>
  <c r="I230" i="10"/>
  <c r="C326" i="53"/>
  <c r="C301" i="53"/>
  <c r="C276" i="53"/>
  <c r="I197" i="10"/>
  <c r="C325" i="53"/>
  <c r="C275" i="53"/>
  <c r="C300" i="53"/>
  <c r="E257" i="53"/>
  <c r="E251" i="53"/>
  <c r="I210" i="10"/>
  <c r="I183" i="10"/>
  <c r="G251" i="53"/>
  <c r="I218" i="10"/>
  <c r="E22" i="10" s="1"/>
  <c r="I209" i="10"/>
  <c r="C298" i="53"/>
  <c r="C273" i="53"/>
  <c r="C323" i="53"/>
  <c r="G255" i="53"/>
  <c r="F257" i="53"/>
  <c r="E248" i="53"/>
  <c r="G254" i="53"/>
  <c r="D249" i="53"/>
  <c r="I173" i="10"/>
  <c r="D262" i="53"/>
  <c r="I233" i="10"/>
  <c r="G186" i="10"/>
  <c r="I193" i="10"/>
  <c r="D22" i="10" s="1"/>
  <c r="I175" i="10"/>
  <c r="D261" i="53"/>
  <c r="H253" i="53"/>
  <c r="F258" i="53"/>
  <c r="H236" i="10"/>
  <c r="D257" i="53"/>
  <c r="I224" i="10"/>
  <c r="C243" i="53"/>
  <c r="I161" i="10"/>
  <c r="I223" i="10"/>
  <c r="C328" i="53"/>
  <c r="C278" i="53"/>
  <c r="C303" i="53"/>
  <c r="I208" i="10"/>
  <c r="G211" i="10"/>
  <c r="D245" i="53"/>
  <c r="I225" i="10"/>
  <c r="E260" i="53"/>
  <c r="E246" i="53"/>
  <c r="G249" i="53"/>
  <c r="I202" i="10"/>
  <c r="D254" i="53"/>
  <c r="I221" i="10"/>
  <c r="I169" i="10"/>
  <c r="C23" i="10" s="1"/>
  <c r="G247" i="53"/>
  <c r="I232" i="10"/>
  <c r="C333" i="53"/>
  <c r="C283" i="53"/>
  <c r="C308" i="53"/>
  <c r="I199" i="10"/>
  <c r="I166" i="10"/>
  <c r="D186" i="10"/>
  <c r="H257" i="53"/>
  <c r="F249" i="53"/>
  <c r="E259" i="53"/>
  <c r="I198" i="10"/>
  <c r="I176" i="10"/>
  <c r="D260" i="53"/>
  <c r="H247" i="53"/>
  <c r="F259" i="53"/>
  <c r="E250" i="53"/>
  <c r="C306" i="53"/>
  <c r="C331" i="53"/>
  <c r="C281" i="53"/>
  <c r="H262" i="53"/>
  <c r="H246" i="53"/>
  <c r="F251" i="53"/>
  <c r="E253" i="53"/>
  <c r="G258" i="53"/>
  <c r="I200" i="10"/>
  <c r="F236" i="10"/>
  <c r="I196" i="10"/>
  <c r="I207" i="10"/>
  <c r="I181" i="10"/>
  <c r="D251" i="53"/>
  <c r="D250" i="53"/>
  <c r="H248" i="53"/>
  <c r="F248" i="53"/>
  <c r="I226" i="10"/>
  <c r="G259" i="53"/>
  <c r="G236" i="10"/>
  <c r="I179" i="10"/>
  <c r="F211" i="10"/>
  <c r="I167" i="10"/>
  <c r="C21" i="10" s="1"/>
  <c r="I178" i="10"/>
  <c r="I170" i="10"/>
  <c r="D259" i="53"/>
  <c r="E255" i="53"/>
  <c r="G246" i="53"/>
  <c r="I231" i="10"/>
  <c r="D236" i="10"/>
  <c r="I216" i="10"/>
  <c r="C337" i="53"/>
  <c r="C287" i="53"/>
  <c r="C312" i="53"/>
  <c r="I201" i="10"/>
  <c r="E236" i="10"/>
  <c r="G243" i="53"/>
  <c r="I229" i="10"/>
  <c r="C336" i="53"/>
  <c r="C286" i="53"/>
  <c r="C311" i="53"/>
  <c r="H261" i="53"/>
  <c r="H245" i="53"/>
  <c r="F186" i="10"/>
  <c r="I217" i="10"/>
  <c r="E21" i="10" s="1"/>
  <c r="I191" i="10"/>
  <c r="D211" i="10"/>
  <c r="I185" i="10"/>
  <c r="E186" i="10"/>
  <c r="C320" i="53"/>
  <c r="C270" i="53"/>
  <c r="C295" i="53"/>
  <c r="I204" i="10"/>
  <c r="I184" i="10"/>
  <c r="F243" i="53"/>
  <c r="E245" i="53"/>
  <c r="G257" i="53"/>
  <c r="I192" i="10"/>
  <c r="D21" i="10" s="1"/>
  <c r="C329" i="53"/>
  <c r="C279" i="53"/>
  <c r="C304" i="53"/>
  <c r="H186" i="10"/>
  <c r="F246" i="53"/>
  <c r="I195" i="10"/>
  <c r="I180" i="10"/>
  <c r="I222" i="10"/>
  <c r="D243" i="53"/>
  <c r="H249" i="53"/>
  <c r="E247" i="53"/>
  <c r="I235" i="10"/>
  <c r="C335" i="53"/>
  <c r="C285" i="53"/>
  <c r="C310" i="53"/>
  <c r="H255" i="53"/>
  <c r="F255" i="53"/>
  <c r="E249" i="53"/>
  <c r="E211" i="10"/>
  <c r="I168" i="10"/>
  <c r="C22" i="10" s="1"/>
  <c r="D256" i="53"/>
  <c r="H254" i="53"/>
  <c r="F247" i="53"/>
  <c r="E262" i="53"/>
  <c r="E254" i="53"/>
  <c r="G250" i="53"/>
  <c r="I234" i="10"/>
  <c r="D244" i="53"/>
  <c r="G92" i="55" l="1"/>
  <c r="G111" i="55" s="1"/>
  <c r="F319" i="53"/>
  <c r="F92" i="55"/>
  <c r="F100" i="55"/>
  <c r="F98" i="55"/>
  <c r="F109" i="55"/>
  <c r="F101" i="55"/>
  <c r="F108" i="55"/>
  <c r="F99" i="55"/>
  <c r="F95" i="55"/>
  <c r="F106" i="55"/>
  <c r="F110" i="55"/>
  <c r="F103" i="55"/>
  <c r="F104" i="55"/>
  <c r="F107" i="55"/>
  <c r="F102" i="55"/>
  <c r="F96" i="55"/>
  <c r="F105" i="55"/>
  <c r="F97" i="55"/>
  <c r="C280" i="53"/>
  <c r="C294" i="53"/>
  <c r="C305" i="53"/>
  <c r="C319" i="53"/>
  <c r="C274" i="53"/>
  <c r="C284" i="53"/>
  <c r="C309" i="53"/>
  <c r="H333" i="53"/>
  <c r="C272" i="53"/>
  <c r="H294" i="53"/>
  <c r="C299" i="53"/>
  <c r="F336" i="53"/>
  <c r="C321" i="53"/>
  <c r="C297" i="53"/>
  <c r="C271" i="53"/>
  <c r="C332" i="53"/>
  <c r="C307" i="53"/>
  <c r="H300" i="53"/>
  <c r="K13" i="13"/>
  <c r="K7" i="13"/>
  <c r="C277" i="53"/>
  <c r="G328" i="53"/>
  <c r="H335" i="53"/>
  <c r="C302" i="53"/>
  <c r="G337" i="53"/>
  <c r="E269" i="53"/>
  <c r="E336" i="53"/>
  <c r="E294" i="53"/>
  <c r="D308" i="53"/>
  <c r="F294" i="53"/>
  <c r="H309" i="53"/>
  <c r="F285" i="53"/>
  <c r="H325" i="53"/>
  <c r="F312" i="53"/>
  <c r="F337" i="53"/>
  <c r="H319" i="53"/>
  <c r="H283" i="53"/>
  <c r="H306" i="53"/>
  <c r="F275" i="53"/>
  <c r="G302" i="53"/>
  <c r="Y15" i="55"/>
  <c r="M148" i="55"/>
  <c r="E111" i="44"/>
  <c r="F111" i="44" s="1"/>
  <c r="H111" i="44" s="1"/>
  <c r="G286" i="53"/>
  <c r="G327" i="53"/>
  <c r="F281" i="53"/>
  <c r="D328" i="53"/>
  <c r="H281" i="53"/>
  <c r="D321" i="53"/>
  <c r="F306" i="53"/>
  <c r="H284" i="53"/>
  <c r="F295" i="53"/>
  <c r="D298" i="53"/>
  <c r="G285" i="53"/>
  <c r="H293" i="53"/>
  <c r="F320" i="53"/>
  <c r="H318" i="53"/>
  <c r="G331" i="53"/>
  <c r="E281" i="53"/>
  <c r="E306" i="53"/>
  <c r="G287" i="53"/>
  <c r="D277" i="53"/>
  <c r="E286" i="53"/>
  <c r="H285" i="53"/>
  <c r="F310" i="53"/>
  <c r="H277" i="53"/>
  <c r="G311" i="53"/>
  <c r="E327" i="53"/>
  <c r="G281" i="53"/>
  <c r="H302" i="53"/>
  <c r="E308" i="53"/>
  <c r="E333" i="53"/>
  <c r="D271" i="53"/>
  <c r="E109" i="44"/>
  <c r="F109" i="44" s="1"/>
  <c r="H109" i="44" s="1"/>
  <c r="K17" i="13"/>
  <c r="K19" i="13"/>
  <c r="E129" i="44"/>
  <c r="F129" i="44" s="1"/>
  <c r="E116" i="44"/>
  <c r="F116" i="44" s="1"/>
  <c r="H116" i="44" s="1"/>
  <c r="K25" i="13"/>
  <c r="E94" i="44"/>
  <c r="F94" i="44" s="1"/>
  <c r="H94" i="44" s="1"/>
  <c r="E96" i="44"/>
  <c r="F96" i="44" s="1"/>
  <c r="H96" i="44" s="1"/>
  <c r="E115" i="44"/>
  <c r="F115" i="44" s="1"/>
  <c r="H115" i="44" s="1"/>
  <c r="C21" i="13"/>
  <c r="F21" i="13" s="1"/>
  <c r="D142" i="55" s="1"/>
  <c r="E105" i="55" s="1"/>
  <c r="N54" i="13"/>
  <c r="E112" i="44"/>
  <c r="F112" i="44" s="1"/>
  <c r="H112" i="44" s="1"/>
  <c r="E130" i="44"/>
  <c r="F130" i="44" s="1"/>
  <c r="E113" i="44"/>
  <c r="F113" i="44" s="1"/>
  <c r="H113" i="44" s="1"/>
  <c r="C23" i="13"/>
  <c r="F23" i="13" s="1"/>
  <c r="D144" i="55" s="1"/>
  <c r="E107" i="55" s="1"/>
  <c r="E99" i="44"/>
  <c r="F99" i="44" s="1"/>
  <c r="H99" i="44" s="1"/>
  <c r="K15" i="13"/>
  <c r="E131" i="44"/>
  <c r="F131" i="44" s="1"/>
  <c r="E97" i="44"/>
  <c r="F97" i="44" s="1"/>
  <c r="H97" i="44" s="1"/>
  <c r="F286" i="53"/>
  <c r="D273" i="53"/>
  <c r="I261" i="53"/>
  <c r="G270" i="53"/>
  <c r="G269" i="53"/>
  <c r="G295" i="53"/>
  <c r="I262" i="53"/>
  <c r="G294" i="53"/>
  <c r="G298" i="53"/>
  <c r="F300" i="53"/>
  <c r="F303" i="53"/>
  <c r="F277" i="53"/>
  <c r="F328" i="53"/>
  <c r="F302" i="53"/>
  <c r="D283" i="53"/>
  <c r="D303" i="53"/>
  <c r="I254" i="53"/>
  <c r="G303" i="53"/>
  <c r="D302" i="53"/>
  <c r="H301" i="53"/>
  <c r="G273" i="53"/>
  <c r="H326" i="53"/>
  <c r="E102" i="44"/>
  <c r="F102" i="44" s="1"/>
  <c r="H102" i="44" s="1"/>
  <c r="L43" i="7"/>
  <c r="I252" i="53"/>
  <c r="E302" i="53"/>
  <c r="I260" i="53"/>
  <c r="S224" i="7"/>
  <c r="C24" i="7"/>
  <c r="F24" i="7" s="1"/>
  <c r="C129" i="55" s="1"/>
  <c r="C92" i="55" s="1"/>
  <c r="I245" i="53"/>
  <c r="S297" i="7"/>
  <c r="S272" i="7"/>
  <c r="S248" i="7"/>
  <c r="E23" i="7"/>
  <c r="F23" i="7" s="1"/>
  <c r="L91" i="7"/>
  <c r="J43" i="7"/>
  <c r="C38" i="7"/>
  <c r="C30" i="7"/>
  <c r="C35" i="7"/>
  <c r="C27" i="7"/>
  <c r="C40" i="7"/>
  <c r="C32" i="7"/>
  <c r="C37" i="7"/>
  <c r="C29" i="7"/>
  <c r="C36" i="7"/>
  <c r="C33" i="7"/>
  <c r="C42" i="7"/>
  <c r="C34" i="7"/>
  <c r="C41" i="7"/>
  <c r="C39" i="7"/>
  <c r="C31" i="7"/>
  <c r="C28" i="7"/>
  <c r="M28" i="7"/>
  <c r="M30" i="7"/>
  <c r="M32" i="7"/>
  <c r="M34" i="7"/>
  <c r="M36" i="7"/>
  <c r="M38" i="7"/>
  <c r="M40" i="7"/>
  <c r="M42" i="7"/>
  <c r="M27" i="7"/>
  <c r="M29" i="7"/>
  <c r="M31" i="7"/>
  <c r="M33" i="7"/>
  <c r="M35" i="7"/>
  <c r="M37" i="7"/>
  <c r="M39" i="7"/>
  <c r="M41" i="7"/>
  <c r="E40" i="7"/>
  <c r="E32" i="7"/>
  <c r="E37" i="7"/>
  <c r="E29" i="7"/>
  <c r="E42" i="7"/>
  <c r="E34" i="7"/>
  <c r="E39" i="7"/>
  <c r="E31" i="7"/>
  <c r="E30" i="7"/>
  <c r="E36" i="7"/>
  <c r="E28" i="7"/>
  <c r="E35" i="7"/>
  <c r="E41" i="7"/>
  <c r="E33" i="7"/>
  <c r="E38" i="7"/>
  <c r="E27" i="7"/>
  <c r="D35" i="7"/>
  <c r="D27" i="7"/>
  <c r="D40" i="7"/>
  <c r="D32" i="7"/>
  <c r="D37" i="7"/>
  <c r="D29" i="7"/>
  <c r="D42" i="7"/>
  <c r="D34" i="7"/>
  <c r="D41" i="7"/>
  <c r="D39" i="7"/>
  <c r="D31" i="7"/>
  <c r="D30" i="7"/>
  <c r="D36" i="7"/>
  <c r="D28" i="7"/>
  <c r="D33" i="7"/>
  <c r="D38" i="7"/>
  <c r="F75" i="7"/>
  <c r="F91" i="7" s="1"/>
  <c r="E100" i="44"/>
  <c r="F100" i="44" s="1"/>
  <c r="H100" i="44" s="1"/>
  <c r="F25" i="7"/>
  <c r="C130" i="55" s="1"/>
  <c r="C93" i="55" s="1"/>
  <c r="F26" i="7"/>
  <c r="C131" i="55" s="1"/>
  <c r="C94" i="55" s="1"/>
  <c r="K43" i="7"/>
  <c r="E37" i="10"/>
  <c r="E36" i="10"/>
  <c r="E27" i="10"/>
  <c r="E31" i="10"/>
  <c r="E24" i="10"/>
  <c r="E38" i="10"/>
  <c r="E32" i="10"/>
  <c r="E28" i="10"/>
  <c r="E25" i="10"/>
  <c r="E39" i="10"/>
  <c r="E33" i="10"/>
  <c r="E29" i="10"/>
  <c r="E30" i="10"/>
  <c r="E34" i="10"/>
  <c r="E35" i="10"/>
  <c r="E105" i="44"/>
  <c r="F105" i="44" s="1"/>
  <c r="H105" i="44" s="1"/>
  <c r="E104" i="44"/>
  <c r="F104" i="44" s="1"/>
  <c r="H104" i="44" s="1"/>
  <c r="N149" i="37"/>
  <c r="F23" i="10"/>
  <c r="W203" i="37"/>
  <c r="AA203" i="37" s="1"/>
  <c r="L203" i="37"/>
  <c r="R203" i="37" s="1"/>
  <c r="F22" i="10"/>
  <c r="F7" i="13"/>
  <c r="D128" i="55" s="1"/>
  <c r="E91" i="55" s="1"/>
  <c r="Z353" i="4"/>
  <c r="AB92" i="4"/>
  <c r="AA353" i="4" s="1"/>
  <c r="Z354" i="4"/>
  <c r="AB121" i="4"/>
  <c r="AA354" i="4" s="1"/>
  <c r="U210" i="37"/>
  <c r="F279" i="53"/>
  <c r="F329" i="53"/>
  <c r="G310" i="53"/>
  <c r="I247" i="53"/>
  <c r="I248" i="53"/>
  <c r="I255" i="53"/>
  <c r="H263" i="53"/>
  <c r="I250" i="53"/>
  <c r="I251" i="53"/>
  <c r="I253" i="53"/>
  <c r="D331" i="53"/>
  <c r="D281" i="53"/>
  <c r="D306" i="53"/>
  <c r="F318" i="53"/>
  <c r="F293" i="53"/>
  <c r="F268" i="53"/>
  <c r="F263" i="53"/>
  <c r="I256" i="53"/>
  <c r="H332" i="53"/>
  <c r="H307" i="53"/>
  <c r="H282" i="53"/>
  <c r="E321" i="53"/>
  <c r="E296" i="53"/>
  <c r="E271" i="53"/>
  <c r="F283" i="53"/>
  <c r="F333" i="53"/>
  <c r="F308" i="53"/>
  <c r="E324" i="53"/>
  <c r="E299" i="53"/>
  <c r="E274" i="53"/>
  <c r="G271" i="53"/>
  <c r="G321" i="53"/>
  <c r="G296" i="53"/>
  <c r="G334" i="53"/>
  <c r="G309" i="53"/>
  <c r="G284" i="53"/>
  <c r="G333" i="53"/>
  <c r="G308" i="53"/>
  <c r="G283" i="53"/>
  <c r="G272" i="53"/>
  <c r="G322" i="53"/>
  <c r="G297" i="53"/>
  <c r="E285" i="53"/>
  <c r="E335" i="53"/>
  <c r="E310" i="53"/>
  <c r="H328" i="53"/>
  <c r="H303" i="53"/>
  <c r="H278" i="53"/>
  <c r="D324" i="53"/>
  <c r="D299" i="53"/>
  <c r="D274" i="53"/>
  <c r="D319" i="53"/>
  <c r="D294" i="53"/>
  <c r="D269" i="53"/>
  <c r="G275" i="53"/>
  <c r="G325" i="53"/>
  <c r="G300" i="53"/>
  <c r="E279" i="53"/>
  <c r="E329" i="53"/>
  <c r="E304" i="53"/>
  <c r="F280" i="53"/>
  <c r="F330" i="53"/>
  <c r="F305" i="53"/>
  <c r="D37" i="10"/>
  <c r="D33" i="10"/>
  <c r="D25" i="10"/>
  <c r="D28" i="10"/>
  <c r="D38" i="10"/>
  <c r="D31" i="10"/>
  <c r="D36" i="10"/>
  <c r="D26" i="10"/>
  <c r="D34" i="10"/>
  <c r="D29" i="10"/>
  <c r="D39" i="10"/>
  <c r="D32" i="10"/>
  <c r="D24" i="10"/>
  <c r="D27" i="10"/>
  <c r="D35" i="10"/>
  <c r="D30" i="10"/>
  <c r="I236" i="10"/>
  <c r="E20" i="10"/>
  <c r="F21" i="10"/>
  <c r="E328" i="53"/>
  <c r="E303" i="53"/>
  <c r="E278" i="53"/>
  <c r="E325" i="53"/>
  <c r="E300" i="53"/>
  <c r="E275" i="53"/>
  <c r="I186" i="10"/>
  <c r="C20" i="10"/>
  <c r="D336" i="53"/>
  <c r="D286" i="53"/>
  <c r="D311" i="53"/>
  <c r="G329" i="53"/>
  <c r="G279" i="53"/>
  <c r="G304" i="53"/>
  <c r="H324" i="53"/>
  <c r="H299" i="53"/>
  <c r="H274" i="53"/>
  <c r="G268" i="53"/>
  <c r="G263" i="53"/>
  <c r="G318" i="53"/>
  <c r="G293" i="53"/>
  <c r="F326" i="53"/>
  <c r="F301" i="53"/>
  <c r="F276" i="53"/>
  <c r="F284" i="53"/>
  <c r="F334" i="53"/>
  <c r="F309" i="53"/>
  <c r="E284" i="53"/>
  <c r="E334" i="53"/>
  <c r="E309" i="53"/>
  <c r="D320" i="53"/>
  <c r="D270" i="53"/>
  <c r="D295" i="53"/>
  <c r="E323" i="53"/>
  <c r="E298" i="53"/>
  <c r="E273" i="53"/>
  <c r="E326" i="53"/>
  <c r="E301" i="53"/>
  <c r="E276" i="53"/>
  <c r="H330" i="53"/>
  <c r="H280" i="53"/>
  <c r="H305" i="53"/>
  <c r="D318" i="53"/>
  <c r="D263" i="53"/>
  <c r="D268" i="53"/>
  <c r="D293" i="53"/>
  <c r="H320" i="53"/>
  <c r="H295" i="53"/>
  <c r="H270" i="53"/>
  <c r="D334" i="53"/>
  <c r="D284" i="53"/>
  <c r="D309" i="53"/>
  <c r="F273" i="53"/>
  <c r="F323" i="53"/>
  <c r="F298" i="53"/>
  <c r="H321" i="53"/>
  <c r="H296" i="53"/>
  <c r="H271" i="53"/>
  <c r="H322" i="53"/>
  <c r="H272" i="53"/>
  <c r="H297" i="53"/>
  <c r="F274" i="53"/>
  <c r="F324" i="53"/>
  <c r="F299" i="53"/>
  <c r="C318" i="53"/>
  <c r="C293" i="53"/>
  <c r="C268" i="53"/>
  <c r="I243" i="53"/>
  <c r="C263" i="53"/>
  <c r="F282" i="53"/>
  <c r="F332" i="53"/>
  <c r="F307" i="53"/>
  <c r="I259" i="53"/>
  <c r="E282" i="53"/>
  <c r="E332" i="53"/>
  <c r="E307" i="53"/>
  <c r="E287" i="53"/>
  <c r="E337" i="53"/>
  <c r="E312" i="53"/>
  <c r="F272" i="53"/>
  <c r="F322" i="53"/>
  <c r="F297" i="53"/>
  <c r="H329" i="53"/>
  <c r="H304" i="53"/>
  <c r="H279" i="53"/>
  <c r="I211" i="10"/>
  <c r="D20" i="10"/>
  <c r="H336" i="53"/>
  <c r="H311" i="53"/>
  <c r="H286" i="53"/>
  <c r="I249" i="53"/>
  <c r="E280" i="53"/>
  <c r="E330" i="53"/>
  <c r="E305" i="53"/>
  <c r="C34" i="10"/>
  <c r="C35" i="10"/>
  <c r="C30" i="10"/>
  <c r="C33" i="10"/>
  <c r="C25" i="10"/>
  <c r="C28" i="10"/>
  <c r="C38" i="10"/>
  <c r="C31" i="10"/>
  <c r="C36" i="10"/>
  <c r="C26" i="10"/>
  <c r="C29" i="10"/>
  <c r="C39" i="10"/>
  <c r="C32" i="10"/>
  <c r="C24" i="10"/>
  <c r="C37" i="10"/>
  <c r="C27" i="10"/>
  <c r="H323" i="53"/>
  <c r="H298" i="53"/>
  <c r="H273" i="53"/>
  <c r="I244" i="53"/>
  <c r="H337" i="53"/>
  <c r="H312" i="53"/>
  <c r="H287" i="53"/>
  <c r="D335" i="53"/>
  <c r="D310" i="53"/>
  <c r="D285" i="53"/>
  <c r="I258" i="53"/>
  <c r="G276" i="53"/>
  <c r="G326" i="53"/>
  <c r="G301" i="53"/>
  <c r="D322" i="53"/>
  <c r="D272" i="53"/>
  <c r="D297" i="53"/>
  <c r="F271" i="53"/>
  <c r="F321" i="53"/>
  <c r="F296" i="53"/>
  <c r="G332" i="53"/>
  <c r="G307" i="53"/>
  <c r="G282" i="53"/>
  <c r="I257" i="53"/>
  <c r="D325" i="53"/>
  <c r="D300" i="53"/>
  <c r="D275" i="53"/>
  <c r="D329" i="53"/>
  <c r="D279" i="53"/>
  <c r="D304" i="53"/>
  <c r="D332" i="53"/>
  <c r="D307" i="53"/>
  <c r="D282" i="53"/>
  <c r="I246" i="53"/>
  <c r="E322" i="53"/>
  <c r="E297" i="53"/>
  <c r="E272" i="53"/>
  <c r="E320" i="53"/>
  <c r="E295" i="53"/>
  <c r="E270" i="53"/>
  <c r="D326" i="53"/>
  <c r="D276" i="53"/>
  <c r="D301" i="53"/>
  <c r="G274" i="53"/>
  <c r="G324" i="53"/>
  <c r="G299" i="53"/>
  <c r="D337" i="53"/>
  <c r="D287" i="53"/>
  <c r="D312" i="53"/>
  <c r="G330" i="53"/>
  <c r="G305" i="53"/>
  <c r="G280" i="53"/>
  <c r="D330" i="53"/>
  <c r="D280" i="53"/>
  <c r="D305" i="53"/>
  <c r="E263" i="53"/>
  <c r="F111" i="55" l="1"/>
  <c r="I319" i="53"/>
  <c r="E21" i="53" s="1"/>
  <c r="I327" i="53"/>
  <c r="I306" i="53"/>
  <c r="I281" i="53"/>
  <c r="I277" i="53"/>
  <c r="I331" i="53"/>
  <c r="K27" i="13"/>
  <c r="C122" i="44"/>
  <c r="F132" i="44"/>
  <c r="I126" i="44" s="1"/>
  <c r="E111" i="55"/>
  <c r="I269" i="53"/>
  <c r="C21" i="53" s="1"/>
  <c r="C27" i="13"/>
  <c r="F27" i="13" s="1"/>
  <c r="C121" i="44"/>
  <c r="I294" i="53"/>
  <c r="D21" i="53" s="1"/>
  <c r="C123" i="44"/>
  <c r="I302" i="53"/>
  <c r="F35" i="7"/>
  <c r="C140" i="55" s="1"/>
  <c r="C103" i="55" s="1"/>
  <c r="F42" i="7"/>
  <c r="C147" i="55" s="1"/>
  <c r="AA91" i="7"/>
  <c r="F36" i="7"/>
  <c r="C141" i="55" s="1"/>
  <c r="C104" i="55" s="1"/>
  <c r="F30" i="7"/>
  <c r="C135" i="55" s="1"/>
  <c r="C98" i="55" s="1"/>
  <c r="F33" i="7"/>
  <c r="C138" i="55" s="1"/>
  <c r="C101" i="55" s="1"/>
  <c r="F40" i="7"/>
  <c r="C145" i="55" s="1"/>
  <c r="C108" i="55" s="1"/>
  <c r="F32" i="7"/>
  <c r="C137" i="55" s="1"/>
  <c r="C100" i="55" s="1"/>
  <c r="F34" i="7"/>
  <c r="C139" i="55" s="1"/>
  <c r="C102" i="55" s="1"/>
  <c r="F41" i="7"/>
  <c r="C146" i="55" s="1"/>
  <c r="C109" i="55" s="1"/>
  <c r="F39" i="7"/>
  <c r="C144" i="55" s="1"/>
  <c r="C107" i="55" s="1"/>
  <c r="F27" i="7"/>
  <c r="C132" i="55" s="1"/>
  <c r="C95" i="55" s="1"/>
  <c r="F38" i="7"/>
  <c r="C143" i="55" s="1"/>
  <c r="C106" i="55" s="1"/>
  <c r="F28" i="7"/>
  <c r="C133" i="55" s="1"/>
  <c r="C96" i="55" s="1"/>
  <c r="F29" i="7"/>
  <c r="C134" i="55" s="1"/>
  <c r="C97" i="55" s="1"/>
  <c r="M43" i="7"/>
  <c r="C43" i="7"/>
  <c r="C14" i="55" s="1"/>
  <c r="X13" i="55" s="1"/>
  <c r="D43" i="7"/>
  <c r="D14" i="55" s="1"/>
  <c r="Y13" i="55" s="1"/>
  <c r="F31" i="7"/>
  <c r="C136" i="55" s="1"/>
  <c r="C99" i="55" s="1"/>
  <c r="F37" i="10"/>
  <c r="E43" i="7"/>
  <c r="E14" i="55" s="1"/>
  <c r="Z13" i="55" s="1"/>
  <c r="F37" i="7"/>
  <c r="C142" i="55" s="1"/>
  <c r="C105" i="55" s="1"/>
  <c r="I285" i="53"/>
  <c r="I335" i="53"/>
  <c r="F28" i="10"/>
  <c r="F32" i="10"/>
  <c r="I286" i="53"/>
  <c r="F33" i="10"/>
  <c r="I299" i="53"/>
  <c r="I329" i="53"/>
  <c r="F29" i="10"/>
  <c r="I311" i="53"/>
  <c r="I274" i="53"/>
  <c r="I283" i="53"/>
  <c r="F36" i="10"/>
  <c r="I337" i="53"/>
  <c r="I303" i="53"/>
  <c r="F39" i="10"/>
  <c r="I325" i="53"/>
  <c r="E40" i="10"/>
  <c r="E18" i="55" s="1"/>
  <c r="E6" i="55" s="1"/>
  <c r="I278" i="53"/>
  <c r="I321" i="53"/>
  <c r="E23" i="53" s="1"/>
  <c r="F30" i="10"/>
  <c r="I333" i="53"/>
  <c r="I300" i="53"/>
  <c r="F26" i="10"/>
  <c r="I320" i="53"/>
  <c r="E22" i="53" s="1"/>
  <c r="I310" i="53"/>
  <c r="F31" i="10"/>
  <c r="F27" i="10"/>
  <c r="I301" i="53"/>
  <c r="F38" i="10"/>
  <c r="F24" i="10"/>
  <c r="I304" i="53"/>
  <c r="F25" i="10"/>
  <c r="I271" i="53"/>
  <c r="C23" i="53" s="1"/>
  <c r="W204" i="37"/>
  <c r="AA204" i="37" s="1"/>
  <c r="I276" i="53"/>
  <c r="D40" i="10"/>
  <c r="D18" i="55" s="1"/>
  <c r="D6" i="55" s="1"/>
  <c r="L204" i="37"/>
  <c r="R204" i="37" s="1"/>
  <c r="I279" i="53"/>
  <c r="C128" i="55"/>
  <c r="C91" i="55" s="1"/>
  <c r="M94" i="44"/>
  <c r="I328" i="53"/>
  <c r="I280" i="53"/>
  <c r="I312" i="53"/>
  <c r="F35" i="10"/>
  <c r="I305" i="53"/>
  <c r="I330" i="53"/>
  <c r="I308" i="53"/>
  <c r="I282" i="53"/>
  <c r="I309" i="53"/>
  <c r="I334" i="53"/>
  <c r="I307" i="53"/>
  <c r="I296" i="53"/>
  <c r="D23" i="53" s="1"/>
  <c r="E338" i="53"/>
  <c r="I297" i="53"/>
  <c r="D25" i="53" s="1"/>
  <c r="I284" i="53"/>
  <c r="I273" i="53"/>
  <c r="I324" i="53"/>
  <c r="E288" i="53"/>
  <c r="I272" i="53"/>
  <c r="C35" i="53" s="1"/>
  <c r="I298" i="53"/>
  <c r="F34" i="10"/>
  <c r="E313" i="53"/>
  <c r="I322" i="53"/>
  <c r="E25" i="53" s="1"/>
  <c r="H288" i="53"/>
  <c r="I323" i="53"/>
  <c r="I287" i="53"/>
  <c r="H313" i="53"/>
  <c r="I295" i="53"/>
  <c r="D22" i="53" s="1"/>
  <c r="H338" i="53"/>
  <c r="I270" i="53"/>
  <c r="C22" i="53" s="1"/>
  <c r="I336" i="53"/>
  <c r="I332" i="53"/>
  <c r="I275" i="53"/>
  <c r="I326" i="53"/>
  <c r="D338" i="53"/>
  <c r="G338" i="53"/>
  <c r="C40" i="10"/>
  <c r="C18" i="55" s="1"/>
  <c r="F20" i="10"/>
  <c r="I263" i="53"/>
  <c r="I268" i="53"/>
  <c r="C288" i="53"/>
  <c r="G288" i="53"/>
  <c r="F288" i="53"/>
  <c r="I293" i="53"/>
  <c r="C313" i="53"/>
  <c r="F313" i="53"/>
  <c r="I318" i="53"/>
  <c r="C338" i="53"/>
  <c r="F338" i="53"/>
  <c r="D313" i="53"/>
  <c r="D288" i="53"/>
  <c r="G313" i="53"/>
  <c r="C110" i="55" l="1"/>
  <c r="C111" i="55" s="1"/>
  <c r="F21" i="53"/>
  <c r="G129" i="55" s="1"/>
  <c r="N129" i="55" s="1"/>
  <c r="I129" i="44"/>
  <c r="C15" i="55"/>
  <c r="I15" i="55" s="1"/>
  <c r="AD14" i="55" s="1"/>
  <c r="C5" i="55"/>
  <c r="X5" i="55" s="1"/>
  <c r="D5" i="55"/>
  <c r="Y5" i="55" s="1"/>
  <c r="E5" i="55"/>
  <c r="Z5" i="55" s="1"/>
  <c r="F43" i="7"/>
  <c r="I14" i="55"/>
  <c r="AD13" i="55" s="1"/>
  <c r="E24" i="53"/>
  <c r="D35" i="53"/>
  <c r="D24" i="53"/>
  <c r="D38" i="53"/>
  <c r="F23" i="53"/>
  <c r="G131" i="55" s="1"/>
  <c r="N131" i="55" s="1"/>
  <c r="D30" i="53"/>
  <c r="E27" i="53"/>
  <c r="C26" i="53"/>
  <c r="C29" i="53"/>
  <c r="F40" i="10"/>
  <c r="D32" i="53"/>
  <c r="E33" i="53"/>
  <c r="D33" i="53"/>
  <c r="E38" i="53"/>
  <c r="E37" i="53"/>
  <c r="C39" i="53"/>
  <c r="C36" i="53"/>
  <c r="W205" i="37"/>
  <c r="AA205" i="37" s="1"/>
  <c r="C38" i="53"/>
  <c r="E39" i="53"/>
  <c r="C31" i="53"/>
  <c r="C37" i="53"/>
  <c r="C34" i="53"/>
  <c r="C28" i="53"/>
  <c r="C33" i="53"/>
  <c r="C25" i="53"/>
  <c r="F25" i="53" s="1"/>
  <c r="G133" i="55" s="1"/>
  <c r="E32" i="53"/>
  <c r="C27" i="53"/>
  <c r="L205" i="37"/>
  <c r="R205" i="37" s="1"/>
  <c r="C30" i="53"/>
  <c r="C24" i="53"/>
  <c r="E29" i="53"/>
  <c r="C32" i="53"/>
  <c r="F22" i="53"/>
  <c r="G130" i="55" s="1"/>
  <c r="M130" i="55" s="1"/>
  <c r="C46" i="55" s="1"/>
  <c r="X14" i="55"/>
  <c r="D39" i="53"/>
  <c r="E34" i="53"/>
  <c r="E36" i="53"/>
  <c r="D26" i="53"/>
  <c r="D36" i="53"/>
  <c r="E31" i="53"/>
  <c r="E35" i="53"/>
  <c r="D34" i="53"/>
  <c r="D37" i="53"/>
  <c r="E26" i="53"/>
  <c r="E28" i="53"/>
  <c r="D28" i="53"/>
  <c r="D31" i="53"/>
  <c r="D29" i="53"/>
  <c r="E30" i="53"/>
  <c r="D27" i="53"/>
  <c r="I288" i="53"/>
  <c r="C20" i="53"/>
  <c r="I338" i="53"/>
  <c r="E20" i="53"/>
  <c r="I18" i="55"/>
  <c r="C6" i="55"/>
  <c r="I6" i="55" s="1"/>
  <c r="I313" i="53"/>
  <c r="D20" i="53"/>
  <c r="D92" i="55" l="1"/>
  <c r="M92" i="55" s="1"/>
  <c r="M129" i="55"/>
  <c r="C45" i="55" s="1"/>
  <c r="I5" i="55"/>
  <c r="AD5" i="55" s="1"/>
  <c r="M131" i="55"/>
  <c r="C47" i="55" s="1"/>
  <c r="D94" i="55"/>
  <c r="M94" i="55" s="1"/>
  <c r="F24" i="53"/>
  <c r="G132" i="55" s="1"/>
  <c r="N132" i="55" s="1"/>
  <c r="F35" i="53"/>
  <c r="G143" i="55" s="1"/>
  <c r="N143" i="55" s="1"/>
  <c r="F37" i="53"/>
  <c r="G145" i="55" s="1"/>
  <c r="M145" i="55" s="1"/>
  <c r="F27" i="53"/>
  <c r="G135" i="55" s="1"/>
  <c r="D98" i="55" s="1"/>
  <c r="F34" i="53"/>
  <c r="G142" i="55" s="1"/>
  <c r="M142" i="55" s="1"/>
  <c r="F38" i="53"/>
  <c r="G146" i="55" s="1"/>
  <c r="M146" i="55" s="1"/>
  <c r="F32" i="53"/>
  <c r="G140" i="55" s="1"/>
  <c r="D103" i="55" s="1"/>
  <c r="F33" i="53"/>
  <c r="G141" i="55" s="1"/>
  <c r="D104" i="55" s="1"/>
  <c r="D93" i="55"/>
  <c r="M93" i="55" s="1"/>
  <c r="F30" i="53"/>
  <c r="G138" i="55" s="1"/>
  <c r="M138" i="55" s="1"/>
  <c r="F39" i="53"/>
  <c r="G147" i="55" s="1"/>
  <c r="N147" i="55" s="1"/>
  <c r="N130" i="55"/>
  <c r="F31" i="53"/>
  <c r="G139" i="55" s="1"/>
  <c r="N139" i="55" s="1"/>
  <c r="F29" i="53"/>
  <c r="G137" i="55" s="1"/>
  <c r="M137" i="55" s="1"/>
  <c r="W206" i="37"/>
  <c r="AA206" i="37" s="1"/>
  <c r="L206" i="37"/>
  <c r="R206" i="37" s="1"/>
  <c r="F28" i="53"/>
  <c r="G136" i="55" s="1"/>
  <c r="M136" i="55" s="1"/>
  <c r="F26" i="53"/>
  <c r="G134" i="55" s="1"/>
  <c r="D97" i="55" s="1"/>
  <c r="F36" i="53"/>
  <c r="G144" i="55" s="1"/>
  <c r="N144" i="55" s="1"/>
  <c r="D40" i="53"/>
  <c r="D19" i="55" s="1"/>
  <c r="Y17" i="55" s="1"/>
  <c r="Y24" i="55" s="1"/>
  <c r="E40" i="53"/>
  <c r="E19" i="55" s="1"/>
  <c r="E25" i="55" s="1"/>
  <c r="D96" i="55"/>
  <c r="N133" i="55"/>
  <c r="M133" i="55"/>
  <c r="F20" i="53"/>
  <c r="C40" i="53"/>
  <c r="C19" i="55" s="1"/>
  <c r="L92" i="55" l="1"/>
  <c r="L94" i="55"/>
  <c r="M135" i="55"/>
  <c r="N145" i="55"/>
  <c r="D108" i="55"/>
  <c r="M108" i="55" s="1"/>
  <c r="N135" i="55"/>
  <c r="D95" i="55"/>
  <c r="M95" i="55" s="1"/>
  <c r="D7" i="55"/>
  <c r="Y6" i="55" s="1"/>
  <c r="M143" i="55"/>
  <c r="D106" i="55"/>
  <c r="M106" i="55" s="1"/>
  <c r="M132" i="55"/>
  <c r="D109" i="55"/>
  <c r="M109" i="55" s="1"/>
  <c r="D105" i="55"/>
  <c r="M105" i="55" s="1"/>
  <c r="N142" i="55"/>
  <c r="M134" i="55"/>
  <c r="M139" i="55"/>
  <c r="M141" i="55"/>
  <c r="N141" i="55"/>
  <c r="N146" i="55"/>
  <c r="N138" i="55"/>
  <c r="M140" i="55"/>
  <c r="D25" i="55"/>
  <c r="D9" i="55" s="1"/>
  <c r="Y8" i="55" s="1"/>
  <c r="N137" i="55"/>
  <c r="D100" i="55"/>
  <c r="L100" i="55" s="1"/>
  <c r="L93" i="55"/>
  <c r="D101" i="55"/>
  <c r="M101" i="55" s="1"/>
  <c r="M147" i="55"/>
  <c r="N136" i="55"/>
  <c r="D110" i="55"/>
  <c r="M110" i="55" s="1"/>
  <c r="D99" i="55"/>
  <c r="L99" i="55" s="1"/>
  <c r="Z17" i="55"/>
  <c r="Z24" i="55" s="1"/>
  <c r="E7" i="55"/>
  <c r="Z6" i="55" s="1"/>
  <c r="N140" i="55"/>
  <c r="D102" i="55"/>
  <c r="M102" i="55" s="1"/>
  <c r="N134" i="55"/>
  <c r="W207" i="37"/>
  <c r="AA207" i="37" s="1"/>
  <c r="D107" i="55"/>
  <c r="M107" i="55" s="1"/>
  <c r="M144" i="55"/>
  <c r="L207" i="37"/>
  <c r="R207" i="37" s="1"/>
  <c r="M104" i="55"/>
  <c r="L104" i="55"/>
  <c r="E26" i="55"/>
  <c r="E10" i="55" s="1"/>
  <c r="Z9" i="55" s="1"/>
  <c r="E9" i="55"/>
  <c r="Z8" i="55" s="1"/>
  <c r="Z23" i="55"/>
  <c r="M98" i="55"/>
  <c r="L98" i="55"/>
  <c r="M96" i="55"/>
  <c r="L96" i="55"/>
  <c r="M97" i="55"/>
  <c r="L97" i="55"/>
  <c r="I19" i="55"/>
  <c r="X17" i="55"/>
  <c r="C26" i="55"/>
  <c r="C25" i="55"/>
  <c r="C7" i="55"/>
  <c r="G128" i="55"/>
  <c r="F40" i="53"/>
  <c r="M103" i="55"/>
  <c r="L103" i="55"/>
  <c r="C10" i="55" l="1"/>
  <c r="X9" i="55" s="1"/>
  <c r="X24" i="55"/>
  <c r="L108" i="55"/>
  <c r="L106" i="55"/>
  <c r="L95" i="55"/>
  <c r="L109" i="55"/>
  <c r="C56" i="55"/>
  <c r="M99" i="55"/>
  <c r="C55" i="55"/>
  <c r="L105" i="55"/>
  <c r="M100" i="55"/>
  <c r="D26" i="55"/>
  <c r="D10" i="55" s="1"/>
  <c r="Y9" i="55" s="1"/>
  <c r="C54" i="55"/>
  <c r="L110" i="55"/>
  <c r="C63" i="55"/>
  <c r="L101" i="55"/>
  <c r="Y23" i="55"/>
  <c r="C59" i="55"/>
  <c r="C60" i="55"/>
  <c r="C49" i="55"/>
  <c r="C53" i="55"/>
  <c r="L102" i="55"/>
  <c r="C50" i="55"/>
  <c r="W208" i="37"/>
  <c r="AA208" i="37" s="1"/>
  <c r="L107" i="55"/>
  <c r="C57" i="55"/>
  <c r="C48" i="55"/>
  <c r="C61" i="55"/>
  <c r="C52" i="55"/>
  <c r="C58" i="55"/>
  <c r="C62" i="55"/>
  <c r="C51" i="55"/>
  <c r="L208" i="37"/>
  <c r="R208" i="37" s="1"/>
  <c r="I7" i="55"/>
  <c r="AD6" i="55" s="1"/>
  <c r="X6" i="55"/>
  <c r="X23" i="55"/>
  <c r="C9" i="55"/>
  <c r="AD17" i="55"/>
  <c r="AD24" i="55" s="1"/>
  <c r="I26" i="55"/>
  <c r="I25" i="55"/>
  <c r="N128" i="55"/>
  <c r="M128" i="55"/>
  <c r="C44" i="55" s="1"/>
  <c r="D91" i="55"/>
  <c r="I10" i="55" l="1"/>
  <c r="J26" i="55" s="1"/>
  <c r="W210" i="37"/>
  <c r="L210" i="37"/>
  <c r="C64" i="55"/>
  <c r="AD23" i="55"/>
  <c r="M3" i="55"/>
  <c r="M91" i="55"/>
  <c r="M111" i="55" s="1"/>
  <c r="L91" i="55"/>
  <c r="L111" i="55" s="1"/>
  <c r="D111" i="55"/>
  <c r="X8" i="55"/>
  <c r="I9" i="55"/>
  <c r="AD9" i="55" l="1"/>
  <c r="AE24" i="55"/>
  <c r="M96" i="44"/>
  <c r="N96" i="44" s="1"/>
  <c r="AA210" i="37"/>
  <c r="D244" i="37"/>
  <c r="D247" i="37" s="1"/>
  <c r="L94" i="44"/>
  <c r="N94" i="44" s="1"/>
  <c r="R210" i="37"/>
  <c r="C244" i="37"/>
  <c r="J24" i="55"/>
  <c r="AE22" i="55" s="1"/>
  <c r="J23" i="55"/>
  <c r="AE21" i="55" s="1"/>
  <c r="J15" i="55"/>
  <c r="AE14" i="55" s="1"/>
  <c r="D63" i="55"/>
  <c r="X61" i="55" s="1"/>
  <c r="D61" i="55"/>
  <c r="X59" i="55" s="1"/>
  <c r="D59" i="55"/>
  <c r="X57" i="55" s="1"/>
  <c r="D57" i="55"/>
  <c r="X55" i="55" s="1"/>
  <c r="D55" i="55"/>
  <c r="X53" i="55" s="1"/>
  <c r="D53" i="55"/>
  <c r="X51" i="55" s="1"/>
  <c r="D51" i="55"/>
  <c r="X49" i="55" s="1"/>
  <c r="D49" i="55"/>
  <c r="X47" i="55" s="1"/>
  <c r="D47" i="55"/>
  <c r="X45" i="55" s="1"/>
  <c r="D45" i="55"/>
  <c r="X43" i="55" s="1"/>
  <c r="J20" i="55"/>
  <c r="AE18" i="55" s="1"/>
  <c r="J17" i="55"/>
  <c r="AE16" i="55" s="1"/>
  <c r="J22" i="55"/>
  <c r="AE20" i="55" s="1"/>
  <c r="J18" i="55"/>
  <c r="AD8" i="55"/>
  <c r="D62" i="55"/>
  <c r="X60" i="55" s="1"/>
  <c r="D60" i="55"/>
  <c r="X58" i="55" s="1"/>
  <c r="D58" i="55"/>
  <c r="X56" i="55" s="1"/>
  <c r="D56" i="55"/>
  <c r="X54" i="55" s="1"/>
  <c r="D54" i="55"/>
  <c r="X52" i="55" s="1"/>
  <c r="D52" i="55"/>
  <c r="X50" i="55" s="1"/>
  <c r="D50" i="55"/>
  <c r="X48" i="55" s="1"/>
  <c r="D48" i="55"/>
  <c r="X46" i="55" s="1"/>
  <c r="D46" i="55"/>
  <c r="X44" i="55" s="1"/>
  <c r="D44" i="55"/>
  <c r="J16" i="55"/>
  <c r="AE15" i="55" s="1"/>
  <c r="J14" i="55"/>
  <c r="AE13" i="55" s="1"/>
  <c r="J7" i="55"/>
  <c r="AE6" i="55" s="1"/>
  <c r="J19" i="55"/>
  <c r="AE17" i="55" s="1"/>
  <c r="J8" i="55"/>
  <c r="AE7" i="55" s="1"/>
  <c r="J6" i="55"/>
  <c r="J5" i="55"/>
  <c r="J21" i="55"/>
  <c r="AE19" i="55" s="1"/>
  <c r="J25" i="55"/>
  <c r="AE23" i="55" s="1"/>
  <c r="C247" i="37" l="1"/>
  <c r="E247" i="37" s="1"/>
  <c r="E244" i="37"/>
  <c r="D64" i="55"/>
  <c r="X62" i="55" s="1"/>
  <c r="X42" i="55"/>
  <c r="J10" i="55"/>
  <c r="AE9" i="55" s="1"/>
  <c r="J9" i="55"/>
  <c r="AE8" i="55" s="1"/>
  <c r="AE5"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Roberts, Annie</author>
    <author>Andrews, Sabrina</author>
    <author>Cassie Snow</author>
    <author>Caren Mintz</author>
  </authors>
  <commentList>
    <comment ref="C32" authorId="0" shapeId="0" xr:uid="{2F4E1CFD-0ABF-4020-A2C2-143BD0E16E8A}">
      <text>
        <r>
          <rPr>
            <b/>
            <sz val="9"/>
            <color indexed="81"/>
            <rFont val="Tahoma"/>
            <family val="2"/>
          </rPr>
          <t>Roberts, Annie:</t>
        </r>
        <r>
          <rPr>
            <sz val="9"/>
            <color indexed="81"/>
            <rFont val="Tahoma"/>
            <family val="2"/>
          </rPr>
          <t xml:space="preserve">
The Climate Registry 2023
Table 2.1 U.S. Default Factors for Calculating CO2 Emissions from
Combustion of Transport Fuels
Updated Jan 2024</t>
        </r>
      </text>
    </comment>
    <comment ref="D32" authorId="0" shapeId="0" xr:uid="{F7F5F174-AAAE-4031-8C34-75DF2C69D72B}">
      <text>
        <r>
          <rPr>
            <b/>
            <sz val="9"/>
            <color indexed="81"/>
            <rFont val="Tahoma"/>
            <family val="2"/>
          </rPr>
          <t>Roberts, Annie:</t>
        </r>
        <r>
          <rPr>
            <sz val="9"/>
            <color indexed="81"/>
            <rFont val="Tahoma"/>
            <family val="2"/>
          </rPr>
          <t xml:space="preserve">
EPA Emissions Factors for GHG Inventories Hub, Sept 2023
Petroleum Products</t>
        </r>
      </text>
    </comment>
    <comment ref="E32" authorId="0" shapeId="0" xr:uid="{4AE6D369-6007-468A-8708-FAA41416BDBF}">
      <text>
        <r>
          <rPr>
            <b/>
            <sz val="9"/>
            <color indexed="81"/>
            <rFont val="Tahoma"/>
            <family val="2"/>
          </rPr>
          <t>Roberts, Annie:</t>
        </r>
        <r>
          <rPr>
            <sz val="9"/>
            <color indexed="81"/>
            <rFont val="Tahoma"/>
            <family val="2"/>
          </rPr>
          <t xml:space="preserve">
EPA Emissions Factors for GHG Inventories Hub, Sept 2023
Petroleum Products</t>
        </r>
      </text>
    </comment>
    <comment ref="D33" authorId="0" shapeId="0" xr:uid="{541A5E73-F66E-4488-8A14-A3136C9DEAF5}">
      <text>
        <r>
          <rPr>
            <b/>
            <sz val="9"/>
            <color indexed="81"/>
            <rFont val="Tahoma"/>
            <family val="2"/>
          </rPr>
          <t>Roberts, Annie:</t>
        </r>
        <r>
          <rPr>
            <sz val="9"/>
            <color indexed="81"/>
            <rFont val="Tahoma"/>
            <family val="2"/>
          </rPr>
          <t xml:space="preserve">
EPA Emissions Factors for GHG Inventories Hub, Sept 2023
Petroleum Products</t>
        </r>
      </text>
    </comment>
    <comment ref="E33" authorId="0" shapeId="0" xr:uid="{B867EEEA-1BEE-4865-8F9E-0D73D9D0E06A}">
      <text>
        <r>
          <rPr>
            <b/>
            <sz val="9"/>
            <color indexed="81"/>
            <rFont val="Tahoma"/>
            <family val="2"/>
          </rPr>
          <t>Roberts, Annie:</t>
        </r>
        <r>
          <rPr>
            <sz val="9"/>
            <color indexed="81"/>
            <rFont val="Tahoma"/>
            <family val="2"/>
          </rPr>
          <t xml:space="preserve">
EPA Emissions Factors for GHG Inventories Hub, Sept 2023
Petroleum Products</t>
        </r>
      </text>
    </comment>
    <comment ref="D34" authorId="0" shapeId="0" xr:uid="{5A4330DA-7FCF-44E8-8266-013E5A220865}">
      <text>
        <r>
          <rPr>
            <b/>
            <sz val="9"/>
            <color indexed="81"/>
            <rFont val="Tahoma"/>
            <family val="2"/>
          </rPr>
          <t>Roberts, Annie:</t>
        </r>
        <r>
          <rPr>
            <sz val="9"/>
            <color indexed="81"/>
            <rFont val="Tahoma"/>
            <family val="2"/>
          </rPr>
          <t xml:space="preserve">
EPA Emissions Factors for GHG Inventories Hub, Sept 2023
Petroleum Products</t>
        </r>
      </text>
    </comment>
    <comment ref="E34" authorId="0" shapeId="0" xr:uid="{299429A1-0E58-4558-AE06-1A7978C8E270}">
      <text>
        <r>
          <rPr>
            <b/>
            <sz val="9"/>
            <color indexed="81"/>
            <rFont val="Tahoma"/>
            <family val="2"/>
          </rPr>
          <t>Roberts, Annie:</t>
        </r>
        <r>
          <rPr>
            <sz val="9"/>
            <color indexed="81"/>
            <rFont val="Tahoma"/>
            <family val="2"/>
          </rPr>
          <t xml:space="preserve">
EPA Emissions Factors for GHG Inventories Hub, Sept 2023
Petroleum Products</t>
        </r>
      </text>
    </comment>
    <comment ref="C35" authorId="0" shapeId="0" xr:uid="{24257019-66E3-4E5B-A4DF-F54D406D1041}">
      <text>
        <r>
          <rPr>
            <b/>
            <sz val="9"/>
            <color indexed="81"/>
            <rFont val="Tahoma"/>
            <family val="2"/>
          </rPr>
          <t>Roberts, Annie:</t>
        </r>
        <r>
          <rPr>
            <sz val="9"/>
            <color indexed="81"/>
            <rFont val="Tahoma"/>
            <family val="2"/>
          </rPr>
          <t xml:space="preserve">
The Climate Registry
Table 1.1 U.S. Default Factors for Calculating CO2 Emissions from
 Combustion of Fossil Fuel and Biomass
Updated  Jan 2024</t>
        </r>
      </text>
    </comment>
    <comment ref="D35" authorId="0" shapeId="0" xr:uid="{04B4E28A-5556-4F75-90FE-B3BD3613BAD3}">
      <text>
        <r>
          <rPr>
            <b/>
            <sz val="9"/>
            <color indexed="81"/>
            <rFont val="Tahoma"/>
            <family val="2"/>
          </rPr>
          <t>Roberts, Annie:</t>
        </r>
        <r>
          <rPr>
            <sz val="9"/>
            <color indexed="81"/>
            <rFont val="Tahoma"/>
            <family val="2"/>
          </rPr>
          <t xml:space="preserve">
EPA Emissions Factors for GHG Inventories Hub, Sept 2023
Petroleum Products</t>
        </r>
      </text>
    </comment>
    <comment ref="E35" authorId="0" shapeId="0" xr:uid="{1E2822A1-7767-449C-9619-9026517B99D2}">
      <text>
        <r>
          <rPr>
            <b/>
            <sz val="9"/>
            <color indexed="81"/>
            <rFont val="Tahoma"/>
            <family val="2"/>
          </rPr>
          <t>Roberts, Annie:</t>
        </r>
        <r>
          <rPr>
            <sz val="9"/>
            <color indexed="81"/>
            <rFont val="Tahoma"/>
            <family val="2"/>
          </rPr>
          <t xml:space="preserve">
EPA Emissions Factors for GHG Inventories Hub, Sept 2023
Petroleum Products</t>
        </r>
      </text>
    </comment>
    <comment ref="C36" authorId="0" shapeId="0" xr:uid="{D2AA6787-3471-4B71-9711-68370ABF3362}">
      <text>
        <r>
          <rPr>
            <b/>
            <sz val="9"/>
            <color indexed="81"/>
            <rFont val="Tahoma"/>
            <family val="2"/>
          </rPr>
          <t>Roberts, Annie:</t>
        </r>
        <r>
          <rPr>
            <sz val="9"/>
            <color indexed="81"/>
            <rFont val="Tahoma"/>
            <family val="2"/>
          </rPr>
          <t xml:space="preserve">
The Climate Registry
Table 1.1 U.S. Default Factors for Calculating CO2 Emissions from
 Combustion of Fossil Fuel and Biomass
Updated Jan 2024</t>
        </r>
      </text>
    </comment>
    <comment ref="D36" authorId="0" shapeId="0" xr:uid="{C913B51F-E555-4085-A36B-0D974351C7E3}">
      <text>
        <r>
          <rPr>
            <b/>
            <sz val="9"/>
            <color indexed="81"/>
            <rFont val="Tahoma"/>
            <family val="2"/>
          </rPr>
          <t>Roberts, Annie:</t>
        </r>
        <r>
          <rPr>
            <sz val="9"/>
            <color indexed="81"/>
            <rFont val="Tahoma"/>
            <family val="2"/>
          </rPr>
          <t xml:space="preserve">
EPA Emissions Factors for GHG Inventories Hub, Sept 2023
Petroleum Products</t>
        </r>
      </text>
    </comment>
    <comment ref="E36" authorId="0" shapeId="0" xr:uid="{BB5BF268-59FE-4A8A-8C38-E191964F4CED}">
      <text>
        <r>
          <rPr>
            <b/>
            <sz val="9"/>
            <color indexed="81"/>
            <rFont val="Tahoma"/>
            <family val="2"/>
          </rPr>
          <t>Roberts, Annie:</t>
        </r>
        <r>
          <rPr>
            <sz val="9"/>
            <color indexed="81"/>
            <rFont val="Tahoma"/>
            <family val="2"/>
          </rPr>
          <t xml:space="preserve">
EPA Emissions Factors for GHG Inventories Hub, Sept 2023
Petroleum Products</t>
        </r>
      </text>
    </comment>
    <comment ref="D37" authorId="0" shapeId="0" xr:uid="{D13624CB-CEC2-4E88-A7A9-0AF6CF658B3B}">
      <text>
        <r>
          <rPr>
            <b/>
            <sz val="9"/>
            <color indexed="81"/>
            <rFont val="Tahoma"/>
            <family val="2"/>
          </rPr>
          <t>Roberts, Annie:</t>
        </r>
        <r>
          <rPr>
            <sz val="9"/>
            <color indexed="81"/>
            <rFont val="Tahoma"/>
            <family val="2"/>
          </rPr>
          <t xml:space="preserve">
EPA Emissions Factors for GHG Inventories Hub, Sept 2023
Petroleum Products</t>
        </r>
      </text>
    </comment>
    <comment ref="E37" authorId="0" shapeId="0" xr:uid="{FA544B2A-7AED-444F-B2E5-CC7012A152A9}">
      <text>
        <r>
          <rPr>
            <b/>
            <sz val="9"/>
            <color indexed="81"/>
            <rFont val="Tahoma"/>
            <family val="2"/>
          </rPr>
          <t>Roberts, Annie:</t>
        </r>
        <r>
          <rPr>
            <sz val="9"/>
            <color indexed="81"/>
            <rFont val="Tahoma"/>
            <family val="2"/>
          </rPr>
          <t xml:space="preserve">
EPA Emissions Factors for GHG Inventories Hub, Sept 2023
Petroleum Products</t>
        </r>
      </text>
    </comment>
    <comment ref="D38" authorId="0" shapeId="0" xr:uid="{17DAA6D1-7E60-4FBA-9BFA-BB10768D2A9C}">
      <text>
        <r>
          <rPr>
            <b/>
            <sz val="9"/>
            <color indexed="81"/>
            <rFont val="Tahoma"/>
            <family val="2"/>
          </rPr>
          <t>Roberts, Annie:</t>
        </r>
        <r>
          <rPr>
            <sz val="9"/>
            <color indexed="81"/>
            <rFont val="Tahoma"/>
            <family val="2"/>
          </rPr>
          <t xml:space="preserve">
EPA Emissions Factors for GHG Inventories Hub, Sept 2023
Petroleum Products</t>
        </r>
      </text>
    </comment>
    <comment ref="E38" authorId="0" shapeId="0" xr:uid="{8167F429-9570-44FD-8336-E3D9F827EAB2}">
      <text>
        <r>
          <rPr>
            <b/>
            <sz val="9"/>
            <color indexed="81"/>
            <rFont val="Tahoma"/>
            <family val="2"/>
          </rPr>
          <t>Roberts, Annie:</t>
        </r>
        <r>
          <rPr>
            <sz val="9"/>
            <color indexed="81"/>
            <rFont val="Tahoma"/>
            <family val="2"/>
          </rPr>
          <t xml:space="preserve">
EPA Emissions Factors for GHG Inventories Hub, Sept 2023
Petroleum Products</t>
        </r>
      </text>
    </comment>
    <comment ref="D44" authorId="0" shapeId="0" xr:uid="{946999D7-8EFD-4AA9-903C-0886A43F47BD}">
      <text>
        <r>
          <rPr>
            <b/>
            <sz val="9"/>
            <color indexed="81"/>
            <rFont val="Tahoma"/>
            <family val="2"/>
          </rPr>
          <t>Roberts, Annie:</t>
        </r>
        <r>
          <rPr>
            <sz val="9"/>
            <color indexed="81"/>
            <rFont val="Tahoma"/>
            <family val="2"/>
          </rPr>
          <t xml:space="preserve">
EPA Emissions Factors for GHG Inventories Hub, Sept 2023
Petroleum Products</t>
        </r>
      </text>
    </comment>
    <comment ref="E44" authorId="0" shapeId="0" xr:uid="{51BC5EC3-5473-4AE9-9657-80B9CFE7BA7D}">
      <text>
        <r>
          <rPr>
            <b/>
            <sz val="9"/>
            <color indexed="81"/>
            <rFont val="Tahoma"/>
            <family val="2"/>
          </rPr>
          <t>Roberts, Annie:</t>
        </r>
        <r>
          <rPr>
            <sz val="9"/>
            <color indexed="81"/>
            <rFont val="Tahoma"/>
            <family val="2"/>
          </rPr>
          <t xml:space="preserve">
EPA Emissions Factors for GHG Inventories Hub, Sept 2023
Petroleum Products</t>
        </r>
      </text>
    </comment>
    <comment ref="D45" authorId="0" shapeId="0" xr:uid="{6B10CEF5-DEF2-4346-8EFA-3A8180915B84}">
      <text>
        <r>
          <rPr>
            <b/>
            <sz val="9"/>
            <color indexed="81"/>
            <rFont val="Tahoma"/>
            <family val="2"/>
          </rPr>
          <t>Roberts, Annie:</t>
        </r>
        <r>
          <rPr>
            <sz val="9"/>
            <color indexed="81"/>
            <rFont val="Tahoma"/>
            <family val="2"/>
          </rPr>
          <t xml:space="preserve">
EPA Emissions Factors for GHG Inventories Hub, Sept 2023
Petroleum Products</t>
        </r>
      </text>
    </comment>
    <comment ref="E45" authorId="0" shapeId="0" xr:uid="{DDD53777-0B73-4B8A-8E33-B8DA00F8356E}">
      <text>
        <r>
          <rPr>
            <b/>
            <sz val="9"/>
            <color indexed="81"/>
            <rFont val="Tahoma"/>
            <family val="2"/>
          </rPr>
          <t>Roberts, Annie:</t>
        </r>
        <r>
          <rPr>
            <sz val="9"/>
            <color indexed="81"/>
            <rFont val="Tahoma"/>
            <family val="2"/>
          </rPr>
          <t xml:space="preserve">
EPA Emissions Factors for GHG Inventories Hub, Sept 2023
Petroleum Products</t>
        </r>
      </text>
    </comment>
    <comment ref="D50" authorId="0" shapeId="0" xr:uid="{3D0EB354-98BC-4EB7-9FE0-5DB8E9EAD4B2}">
      <text>
        <r>
          <rPr>
            <b/>
            <sz val="9"/>
            <color indexed="81"/>
            <rFont val="Tahoma"/>
            <family val="2"/>
          </rPr>
          <t>Roberts, Annie:</t>
        </r>
        <r>
          <rPr>
            <sz val="9"/>
            <color indexed="81"/>
            <rFont val="Tahoma"/>
            <family val="2"/>
          </rPr>
          <t xml:space="preserve">
The Climate Registry, Default Emission Factors, Table 1.10
Natural Gas - Residential 
Updated Jan 2024</t>
        </r>
      </text>
    </comment>
    <comment ref="E50" authorId="0" shapeId="0" xr:uid="{91D4BD15-8247-4948-BC49-925FBF52A33D}">
      <text>
        <r>
          <rPr>
            <b/>
            <sz val="9"/>
            <color indexed="81"/>
            <rFont val="Tahoma"/>
            <family val="2"/>
          </rPr>
          <t xml:space="preserve">Roberts, Annie:
</t>
        </r>
        <r>
          <rPr>
            <sz val="9"/>
            <color indexed="81"/>
            <rFont val="Tahoma"/>
            <family val="2"/>
          </rPr>
          <t>The Climate Registry, Default Emission Factors, Table 1.10
Natural Gas - Residential
Updated Jan 2024</t>
        </r>
      </text>
    </comment>
    <comment ref="C51" authorId="0" shapeId="0" xr:uid="{5DC2A979-B74A-4192-8B13-A223BDE08895}">
      <text>
        <r>
          <rPr>
            <b/>
            <sz val="9"/>
            <color indexed="81"/>
            <rFont val="Tahoma"/>
            <family val="2"/>
          </rPr>
          <t>Roberts, Annie:</t>
        </r>
        <r>
          <rPr>
            <sz val="9"/>
            <color indexed="81"/>
            <rFont val="Tahoma"/>
            <family val="2"/>
          </rPr>
          <t xml:space="preserve">
The Climate Registry 2021  Default EFs,  Table 1.1
Biogas
Updated Jan 2024</t>
        </r>
      </text>
    </comment>
    <comment ref="D51" authorId="0" shapeId="0" xr:uid="{95F34DB9-7BCB-45AD-A8F9-9EA291F08CE2}">
      <text>
        <r>
          <rPr>
            <b/>
            <sz val="9"/>
            <color indexed="81"/>
            <rFont val="Tahoma"/>
            <family val="2"/>
          </rPr>
          <t>Roberts, Annie:</t>
        </r>
        <r>
          <rPr>
            <sz val="9"/>
            <color indexed="81"/>
            <rFont val="Tahoma"/>
            <family val="2"/>
          </rPr>
          <t xml:space="preserve">
The Climate Registry 2021  Default EFs,  Table 1.9
Biogas Industrial 
Updated Jan 2024</t>
        </r>
      </text>
    </comment>
    <comment ref="E51" authorId="0" shapeId="0" xr:uid="{7C667BBD-4BE0-4863-92C9-631A1F32D260}">
      <text>
        <r>
          <rPr>
            <b/>
            <sz val="9"/>
            <color indexed="81"/>
            <rFont val="Tahoma"/>
            <family val="2"/>
          </rPr>
          <t>Roberts, Annie:</t>
        </r>
        <r>
          <rPr>
            <sz val="9"/>
            <color indexed="81"/>
            <rFont val="Tahoma"/>
            <family val="2"/>
          </rPr>
          <t xml:space="preserve">
The Climate Registry 2021  Default EFs,  Table 1.9
Biogas Industrial 
Updated Jan 2024</t>
        </r>
      </text>
    </comment>
    <comment ref="F51" authorId="0" shapeId="0" xr:uid="{120FE49B-8F55-496A-90B5-BB5F7FF279D5}">
      <text>
        <r>
          <rPr>
            <b/>
            <sz val="9"/>
            <color indexed="81"/>
            <rFont val="Tahoma"/>
            <family val="2"/>
          </rPr>
          <t>Roberts, Annie:</t>
        </r>
        <r>
          <rPr>
            <sz val="9"/>
            <color indexed="81"/>
            <rFont val="Tahoma"/>
            <family val="2"/>
          </rPr>
          <t xml:space="preserve">
The Climate Registry 2021  Default EFs,  Table 1.1
Biogas
Updated  Jan 2024</t>
        </r>
      </text>
    </comment>
    <comment ref="D52" authorId="0" shapeId="0" xr:uid="{FD072AAF-676F-4856-B5CC-5F24F71224A3}">
      <text>
        <r>
          <rPr>
            <b/>
            <sz val="9"/>
            <color indexed="81"/>
            <rFont val="Tahoma"/>
            <family val="2"/>
          </rPr>
          <t>Roberts, Annie:</t>
        </r>
        <r>
          <rPr>
            <sz val="9"/>
            <color indexed="81"/>
            <rFont val="Tahoma"/>
            <family val="2"/>
          </rPr>
          <t xml:space="preserve">
Roberts, Annie:
EPA Emissions Factors for GHG Inventories Hub, Sept 2023
Petroleum Products
</t>
        </r>
      </text>
    </comment>
    <comment ref="E52" authorId="0" shapeId="0" xr:uid="{40790BDD-E958-4A87-A30F-220F9D6BBAC7}">
      <text>
        <r>
          <rPr>
            <b/>
            <sz val="9"/>
            <color indexed="81"/>
            <rFont val="Tahoma"/>
            <family val="2"/>
          </rPr>
          <t>Roberts, Annie:</t>
        </r>
        <r>
          <rPr>
            <sz val="9"/>
            <color indexed="81"/>
            <rFont val="Tahoma"/>
            <family val="2"/>
          </rPr>
          <t xml:space="preserve">
Roberts, Annie:
EPA Emissions Factors for GHG Inventories Hub, Sept 2023
Petroleum Products</t>
        </r>
      </text>
    </comment>
    <comment ref="F52" authorId="0" shapeId="0" xr:uid="{D0E69E70-6812-4E28-A39C-751FA7679AF8}">
      <text>
        <r>
          <rPr>
            <b/>
            <sz val="9"/>
            <color indexed="81"/>
            <rFont val="Tahoma"/>
            <family val="2"/>
          </rPr>
          <t>Roberts, Annie:</t>
        </r>
        <r>
          <rPr>
            <sz val="9"/>
            <color indexed="81"/>
            <rFont val="Tahoma"/>
            <family val="2"/>
          </rPr>
          <t xml:space="preserve">
The Climate Registry 2021  Default EFs,  Table 2.1
Updated Jan 2024</t>
        </r>
      </text>
    </comment>
    <comment ref="D53" authorId="0" shapeId="0" xr:uid="{30D12C89-D855-4FE8-9726-DE3215E96BFA}">
      <text>
        <r>
          <rPr>
            <b/>
            <sz val="9"/>
            <color indexed="81"/>
            <rFont val="Tahoma"/>
            <family val="2"/>
          </rPr>
          <t xml:space="preserve">Roberts, Annie:
</t>
        </r>
        <r>
          <rPr>
            <sz val="9"/>
            <color indexed="81"/>
            <rFont val="Tahoma"/>
            <family val="2"/>
          </rPr>
          <t>EPA Emissions Factors for GHG Inventories Hub, Sept 2023
Coal, (Bituminous Coal)</t>
        </r>
      </text>
    </comment>
    <comment ref="E53" authorId="0" shapeId="0" xr:uid="{1CE0090F-43C4-4790-8114-F564A379DA8F}">
      <text>
        <r>
          <rPr>
            <b/>
            <sz val="9"/>
            <color indexed="81"/>
            <rFont val="Tahoma"/>
            <family val="2"/>
          </rPr>
          <t>Roberts, Annie:</t>
        </r>
        <r>
          <rPr>
            <sz val="9"/>
            <color indexed="81"/>
            <rFont val="Tahoma"/>
            <family val="2"/>
          </rPr>
          <t xml:space="preserve">
EPA Emissions Factors for GHG Inventories Hub, Sept 2023
Coal, (Bituminous Coal)</t>
        </r>
      </text>
    </comment>
    <comment ref="D54" authorId="0" shapeId="0" xr:uid="{71880745-FB27-4417-9DBA-653AD61EC3AE}">
      <text>
        <r>
          <rPr>
            <b/>
            <sz val="9"/>
            <color indexed="81"/>
            <rFont val="Tahoma"/>
            <family val="2"/>
          </rPr>
          <t xml:space="preserve">Roberts, Annie:
</t>
        </r>
        <r>
          <rPr>
            <sz val="9"/>
            <color indexed="81"/>
            <rFont val="Tahoma"/>
            <family val="2"/>
          </rPr>
          <t>EPA Emissions Factors for GHG Inventories Hub, Sept 2023
Coal, (Bituminous Coal)</t>
        </r>
      </text>
    </comment>
    <comment ref="E54" authorId="0" shapeId="0" xr:uid="{43E36D6E-6AB9-475D-A824-31E68378BABB}">
      <text>
        <r>
          <rPr>
            <b/>
            <sz val="9"/>
            <color indexed="81"/>
            <rFont val="Tahoma"/>
            <family val="2"/>
          </rPr>
          <t>Roberts, Annie:</t>
        </r>
        <r>
          <rPr>
            <sz val="9"/>
            <color indexed="81"/>
            <rFont val="Tahoma"/>
            <family val="2"/>
          </rPr>
          <t xml:space="preserve">
EPA Emissions Factors for GHG Inventories Hub, Sept 2023
Coal, (Bituminous Coal)</t>
        </r>
      </text>
    </comment>
    <comment ref="D55" authorId="0" shapeId="0" xr:uid="{C4453E96-1F41-479B-8CF7-46021FD34DB5}">
      <text>
        <r>
          <rPr>
            <b/>
            <sz val="9"/>
            <color indexed="81"/>
            <rFont val="Tahoma"/>
            <family val="2"/>
          </rPr>
          <t xml:space="preserve">Roberts, Annie:
</t>
        </r>
        <r>
          <rPr>
            <sz val="9"/>
            <color indexed="81"/>
            <rFont val="Tahoma"/>
            <family val="2"/>
          </rPr>
          <t>EPA Emissions Factors for GHG Inventories Hub, Sept 2023
Coal, (Bituminous Coal)</t>
        </r>
      </text>
    </comment>
    <comment ref="E55" authorId="0" shapeId="0" xr:uid="{0B231F1D-342B-4567-97AF-5D0E74E75E14}">
      <text>
        <r>
          <rPr>
            <b/>
            <sz val="9"/>
            <color indexed="81"/>
            <rFont val="Tahoma"/>
            <family val="2"/>
          </rPr>
          <t>Roberts, Annie:</t>
        </r>
        <r>
          <rPr>
            <sz val="9"/>
            <color indexed="81"/>
            <rFont val="Tahoma"/>
            <family val="2"/>
          </rPr>
          <t xml:space="preserve">
EPA Emissions Factors for GHG Inventories Hub, </t>
        </r>
        <r>
          <rPr>
            <b/>
            <sz val="9"/>
            <color indexed="81"/>
            <rFont val="Tahoma"/>
            <family val="2"/>
          </rPr>
          <t>Sept 2023</t>
        </r>
        <r>
          <rPr>
            <sz val="9"/>
            <color indexed="81"/>
            <rFont val="Tahoma"/>
            <family val="2"/>
          </rPr>
          <t xml:space="preserve">
Coal, (Bituminous Coal)</t>
        </r>
      </text>
    </comment>
    <comment ref="D56" authorId="0" shapeId="0" xr:uid="{6DFBBD90-7393-4919-9CD3-88C5FD0B0671}">
      <text>
        <r>
          <rPr>
            <b/>
            <sz val="9"/>
            <color indexed="81"/>
            <rFont val="Tahoma"/>
            <family val="2"/>
          </rPr>
          <t xml:space="preserve">Roberts, Annie:
</t>
        </r>
        <r>
          <rPr>
            <sz val="9"/>
            <color indexed="81"/>
            <rFont val="Tahoma"/>
            <family val="2"/>
          </rPr>
          <t>EPA Emissions Factors for GHG Inventories Hub,Sept 2023
Coal, (Bituminous Coal)</t>
        </r>
      </text>
    </comment>
    <comment ref="E56" authorId="0" shapeId="0" xr:uid="{D9BA727E-B8B7-4400-A4DA-A459C68E8F00}">
      <text>
        <r>
          <rPr>
            <b/>
            <sz val="9"/>
            <color indexed="81"/>
            <rFont val="Tahoma"/>
            <family val="2"/>
          </rPr>
          <t>Roberts, Annie:</t>
        </r>
        <r>
          <rPr>
            <sz val="9"/>
            <color indexed="81"/>
            <rFont val="Tahoma"/>
            <family val="2"/>
          </rPr>
          <t xml:space="preserve">
EPA Emissions Factors for GHG Inventories Hub, </t>
        </r>
        <r>
          <rPr>
            <b/>
            <sz val="9"/>
            <color indexed="81"/>
            <rFont val="Tahoma"/>
            <family val="2"/>
          </rPr>
          <t>Sept 2023</t>
        </r>
        <r>
          <rPr>
            <sz val="9"/>
            <color indexed="81"/>
            <rFont val="Tahoma"/>
            <family val="2"/>
          </rPr>
          <t xml:space="preserve">
Coal, (Bituminous Coal)</t>
        </r>
      </text>
    </comment>
    <comment ref="A66" authorId="0" shapeId="0" xr:uid="{4D059434-C457-4695-A741-DA76CC9A31FA}">
      <text>
        <r>
          <rPr>
            <b/>
            <sz val="9"/>
            <color indexed="81"/>
            <rFont val="Tahoma"/>
            <family val="2"/>
          </rPr>
          <t>Roberts, Annie:</t>
        </r>
        <r>
          <rPr>
            <sz val="9"/>
            <color indexed="81"/>
            <rFont val="Tahoma"/>
            <family val="2"/>
          </rPr>
          <t xml:space="preserve">
Corresponds to HGL (Energy Use) in U.S. Inventory</t>
        </r>
      </text>
    </comment>
    <comment ref="A67" authorId="0" shapeId="0" xr:uid="{2C309076-27EA-441F-8FCE-5CC669646A76}">
      <text>
        <r>
          <rPr>
            <b/>
            <sz val="9"/>
            <color indexed="81"/>
            <rFont val="Tahoma"/>
            <family val="2"/>
          </rPr>
          <t xml:space="preserve">Roberts, Annie:
</t>
        </r>
        <r>
          <rPr>
            <sz val="9"/>
            <color indexed="81"/>
            <rFont val="Tahoma"/>
            <family val="2"/>
          </rPr>
          <t>Corresponds to LPG (Propane) in the U.S. Inventory</t>
        </r>
      </text>
    </comment>
    <comment ref="A78" authorId="0" shapeId="0" xr:uid="{BF93DA68-116D-49CA-AB52-F6119E735E96}">
      <text>
        <r>
          <rPr>
            <b/>
            <sz val="9"/>
            <color indexed="81"/>
            <rFont val="Tahoma"/>
            <family val="2"/>
          </rPr>
          <t>Roberts, Annie:</t>
        </r>
        <r>
          <rPr>
            <sz val="9"/>
            <color indexed="81"/>
            <rFont val="Tahoma"/>
            <family val="2"/>
          </rPr>
          <t xml:space="preserve">
(MMBtu/scf)</t>
        </r>
      </text>
    </comment>
    <comment ref="A79" authorId="0" shapeId="0" xr:uid="{F98ED3D3-FE58-4A61-80F3-97018EEE3008}">
      <text>
        <r>
          <rPr>
            <b/>
            <sz val="9"/>
            <color indexed="81"/>
            <rFont val="Tahoma"/>
            <family val="2"/>
          </rPr>
          <t>Roberts, Annie:</t>
        </r>
        <r>
          <rPr>
            <sz val="9"/>
            <color indexed="81"/>
            <rFont val="Tahoma"/>
            <family val="2"/>
          </rPr>
          <t xml:space="preserve">
(MMBtu/gal)</t>
        </r>
      </text>
    </comment>
    <comment ref="A80" authorId="0" shapeId="0" xr:uid="{44CF0AD7-AB42-4993-92AB-BC67A2F4A4D2}">
      <text>
        <r>
          <rPr>
            <b/>
            <sz val="9"/>
            <color indexed="81"/>
            <rFont val="Tahoma"/>
            <family val="2"/>
          </rPr>
          <t>Roberts, Annie:</t>
        </r>
        <r>
          <rPr>
            <sz val="9"/>
            <color indexed="81"/>
            <rFont val="Tahoma"/>
            <family val="2"/>
          </rPr>
          <t xml:space="preserve">
 (MMBtu/gal)</t>
        </r>
      </text>
    </comment>
    <comment ref="AI120" authorId="1" shapeId="0" xr:uid="{00000000-0006-0000-1F00-000003000000}">
      <text>
        <r>
          <rPr>
            <sz val="9"/>
            <color indexed="81"/>
            <rFont val="Tahoma"/>
            <family val="2"/>
          </rPr>
          <t>2014 is the last year when this rate was reported in lbs/GWh. eGRID reports 2016 and on data in lbs CH</t>
        </r>
        <r>
          <rPr>
            <vertAlign val="subscript"/>
            <sz val="9"/>
            <color indexed="81"/>
            <rFont val="Tahoma"/>
            <family val="2"/>
          </rPr>
          <t>4</t>
        </r>
        <r>
          <rPr>
            <sz val="9"/>
            <color indexed="81"/>
            <rFont val="Tahoma"/>
            <family val="2"/>
          </rPr>
          <t>/MWh</t>
        </r>
      </text>
    </comment>
    <comment ref="AI150" authorId="1" shapeId="0" xr:uid="{00000000-0006-0000-1F00-000004000000}">
      <text>
        <r>
          <rPr>
            <sz val="9"/>
            <color indexed="81"/>
            <rFont val="Tahoma"/>
            <family val="2"/>
          </rPr>
          <t>2014 is the last year when this rate was reported in lbs/GWh. eGRID reports 2016 and on data in lbs N</t>
        </r>
        <r>
          <rPr>
            <vertAlign val="subscript"/>
            <sz val="9"/>
            <color indexed="81"/>
            <rFont val="Tahoma"/>
            <family val="2"/>
          </rPr>
          <t>2</t>
        </r>
        <r>
          <rPr>
            <sz val="9"/>
            <color indexed="81"/>
            <rFont val="Tahoma"/>
            <family val="2"/>
          </rPr>
          <t>O/MWh</t>
        </r>
      </text>
    </comment>
    <comment ref="E196" authorId="2" shapeId="0" xr:uid="{00000000-0006-0000-1F00-000005000000}">
      <text>
        <r>
          <rPr>
            <sz val="8"/>
            <color indexed="81"/>
            <rFont val="Tahoma"/>
            <family val="2"/>
          </rPr>
          <t>LNG --&gt; 75,000 Btu/gal
Source: http://alternativefuels.about.com/od/resources/a/gge.htm</t>
        </r>
      </text>
    </comment>
    <comment ref="B322" authorId="2" shapeId="0" xr:uid="{00000000-0006-0000-1F00-000006000000}">
      <text>
        <r>
          <rPr>
            <b/>
            <sz val="8"/>
            <color indexed="81"/>
            <rFont val="Tahoma"/>
            <family val="2"/>
          </rPr>
          <t>ICF:</t>
        </r>
        <r>
          <rPr>
            <sz val="8"/>
            <color indexed="81"/>
            <rFont val="Tahoma"/>
            <family val="2"/>
          </rPr>
          <t xml:space="preserve">
Average fuel efficiency by mode. 
Source: FHWA Highway Statistics 2010, Table VM-1</t>
        </r>
      </text>
    </comment>
    <comment ref="H322" authorId="2" shapeId="0" xr:uid="{00000000-0006-0000-1F00-000007000000}">
      <text>
        <r>
          <rPr>
            <b/>
            <sz val="8"/>
            <color indexed="81"/>
            <rFont val="Tahoma"/>
            <family val="2"/>
          </rPr>
          <t>ICF:</t>
        </r>
        <r>
          <rPr>
            <sz val="8"/>
            <color indexed="81"/>
            <rFont val="Tahoma"/>
            <family val="2"/>
          </rPr>
          <t xml:space="preserve">
Average fuel efficiency by mode. 
Source: FHWA Highway Statistics 2008, Table VM-1</t>
        </r>
      </text>
    </comment>
    <comment ref="C324" authorId="2" shapeId="0" xr:uid="{00000000-0006-0000-1F00-000008000000}">
      <text>
        <r>
          <rPr>
            <b/>
            <sz val="8"/>
            <color indexed="81"/>
            <rFont val="Tahoma"/>
            <family val="2"/>
          </rPr>
          <t>ICF:</t>
        </r>
        <r>
          <rPr>
            <sz val="8"/>
            <color indexed="81"/>
            <rFont val="Tahoma"/>
            <family val="2"/>
          </rPr>
          <t xml:space="preserve">
# of people per carpool (weighted average of 2-7+ person carpools from ACS as fraction of all carpoolers, assuming 5.5 for carpools of 5 or 6 and 7 for carpools of 7+)</t>
        </r>
      </text>
    </comment>
    <comment ref="I324" authorId="2" shapeId="0" xr:uid="{00000000-0006-0000-1F00-000009000000}">
      <text>
        <r>
          <rPr>
            <b/>
            <sz val="8"/>
            <color indexed="81"/>
            <rFont val="Tahoma"/>
            <family val="2"/>
          </rPr>
          <t>ICF:</t>
        </r>
        <r>
          <rPr>
            <sz val="8"/>
            <color indexed="81"/>
            <rFont val="Tahoma"/>
            <family val="2"/>
          </rPr>
          <t xml:space="preserve">
# of people per carpool (weighted average of 2-7 person carpools from ACS as fraction of all carpoolers</t>
        </r>
      </text>
    </comment>
    <comment ref="B365" authorId="3" shapeId="0" xr:uid="{00000000-0006-0000-1F00-00000A000000}">
      <text>
        <r>
          <rPr>
            <sz val="8"/>
            <color indexed="81"/>
            <rFont val="Tahoma"/>
            <family val="2"/>
          </rPr>
          <t>From Commercial Fertilizers 2001 (AAPFCO/TFI 2002), Table 27, as used in the U.S. GHG Inventory: 1990-2001</t>
        </r>
      </text>
    </comment>
    <comment ref="B366" authorId="3" shapeId="0" xr:uid="{00000000-0006-0000-1F00-00000B000000}">
      <text>
        <r>
          <rPr>
            <sz val="8"/>
            <color indexed="81"/>
            <rFont val="Tahoma"/>
            <family val="2"/>
          </rPr>
          <t>Assume N content of 0.5%, per AAPFCO, 2000, 1999-2000 Commercial Fertilizers Data, ASCII files (obtained from David Terry, Secretary, AAPFCO), as is done in U.S. GHG Inventory: 1990-2001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<sst xmlns="http://schemas.openxmlformats.org/spreadsheetml/2006/main" count="3069" uniqueCount="1232">
  <si>
    <t>Introduction</t>
  </si>
  <si>
    <t>Local GHG Inventory Tool: Community Module</t>
  </si>
  <si>
    <t>Read Me</t>
  </si>
  <si>
    <t>Table of Contents</t>
  </si>
  <si>
    <t>Definitions</t>
  </si>
  <si>
    <t>Please refer to this list for an explanation of any terms you may find within this tool.</t>
  </si>
  <si>
    <t>Term</t>
  </si>
  <si>
    <t>Definition</t>
  </si>
  <si>
    <t>Base Year</t>
  </si>
  <si>
    <t>A measurement, calculation, or time used as a basis for comparison. According to LGOP, it is good practice to aim for a base year that is likely to be representative of the general level of emissions over the surrounding period.</t>
  </si>
  <si>
    <t>BAU</t>
  </si>
  <si>
    <t>Business As Usual. Used to refer to a future scenario in which there are no changes to the status quo.</t>
  </si>
  <si>
    <t>Biogenic</t>
  </si>
  <si>
    <t>Biogenic emissions or fuels are produced by the biological processes of living organisms. Note that this term refers only to recently produced (i.e., non-fossil) material of biological origin</t>
  </si>
  <si>
    <r>
      <t>BOD</t>
    </r>
    <r>
      <rPr>
        <b/>
        <vertAlign val="subscript"/>
        <sz val="11"/>
        <color theme="1"/>
        <rFont val="Calibri"/>
        <family val="2"/>
        <scheme val="minor"/>
      </rPr>
      <t>5</t>
    </r>
  </si>
  <si>
    <t>Biological Oxygen Demand. The amount of oxygen consumed in five days by decomposing waste, used to measure the amount of waste input or output into a system.</t>
  </si>
  <si>
    <r>
      <t>CO</t>
    </r>
    <r>
      <rPr>
        <b/>
        <vertAlign val="subscript"/>
        <sz val="11"/>
        <color theme="1"/>
        <rFont val="Calibri"/>
        <family val="2"/>
        <scheme val="minor"/>
      </rPr>
      <t>2</t>
    </r>
  </si>
  <si>
    <t>Carbon dioxide</t>
  </si>
  <si>
    <r>
      <t>CO</t>
    </r>
    <r>
      <rPr>
        <b/>
        <vertAlign val="subscript"/>
        <sz val="11"/>
        <color theme="1"/>
        <rFont val="Calibri"/>
        <family val="2"/>
        <scheme val="minor"/>
      </rPr>
      <t>2</t>
    </r>
    <r>
      <rPr>
        <b/>
        <sz val="11"/>
        <color theme="1"/>
        <rFont val="Calibri"/>
        <family val="2"/>
        <scheme val="minor"/>
      </rPr>
      <t>e</t>
    </r>
  </si>
  <si>
    <t>Carbon dioxide equivalent emissions. This is determined by multiplying the emissions of methane and nitrous oxide by their Global Warming Potential.</t>
  </si>
  <si>
    <r>
      <t>CH</t>
    </r>
    <r>
      <rPr>
        <b/>
        <vertAlign val="subscript"/>
        <sz val="11"/>
        <color theme="1"/>
        <rFont val="Calibri"/>
        <family val="2"/>
        <scheme val="minor"/>
      </rPr>
      <t>4</t>
    </r>
  </si>
  <si>
    <r>
      <t>Methane. Methane is a greenhouse gas with a GWP that is 25 times that of CO</t>
    </r>
    <r>
      <rPr>
        <vertAlign val="subscript"/>
        <sz val="11"/>
        <color theme="1"/>
        <rFont val="Calibri"/>
        <family val="2"/>
        <scheme val="minor"/>
      </rPr>
      <t>2</t>
    </r>
    <r>
      <rPr>
        <sz val="11"/>
        <color theme="1"/>
        <rFont val="Calibri"/>
        <family val="2"/>
        <scheme val="minor"/>
      </rPr>
      <t>.  It is produced through anaerobic decomposition of waste, enteric fermentation, production of natural gas and petroleum products, and other industrial processes.</t>
    </r>
  </si>
  <si>
    <t>Contractual Instrument</t>
  </si>
  <si>
    <t>Any type of contract between two parties for the sale and purchase of energy bundled with attributes about the energy generation, or for unbundled attribute claims. They can include energy attribute certificates (RECs, GOs, etc.), direct contracts, and residual grid mix emission rates.</t>
  </si>
  <si>
    <t>Denitrification</t>
  </si>
  <si>
    <r>
      <t>The process by which microorganisms remove nitrogen from its fixed form in the soil and release it into the atmosphere in the form of nitrous oxide (N</t>
    </r>
    <r>
      <rPr>
        <vertAlign val="subscript"/>
        <sz val="11"/>
        <color theme="1"/>
        <rFont val="Calibri"/>
        <family val="2"/>
        <scheme val="minor"/>
      </rPr>
      <t>2</t>
    </r>
    <r>
      <rPr>
        <sz val="11"/>
        <color theme="1"/>
        <rFont val="Calibri"/>
        <family val="2"/>
        <scheme val="minor"/>
      </rPr>
      <t>O)</t>
    </r>
  </si>
  <si>
    <t>Direct Emissions</t>
  </si>
  <si>
    <t>The emissions generated on-site (as opposed to electricity delivered through a grid system), such as from the combustion of fossil fuels</t>
  </si>
  <si>
    <t>EF</t>
  </si>
  <si>
    <t>Effluent</t>
  </si>
  <si>
    <t>The treated or untreated wastewater that flows out of a source</t>
  </si>
  <si>
    <t>Energy Attribute Certificate</t>
  </si>
  <si>
    <t>A category of contractual instrument that represents certain information (or attributes) about the energy generated, but does not represent the energy itself. This category includes a variety of instruments with different names, including certificates, tags, credits, or generator declarations.</t>
  </si>
  <si>
    <t>EPA</t>
  </si>
  <si>
    <t>United States Environmental Protection Agency</t>
  </si>
  <si>
    <t>Fossil Fuel</t>
  </si>
  <si>
    <r>
      <t>Any fuel derived from the pre-historic burial of organic matter.  Examples include natural gas (methane or CH</t>
    </r>
    <r>
      <rPr>
        <vertAlign val="subscript"/>
        <sz val="11"/>
        <color theme="1"/>
        <rFont val="Calibri"/>
        <family val="2"/>
        <scheme val="minor"/>
      </rPr>
      <t>4</t>
    </r>
    <r>
      <rPr>
        <sz val="11"/>
        <color theme="1"/>
        <rFont val="Calibri"/>
        <family val="2"/>
        <scheme val="minor"/>
      </rPr>
      <t>) and petroleum products (gasoline, diesel, kerosene, propane, and others).  Combustion of petroleum products releases greenhouse gases into the atmosphere.</t>
    </r>
  </si>
  <si>
    <t>Fugitive Emissions</t>
  </si>
  <si>
    <t>Emissions of gases that escape from pressurized equipment, such as fuel transportation pipelines or wastewater treatment plants.</t>
  </si>
  <si>
    <t>G.G.E.</t>
  </si>
  <si>
    <t>Gallon of gasoline equivalent</t>
  </si>
  <si>
    <t>GHG</t>
  </si>
  <si>
    <t>greenhouse gas</t>
  </si>
  <si>
    <t>GPC</t>
  </si>
  <si>
    <t>Global Protocol for Community-Scale GHG Emissions</t>
  </si>
  <si>
    <t>GWP</t>
  </si>
  <si>
    <t>Global Warming Potential. Conversion factor used to compare all greenhouse gas emissions to carbon dioxide equivalent units. The GWP represents the combined effect of the differing times these gases remain in the atmosphere and their relative effectiveness in absorbing outgoing thermal infrared radiation.</t>
  </si>
  <si>
    <t>Indirect Emissions</t>
  </si>
  <si>
    <t>Refers  to indirect emissions associated with the consumption of purchased or acquired electricity, steam, heating, or cooling. These emissions can be allocated in an inventory to an entity, but are generated offsite.  An example is electricity that is not generated directly at a facility. A facility uses electricity on-site, but the fuels used to generate the electricity are combusted off-site, perhaps at a regional power plant. If the generation source is at a different site that is also operated by the community, it is not an indirect emission source.</t>
  </si>
  <si>
    <t>kg</t>
  </si>
  <si>
    <t>kilograms</t>
  </si>
  <si>
    <t>kWh</t>
  </si>
  <si>
    <t>kilowatt-hour</t>
  </si>
  <si>
    <t>LEED</t>
  </si>
  <si>
    <t xml:space="preserve">Leadership in Energy and Environmental Design </t>
  </si>
  <si>
    <t>LFG</t>
  </si>
  <si>
    <t>landfill gas</t>
  </si>
  <si>
    <t>LGOP</t>
  </si>
  <si>
    <t>Local Government Operations Protocol</t>
  </si>
  <si>
    <t>Location-based method</t>
  </si>
  <si>
    <t>Reflects the average emissions intensity of grids on which energy consumption occurs (using exclusively grid-average emission factor data).</t>
  </si>
  <si>
    <t>Market-based method</t>
  </si>
  <si>
    <t>Reflects emissions from electricity based on where communities have specifically chosen to procure power (e.g., Renewable Energy Credits (RECs)), using utility-specific emission factors to estimate emissions from grid electricity purchases, where applicable, and accounting for other contractual instruments.</t>
  </si>
  <si>
    <t>mcf</t>
  </si>
  <si>
    <t>thousand cubic feet of natural gas</t>
  </si>
  <si>
    <t>MG</t>
  </si>
  <si>
    <t>million gallons</t>
  </si>
  <si>
    <t>MMBtu</t>
  </si>
  <si>
    <t>million British Thermal Units, a measure of energy</t>
  </si>
  <si>
    <t>Mobile Combustion</t>
  </si>
  <si>
    <t>The combustion of fuels to power a moving vehicle, such as gasoline or diesel fuel in a car or truck</t>
  </si>
  <si>
    <r>
      <t>MT CO</t>
    </r>
    <r>
      <rPr>
        <b/>
        <vertAlign val="subscript"/>
        <sz val="11"/>
        <color theme="1"/>
        <rFont val="Calibri"/>
        <family val="2"/>
        <scheme val="minor"/>
      </rPr>
      <t>2</t>
    </r>
    <r>
      <rPr>
        <b/>
        <sz val="11"/>
        <color theme="1"/>
        <rFont val="Calibri"/>
        <family val="2"/>
        <scheme val="minor"/>
      </rPr>
      <t>e</t>
    </r>
  </si>
  <si>
    <t>Metric tons of carbon dioxide equivalent. This is the standard unit for measuring greenhouse gas emissions.</t>
  </si>
  <si>
    <r>
      <t>N</t>
    </r>
    <r>
      <rPr>
        <b/>
        <vertAlign val="subscript"/>
        <sz val="11"/>
        <color theme="1"/>
        <rFont val="Calibri"/>
        <family val="2"/>
        <scheme val="minor"/>
      </rPr>
      <t>2</t>
    </r>
    <r>
      <rPr>
        <b/>
        <sz val="11"/>
        <color theme="1"/>
        <rFont val="Calibri"/>
        <family val="2"/>
        <scheme val="minor"/>
      </rPr>
      <t>O</t>
    </r>
  </si>
  <si>
    <t>nitrous oxide</t>
  </si>
  <si>
    <t>Nitrification</t>
  </si>
  <si>
    <r>
      <t>Biological process in which ammonia is converted to nitrate (NO</t>
    </r>
    <r>
      <rPr>
        <vertAlign val="subscript"/>
        <sz val="11"/>
        <color theme="1"/>
        <rFont val="Calibri"/>
        <family val="2"/>
        <scheme val="minor"/>
      </rPr>
      <t>3</t>
    </r>
    <r>
      <rPr>
        <sz val="11"/>
        <color theme="1"/>
        <rFont val="Calibri"/>
        <family val="2"/>
        <scheme val="minor"/>
      </rPr>
      <t>).</t>
    </r>
  </si>
  <si>
    <t>Operational Control</t>
  </si>
  <si>
    <t>A Local government has operational control over an operation if it has the full authority to introduce and implement its operating procedures</t>
  </si>
  <si>
    <t>RPS</t>
  </si>
  <si>
    <t>Renewable Portfolio Standard</t>
  </si>
  <si>
    <t>Scope 1 Emissions</t>
  </si>
  <si>
    <t>All direct GHG emissions</t>
  </si>
  <si>
    <t>Scope 2 Emissions</t>
  </si>
  <si>
    <t>Indirect GHG emissions from the consumption of purchased electricity, heat, or steam.</t>
  </si>
  <si>
    <t>Scope 3 Emissions</t>
  </si>
  <si>
    <t>Other indirect emissions, such as the extraction and production of purchased materials and fuels, transport-related activities in vehicles not owned or controlled by the reporting entity, outsourced activities, etc. The Scope 3 emissions included in this inventory are  imported water consumption,  waste generation, urban forestry, and agriculture &amp; land management.</t>
  </si>
  <si>
    <t>Short Tons</t>
  </si>
  <si>
    <t>American ton, equal to 2,000 lbs. One short ton = 0.907 metric tons</t>
  </si>
  <si>
    <t>Stationary Combustion</t>
  </si>
  <si>
    <t>The on-site combustion of fuels to produce electricity, heat, or motive power using equipment in a fixed location</t>
  </si>
  <si>
    <t>Inventory Control Sheet</t>
  </si>
  <si>
    <t>Complete the 4 steps below to set up the tool for your community.</t>
  </si>
  <si>
    <t>1) Please enter the name of your city, the inventory year, and population below.</t>
  </si>
  <si>
    <t>City</t>
  </si>
  <si>
    <t>Year</t>
  </si>
  <si>
    <t>Population</t>
  </si>
  <si>
    <t xml:space="preserve">2) The sectors included in the community inventory are defined below. These are the main sectors defined in the Global Protocol </t>
  </si>
  <si>
    <t>for Community-Scale GHG Emissions and the main sectors used to categorize GHG emissions. These sectors will be used to standardize</t>
  </si>
  <si>
    <t>The maximum number of sectors is 20. The minimum is 1.</t>
  </si>
  <si>
    <t>data entry for calculations throughout the tool.</t>
  </si>
  <si>
    <t>Dstart</t>
  </si>
  <si>
    <t>Residential</t>
  </si>
  <si>
    <t>Commercial/Institutional</t>
  </si>
  <si>
    <t>Industrial</t>
  </si>
  <si>
    <t>Energy Generation</t>
  </si>
  <si>
    <t>3) Select the eGRID subregion where your community is located and enter utility-specific emissions factors, if available, for the utilities that provide electric service for your community.</t>
  </si>
  <si>
    <t>These utility selections and emission factors will be used to help calculate your emissions throughout the tool.
The eGRID subregion emission factors will be used to estimate location-based emissions. Utility-specific emissions factors will be used to estimate market-based emissions.</t>
  </si>
  <si>
    <t>Please see the map below the table to identify the eGRID subregion that includes your community and continue to Step 4 below</t>
  </si>
  <si>
    <t>once this table is complete. For help determining your eGRID subregion, visit EPA's website by clicking the map below.</t>
  </si>
  <si>
    <t>Emission Factors (lb/MWh)</t>
  </si>
  <si>
    <t xml:space="preserve">Total EF </t>
  </si>
  <si>
    <t>eGRID Subregion</t>
  </si>
  <si>
    <r>
      <t>lb CO</t>
    </r>
    <r>
      <rPr>
        <b/>
        <vertAlign val="subscript"/>
        <sz val="11"/>
        <color theme="1"/>
        <rFont val="Calibri"/>
        <family val="2"/>
        <scheme val="minor"/>
      </rPr>
      <t>2</t>
    </r>
    <r>
      <rPr>
        <b/>
        <sz val="11"/>
        <color theme="1"/>
        <rFont val="Calibri"/>
        <family val="2"/>
        <scheme val="minor"/>
      </rPr>
      <t>e/MWh</t>
    </r>
  </si>
  <si>
    <t>Select your subregion:</t>
  </si>
  <si>
    <t>AKGD eGRID subregion</t>
  </si>
  <si>
    <t>Utility Name</t>
  </si>
  <si>
    <t>4) Finally, please click on the "Set Up" button below.</t>
  </si>
  <si>
    <t>This will set up each sheet based on your entries above. You can always come back and change an emission factor.</t>
  </si>
  <si>
    <t>However, please do not edit or delete sector names.</t>
  </si>
  <si>
    <r>
      <t>Following revised reporting requirements under the UNFCCC, this tool presents CO</t>
    </r>
    <r>
      <rPr>
        <i/>
        <vertAlign val="subscript"/>
        <sz val="11"/>
        <color theme="1"/>
        <rFont val="Calibri"/>
        <family val="2"/>
        <scheme val="minor"/>
      </rPr>
      <t>2</t>
    </r>
    <r>
      <rPr>
        <i/>
        <sz val="11"/>
        <color theme="1"/>
        <rFont val="Calibri"/>
        <family val="2"/>
        <scheme val="minor"/>
      </rPr>
      <t xml:space="preserve"> equivalent values for CO</t>
    </r>
    <r>
      <rPr>
        <i/>
        <vertAlign val="subscript"/>
        <sz val="11"/>
        <color theme="1"/>
        <rFont val="Calibri"/>
        <family val="2"/>
        <scheme val="minor"/>
      </rPr>
      <t>2</t>
    </r>
    <r>
      <rPr>
        <i/>
        <sz val="11"/>
        <color theme="1"/>
        <rFont val="Calibri"/>
        <family val="2"/>
        <scheme val="minor"/>
      </rPr>
      <t>, CH</t>
    </r>
    <r>
      <rPr>
        <i/>
        <vertAlign val="subscript"/>
        <sz val="11"/>
        <color theme="1"/>
        <rFont val="Calibri"/>
        <family val="2"/>
        <scheme val="minor"/>
      </rPr>
      <t>4</t>
    </r>
    <r>
      <rPr>
        <i/>
        <sz val="11"/>
        <color theme="1"/>
        <rFont val="Calibri"/>
        <family val="2"/>
        <scheme val="minor"/>
      </rPr>
      <t>, and N</t>
    </r>
    <r>
      <rPr>
        <i/>
        <vertAlign val="subscript"/>
        <sz val="11"/>
        <color theme="1"/>
        <rFont val="Calibri"/>
        <family val="2"/>
        <scheme val="minor"/>
      </rPr>
      <t>2</t>
    </r>
    <r>
      <rPr>
        <i/>
        <sz val="11"/>
        <color theme="1"/>
        <rFont val="Calibri"/>
        <family val="2"/>
        <scheme val="minor"/>
      </rPr>
      <t xml:space="preserve">O based on the IPCC Fifth Assessment </t>
    </r>
  </si>
  <si>
    <t xml:space="preserve">Report (AR5) GWP values. If you would like to use different GWP values for this inventory (e.g., IPCC AR4), please use the button to the right to navigate to the </t>
  </si>
  <si>
    <t>Factors sheet where alternative values can be entered before clicking "Set Up" above.</t>
  </si>
  <si>
    <t>CompletionTracker</t>
  </si>
  <si>
    <t>Control Sheet</t>
  </si>
  <si>
    <t>Stationary-Entry</t>
  </si>
  <si>
    <t>Stationary-Data</t>
  </si>
  <si>
    <t>Electricity-Entry</t>
  </si>
  <si>
    <t>Electricity-Data</t>
  </si>
  <si>
    <t>Mobile-Entry</t>
  </si>
  <si>
    <t>Mobile-Data</t>
  </si>
  <si>
    <t>Solid Waste-Control</t>
  </si>
  <si>
    <t>Solid Waste-Entry</t>
  </si>
  <si>
    <t>Wastewater-Control</t>
  </si>
  <si>
    <t>Wastewater-Entry</t>
  </si>
  <si>
    <t>Employee Commutes</t>
  </si>
  <si>
    <t>Water</t>
  </si>
  <si>
    <t>Agriculture &amp; Land Management</t>
  </si>
  <si>
    <t>Urban Forestry</t>
  </si>
  <si>
    <t>Waste Production</t>
  </si>
  <si>
    <t>Additional Emission Sources</t>
  </si>
  <si>
    <t>Summary-Emissions</t>
  </si>
  <si>
    <t>Summary-Reductions</t>
  </si>
  <si>
    <t>Background Controls</t>
  </si>
  <si>
    <t>Help</t>
  </si>
  <si>
    <t>Stationary Units - Entry</t>
  </si>
  <si>
    <t>Data Entry &amp; Calculations</t>
  </si>
  <si>
    <t>1)</t>
  </si>
  <si>
    <t>Describe the fuel consuming unit you are entering</t>
  </si>
  <si>
    <t>ID#</t>
  </si>
  <si>
    <t>Unit Description</t>
  </si>
  <si>
    <t>Facility Type (if applicable)</t>
  </si>
  <si>
    <t>Sector</t>
  </si>
  <si>
    <t xml:space="preserve">2) </t>
  </si>
  <si>
    <t>Fuel Type</t>
  </si>
  <si>
    <t xml:space="preserve"> </t>
  </si>
  <si>
    <t>Stationary Data Template Instructions</t>
  </si>
  <si>
    <t>This sheet describes the file layout and data parameters needed for batch import.</t>
  </si>
  <si>
    <t>This will allow you to bypass the data entry form and upload multiple lines of data.</t>
  </si>
  <si>
    <t>Please enter your activity data on the following worksheet (DataSheet) according to the parameters below.</t>
  </si>
  <si>
    <t>Copy and paste the data from that sheet onto the "Stationary-Data" worksheet in the inventory tool.</t>
  </si>
  <si>
    <t>This value is automatically supplied when adding data via the input form. You will need to update this manually when using the batch import feature. Please assign a unique value to each line of data you add.</t>
  </si>
  <si>
    <t>Values must be integers in ascending order. Gaps between numbers are permitted. For example, three lines with IDs in order of 11, 12, and 15 are ok; IDs of 11, 15, and 12 is not. The calculations will not be accurate if the ID numbers do not meet this condition.</t>
  </si>
  <si>
    <t>It is recommended that you begin with the highest previous number and increase each additional line by 1.</t>
  </si>
  <si>
    <t>Use this field to describe or name the unit or group that you are entering. This field is for the user's reference only and does not impact the calculations.</t>
  </si>
  <si>
    <t>Enter one of the sectors that were specified on the Control Sheet. You must use the exact spelling of the sector that was provided on the Control Sheet in order for each entry to be included in the calculations.</t>
  </si>
  <si>
    <t>Please enter the fuel type in this column. You must select the fuel type from the list below. Any other fuels will not be included in the calculations. The consumption amounts must also be in the units listed below.</t>
  </si>
  <si>
    <t>Fuel</t>
  </si>
  <si>
    <t>Unit</t>
  </si>
  <si>
    <t>Natural Gas</t>
  </si>
  <si>
    <t>mcf (thousand cubic feet)</t>
  </si>
  <si>
    <t>Digester Gas</t>
  </si>
  <si>
    <t>Diesel</t>
  </si>
  <si>
    <t>gallons</t>
  </si>
  <si>
    <t>LPG</t>
  </si>
  <si>
    <t>Gasoline</t>
  </si>
  <si>
    <t>Residual Fuel Oil No. 5</t>
  </si>
  <si>
    <t>Residual Fuel Oil No. 6</t>
  </si>
  <si>
    <t>Propane</t>
  </si>
  <si>
    <t>Butane</t>
  </si>
  <si>
    <t>Jet Fuel</t>
  </si>
  <si>
    <t>Bituminous Coal</t>
  </si>
  <si>
    <t>short tons</t>
  </si>
  <si>
    <t>Amount Consumed</t>
  </si>
  <si>
    <t>Please enter your fuel consumption for the inventory year here.</t>
  </si>
  <si>
    <t>This value is for reference only and does not affect the calculations. However, please be sure to enter data using the units specified above.</t>
  </si>
  <si>
    <t>Facility Type</t>
  </si>
  <si>
    <t xml:space="preserve">If you have chosen to enter data at the facility level, please specify the type of facility from the lists provided below. </t>
  </si>
  <si>
    <t>Residential Facility Type List</t>
  </si>
  <si>
    <t>Commercial/Institutional Facility Type List</t>
  </si>
  <si>
    <t>Industrial Facility Type List</t>
  </si>
  <si>
    <t>Single Family Units</t>
  </si>
  <si>
    <t>Education</t>
  </si>
  <si>
    <t>Food</t>
  </si>
  <si>
    <t>Apartment Buildings</t>
  </si>
  <si>
    <t>Food Sales</t>
  </si>
  <si>
    <t>Beverage and Tobacco Products</t>
  </si>
  <si>
    <t>Mobile Homes</t>
  </si>
  <si>
    <t>Food Service</t>
  </si>
  <si>
    <t>Textile Mills</t>
  </si>
  <si>
    <t>Health Care</t>
  </si>
  <si>
    <t>Textile Product Mills</t>
  </si>
  <si>
    <t>Lodging</t>
  </si>
  <si>
    <t>Apparel</t>
  </si>
  <si>
    <t>Electricity Generators</t>
  </si>
  <si>
    <t>Mercantile</t>
  </si>
  <si>
    <t>Leather and Allied Products</t>
  </si>
  <si>
    <t>Office</t>
  </si>
  <si>
    <t>Wood Products</t>
  </si>
  <si>
    <t>Public Assembly</t>
  </si>
  <si>
    <t>Paper</t>
  </si>
  <si>
    <t>Public Order and Safety</t>
  </si>
  <si>
    <t>Printing and Related Support</t>
  </si>
  <si>
    <t>Religious Worship</t>
  </si>
  <si>
    <t>Petroleum and Coal Products</t>
  </si>
  <si>
    <t>Service</t>
  </si>
  <si>
    <t>Chemicals</t>
  </si>
  <si>
    <t>Warehouse and Storage</t>
  </si>
  <si>
    <t>Plastics and Rubber Products</t>
  </si>
  <si>
    <t>Other</t>
  </si>
  <si>
    <t>Nonmetallic Mineral Products</t>
  </si>
  <si>
    <t>Vacant</t>
  </si>
  <si>
    <t>Primary Metals</t>
  </si>
  <si>
    <t>Fabricated Metal Products</t>
  </si>
  <si>
    <t>Machinery</t>
  </si>
  <si>
    <t>Computer and Electronic Products</t>
  </si>
  <si>
    <t>Electrical Equip., Appliances, and Components</t>
  </si>
  <si>
    <t>Transportation Equipment</t>
  </si>
  <si>
    <t>Furniture and Related Products</t>
  </si>
  <si>
    <t>Miscellaneous</t>
  </si>
  <si>
    <t>Stationary Units - Data</t>
  </si>
  <si>
    <t>Linker Row</t>
  </si>
  <si>
    <t>Amount of Fuel Used</t>
  </si>
  <si>
    <t>Saved Data</t>
  </si>
  <si>
    <t xml:space="preserve">Stationary Units - Calculation &amp; Summary </t>
  </si>
  <si>
    <t>Jump to…</t>
  </si>
  <si>
    <t>Sector Summary</t>
  </si>
  <si>
    <t>Emissions by Sector</t>
  </si>
  <si>
    <t>Fuel and Energy Use by Sector</t>
  </si>
  <si>
    <t>Fuel Summary</t>
  </si>
  <si>
    <t>Emissions by Fuel Type</t>
  </si>
  <si>
    <t>Fuel and Energy Use by Type</t>
  </si>
  <si>
    <t>Background Calculations</t>
  </si>
  <si>
    <r>
      <t>CO</t>
    </r>
    <r>
      <rPr>
        <u/>
        <vertAlign val="subscript"/>
        <sz val="11"/>
        <color indexed="12"/>
        <rFont val="Calibri"/>
        <family val="2"/>
        <scheme val="minor"/>
      </rPr>
      <t>2</t>
    </r>
    <r>
      <rPr>
        <u/>
        <sz val="11"/>
        <color indexed="12"/>
        <rFont val="Calibri"/>
        <family val="2"/>
        <scheme val="minor"/>
      </rPr>
      <t xml:space="preserve"> emissions by fuel type</t>
    </r>
  </si>
  <si>
    <r>
      <t>CH</t>
    </r>
    <r>
      <rPr>
        <u/>
        <vertAlign val="subscript"/>
        <sz val="11"/>
        <color indexed="12"/>
        <rFont val="Calibri"/>
        <family val="2"/>
        <scheme val="minor"/>
      </rPr>
      <t>4</t>
    </r>
    <r>
      <rPr>
        <u/>
        <sz val="11"/>
        <color indexed="12"/>
        <rFont val="Calibri"/>
        <family val="2"/>
        <scheme val="minor"/>
      </rPr>
      <t xml:space="preserve"> emissions by fuel type</t>
    </r>
  </si>
  <si>
    <r>
      <t>N</t>
    </r>
    <r>
      <rPr>
        <u/>
        <vertAlign val="subscript"/>
        <sz val="11"/>
        <color indexed="12"/>
        <rFont val="Calibri"/>
        <family val="2"/>
        <scheme val="minor"/>
      </rPr>
      <t>2</t>
    </r>
    <r>
      <rPr>
        <u/>
        <sz val="11"/>
        <color indexed="12"/>
        <rFont val="Calibri"/>
        <family val="2"/>
        <scheme val="minor"/>
      </rPr>
      <t>O emissions by fuel type</t>
    </r>
  </si>
  <si>
    <t>Activity data by sector and fuel type</t>
  </si>
  <si>
    <r>
      <t>CO</t>
    </r>
    <r>
      <rPr>
        <u/>
        <vertAlign val="subscript"/>
        <sz val="11"/>
        <color indexed="12"/>
        <rFont val="Calibri"/>
        <family val="2"/>
        <scheme val="minor"/>
      </rPr>
      <t>2</t>
    </r>
    <r>
      <rPr>
        <u/>
        <sz val="11"/>
        <color indexed="12"/>
        <rFont val="Calibri"/>
        <family val="2"/>
        <scheme val="minor"/>
      </rPr>
      <t xml:space="preserve"> emissions by sector and fuel type</t>
    </r>
  </si>
  <si>
    <r>
      <t>CH</t>
    </r>
    <r>
      <rPr>
        <u/>
        <vertAlign val="subscript"/>
        <sz val="11"/>
        <color indexed="12"/>
        <rFont val="Calibri"/>
        <family val="2"/>
        <scheme val="minor"/>
      </rPr>
      <t>4</t>
    </r>
    <r>
      <rPr>
        <u/>
        <sz val="11"/>
        <color indexed="12"/>
        <rFont val="Calibri"/>
        <family val="2"/>
        <scheme val="minor"/>
      </rPr>
      <t xml:space="preserve"> emissions by sector and fuel type</t>
    </r>
  </si>
  <si>
    <r>
      <t>N</t>
    </r>
    <r>
      <rPr>
        <u/>
        <vertAlign val="subscript"/>
        <sz val="11"/>
        <color indexed="12"/>
        <rFont val="Calibri"/>
        <family val="2"/>
        <scheme val="minor"/>
      </rPr>
      <t>2</t>
    </r>
    <r>
      <rPr>
        <u/>
        <sz val="11"/>
        <color indexed="12"/>
        <rFont val="Calibri"/>
        <family val="2"/>
        <scheme val="minor"/>
      </rPr>
      <t>O emissions by sector and fuel type</t>
    </r>
  </si>
  <si>
    <t>Energy use by sector and fuel type</t>
  </si>
  <si>
    <r>
      <t>Emissions by Sector (MT CO</t>
    </r>
    <r>
      <rPr>
        <b/>
        <vertAlign val="subscript"/>
        <sz val="12"/>
        <color theme="1"/>
        <rFont val="Calibri"/>
        <family val="2"/>
        <scheme val="minor"/>
      </rPr>
      <t>2</t>
    </r>
    <r>
      <rPr>
        <b/>
        <sz val="12"/>
        <color theme="1"/>
        <rFont val="Calibri"/>
        <family val="2"/>
        <scheme val="minor"/>
      </rPr>
      <t>e)</t>
    </r>
  </si>
  <si>
    <t>Fuel and Energy (MMBtu) Use by Sector</t>
  </si>
  <si>
    <t>Total</t>
  </si>
  <si>
    <t>gal</t>
  </si>
  <si>
    <t>tons</t>
  </si>
  <si>
    <t>Energy Use</t>
  </si>
  <si>
    <t>Total Stationary Combustion Emissions</t>
  </si>
  <si>
    <t>Total Stationary Combustion Energy Use</t>
  </si>
  <si>
    <t xml:space="preserve">Check to display: </t>
  </si>
  <si>
    <t>emissions</t>
  </si>
  <si>
    <t>energy</t>
  </si>
  <si>
    <t>both</t>
  </si>
  <si>
    <t>TOTAL</t>
  </si>
  <si>
    <t>Fuel Consumed</t>
  </si>
  <si>
    <t>Energy Use (MMBtu)</t>
  </si>
  <si>
    <t>Residential Coal</t>
  </si>
  <si>
    <t>Commercial Coal</t>
  </si>
  <si>
    <t>Industrial Coal</t>
  </si>
  <si>
    <t>Electric Power Coal</t>
  </si>
  <si>
    <t>Distillate Fuel Oil</t>
  </si>
  <si>
    <t>Kerosene</t>
  </si>
  <si>
    <t>Total Emissions from Stationary Fuel Combustion</t>
  </si>
  <si>
    <t>Total Stationary Fuel Consumed</t>
  </si>
  <si>
    <r>
      <t>CO</t>
    </r>
    <r>
      <rPr>
        <b/>
        <vertAlign val="subscript"/>
        <sz val="11"/>
        <color theme="1"/>
        <rFont val="Calibri"/>
        <family val="2"/>
        <scheme val="minor"/>
      </rPr>
      <t>2</t>
    </r>
    <r>
      <rPr>
        <b/>
        <sz val="11"/>
        <color theme="1"/>
        <rFont val="Calibri"/>
        <family val="2"/>
        <scheme val="minor"/>
      </rPr>
      <t xml:space="preserve"> Emissions by Fuel Type</t>
    </r>
  </si>
  <si>
    <r>
      <t>CO</t>
    </r>
    <r>
      <rPr>
        <i/>
        <vertAlign val="subscript"/>
        <sz val="11"/>
        <color theme="1"/>
        <rFont val="Calibri"/>
        <family val="2"/>
        <scheme val="minor"/>
      </rPr>
      <t>2</t>
    </r>
    <r>
      <rPr>
        <i/>
        <sz val="11"/>
        <color theme="1"/>
        <rFont val="Calibri"/>
        <family val="2"/>
        <scheme val="minor"/>
      </rPr>
      <t xml:space="preserve"> Emissions = Fuel use × CO</t>
    </r>
    <r>
      <rPr>
        <i/>
        <vertAlign val="subscript"/>
        <sz val="11"/>
        <color theme="1"/>
        <rFont val="Calibri"/>
        <family val="2"/>
        <scheme val="minor"/>
      </rPr>
      <t>2</t>
    </r>
    <r>
      <rPr>
        <i/>
        <sz val="11"/>
        <color theme="1"/>
        <rFont val="Calibri"/>
        <family val="2"/>
        <scheme val="minor"/>
      </rPr>
      <t xml:space="preserve"> Emission Factor (kg CO</t>
    </r>
    <r>
      <rPr>
        <i/>
        <vertAlign val="subscript"/>
        <sz val="11"/>
        <color theme="1"/>
        <rFont val="Calibri"/>
        <family val="2"/>
        <scheme val="minor"/>
      </rPr>
      <t>2</t>
    </r>
    <r>
      <rPr>
        <i/>
        <sz val="11"/>
        <color theme="1"/>
        <rFont val="Calibri"/>
        <family val="2"/>
        <scheme val="minor"/>
      </rPr>
      <t xml:space="preserve">/unit of fuel) </t>
    </r>
    <r>
      <rPr>
        <sz val="11"/>
        <color theme="1"/>
        <rFont val="Calibri"/>
        <family val="2"/>
      </rPr>
      <t>×</t>
    </r>
    <r>
      <rPr>
        <i/>
        <sz val="11"/>
        <color theme="1"/>
        <rFont val="Calibri"/>
        <family val="2"/>
        <scheme val="minor"/>
      </rPr>
      <t xml:space="preserve"> MT/kg</t>
    </r>
  </si>
  <si>
    <t>Fuel Use</t>
  </si>
  <si>
    <r>
      <t>kg CO</t>
    </r>
    <r>
      <rPr>
        <b/>
        <vertAlign val="subscript"/>
        <sz val="11"/>
        <color theme="1"/>
        <rFont val="Calibri"/>
        <family val="2"/>
        <scheme val="minor"/>
      </rPr>
      <t>2</t>
    </r>
    <r>
      <rPr>
        <b/>
        <sz val="11"/>
        <color theme="1"/>
        <rFont val="Calibri"/>
        <family val="2"/>
        <scheme val="minor"/>
      </rPr>
      <t xml:space="preserve">/unit </t>
    </r>
  </si>
  <si>
    <t>MT/kg</t>
  </si>
  <si>
    <r>
      <t>MT CO</t>
    </r>
    <r>
      <rPr>
        <b/>
        <vertAlign val="subscript"/>
        <sz val="11"/>
        <color theme="1"/>
        <rFont val="Calibri"/>
        <family val="2"/>
        <scheme val="minor"/>
      </rPr>
      <t>2</t>
    </r>
  </si>
  <si>
    <r>
      <rPr>
        <b/>
        <sz val="11"/>
        <color theme="1"/>
        <rFont val="Calibri"/>
        <family val="2"/>
      </rPr>
      <t>×</t>
    </r>
    <r>
      <rPr>
        <b/>
        <sz val="11"/>
        <color theme="1"/>
        <rFont val="Calibri"/>
        <family val="2"/>
        <scheme val="minor"/>
      </rPr>
      <t xml:space="preserve"> GWP =</t>
    </r>
  </si>
  <si>
    <r>
      <t>CH</t>
    </r>
    <r>
      <rPr>
        <b/>
        <vertAlign val="subscript"/>
        <sz val="11"/>
        <color theme="1"/>
        <rFont val="Calibri"/>
        <family val="2"/>
        <scheme val="minor"/>
      </rPr>
      <t>4</t>
    </r>
    <r>
      <rPr>
        <b/>
        <sz val="11"/>
        <color theme="1"/>
        <rFont val="Calibri"/>
        <family val="2"/>
        <scheme val="minor"/>
      </rPr>
      <t xml:space="preserve"> Emissions by Fuel Type</t>
    </r>
  </si>
  <si>
    <r>
      <t>CH</t>
    </r>
    <r>
      <rPr>
        <i/>
        <vertAlign val="subscript"/>
        <sz val="11"/>
        <color theme="1"/>
        <rFont val="Calibri"/>
        <family val="2"/>
        <scheme val="minor"/>
      </rPr>
      <t>4</t>
    </r>
    <r>
      <rPr>
        <i/>
        <sz val="11"/>
        <color theme="1"/>
        <rFont val="Calibri"/>
        <family val="2"/>
        <scheme val="minor"/>
      </rPr>
      <t xml:space="preserve"> Emissions = Fuel use × CH</t>
    </r>
    <r>
      <rPr>
        <i/>
        <vertAlign val="subscript"/>
        <sz val="11"/>
        <color theme="1"/>
        <rFont val="Calibri"/>
        <family val="2"/>
        <scheme val="minor"/>
      </rPr>
      <t>4</t>
    </r>
    <r>
      <rPr>
        <i/>
        <sz val="11"/>
        <color theme="1"/>
        <rFont val="Calibri"/>
        <family val="2"/>
        <scheme val="minor"/>
      </rPr>
      <t xml:space="preserve"> Emission Factor (kg CH</t>
    </r>
    <r>
      <rPr>
        <i/>
        <vertAlign val="subscript"/>
        <sz val="11"/>
        <color theme="1"/>
        <rFont val="Calibri"/>
        <family val="2"/>
        <scheme val="minor"/>
      </rPr>
      <t>4</t>
    </r>
    <r>
      <rPr>
        <i/>
        <sz val="11"/>
        <color theme="1"/>
        <rFont val="Calibri"/>
        <family val="2"/>
        <scheme val="minor"/>
      </rPr>
      <t xml:space="preserve">/unit of fuel) </t>
    </r>
    <r>
      <rPr>
        <sz val="11"/>
        <color theme="1"/>
        <rFont val="Calibri"/>
        <family val="2"/>
      </rPr>
      <t>×</t>
    </r>
    <r>
      <rPr>
        <i/>
        <sz val="11"/>
        <color theme="1"/>
        <rFont val="Calibri"/>
        <family val="2"/>
        <scheme val="minor"/>
      </rPr>
      <t xml:space="preserve"> MT/kg; CO</t>
    </r>
    <r>
      <rPr>
        <i/>
        <vertAlign val="subscript"/>
        <sz val="11"/>
        <color theme="1"/>
        <rFont val="Calibri"/>
        <family val="2"/>
        <scheme val="minor"/>
      </rPr>
      <t>2</t>
    </r>
    <r>
      <rPr>
        <i/>
        <sz val="11"/>
        <color theme="1"/>
        <rFont val="Calibri"/>
        <family val="2"/>
        <scheme val="minor"/>
      </rPr>
      <t xml:space="preserve"> equivalent emissions = MT CH</t>
    </r>
    <r>
      <rPr>
        <i/>
        <vertAlign val="subscript"/>
        <sz val="11"/>
        <color theme="1"/>
        <rFont val="Calibri"/>
        <family val="2"/>
        <scheme val="minor"/>
      </rPr>
      <t>4</t>
    </r>
    <r>
      <rPr>
        <i/>
        <sz val="11"/>
        <color theme="1"/>
        <rFont val="Calibri"/>
        <family val="2"/>
        <scheme val="minor"/>
      </rPr>
      <t xml:space="preserve"> </t>
    </r>
    <r>
      <rPr>
        <sz val="11"/>
        <color theme="1"/>
        <rFont val="Calibri"/>
        <family val="2"/>
      </rPr>
      <t>×</t>
    </r>
    <r>
      <rPr>
        <i/>
        <sz val="11"/>
        <color theme="1"/>
        <rFont val="Calibri"/>
        <family val="2"/>
      </rPr>
      <t xml:space="preserve"> Global Warming Potential of CH</t>
    </r>
    <r>
      <rPr>
        <i/>
        <vertAlign val="subscript"/>
        <sz val="11"/>
        <color theme="1"/>
        <rFont val="Calibri"/>
        <family val="2"/>
      </rPr>
      <t>4</t>
    </r>
  </si>
  <si>
    <r>
      <t>kg CH</t>
    </r>
    <r>
      <rPr>
        <b/>
        <vertAlign val="subscript"/>
        <sz val="11"/>
        <color theme="1"/>
        <rFont val="Calibri"/>
        <family val="2"/>
        <scheme val="minor"/>
      </rPr>
      <t>4</t>
    </r>
    <r>
      <rPr>
        <b/>
        <sz val="11"/>
        <color theme="1"/>
        <rFont val="Calibri"/>
        <family val="2"/>
        <scheme val="minor"/>
      </rPr>
      <t xml:space="preserve">/unit </t>
    </r>
  </si>
  <si>
    <r>
      <t>MT 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</si>
  <si>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 Emissions by Fuel Type</t>
    </r>
  </si>
  <si>
    <r>
      <t>N</t>
    </r>
    <r>
      <rPr>
        <i/>
        <vertAlign val="subscript"/>
        <sz val="11"/>
        <color theme="1"/>
        <rFont val="Calibri"/>
        <family val="2"/>
        <scheme val="minor"/>
      </rPr>
      <t>2</t>
    </r>
    <r>
      <rPr>
        <i/>
        <sz val="11"/>
        <color theme="1"/>
        <rFont val="Calibri"/>
        <family val="2"/>
        <scheme val="minor"/>
      </rPr>
      <t>O Emissions = Fuel use × N</t>
    </r>
    <r>
      <rPr>
        <i/>
        <vertAlign val="subscript"/>
        <sz val="11"/>
        <color theme="1"/>
        <rFont val="Calibri"/>
        <family val="2"/>
        <scheme val="minor"/>
      </rPr>
      <t>2</t>
    </r>
    <r>
      <rPr>
        <i/>
        <sz val="11"/>
        <color theme="1"/>
        <rFont val="Calibri"/>
        <family val="2"/>
        <scheme val="minor"/>
      </rPr>
      <t>O Emission Factor (kg N</t>
    </r>
    <r>
      <rPr>
        <i/>
        <vertAlign val="subscript"/>
        <sz val="11"/>
        <color theme="1"/>
        <rFont val="Calibri"/>
        <family val="2"/>
        <scheme val="minor"/>
      </rPr>
      <t>2</t>
    </r>
    <r>
      <rPr>
        <i/>
        <sz val="11"/>
        <color theme="1"/>
        <rFont val="Calibri"/>
        <family val="2"/>
        <scheme val="minor"/>
      </rPr>
      <t xml:space="preserve">O/unit of fuel) </t>
    </r>
    <r>
      <rPr>
        <sz val="11"/>
        <color theme="1"/>
        <rFont val="Calibri"/>
        <family val="2"/>
      </rPr>
      <t>×</t>
    </r>
    <r>
      <rPr>
        <i/>
        <sz val="11"/>
        <color theme="1"/>
        <rFont val="Calibri"/>
        <family val="2"/>
        <scheme val="minor"/>
      </rPr>
      <t xml:space="preserve"> MT/kg; CO</t>
    </r>
    <r>
      <rPr>
        <i/>
        <vertAlign val="subscript"/>
        <sz val="11"/>
        <color theme="1"/>
        <rFont val="Calibri"/>
        <family val="2"/>
        <scheme val="minor"/>
      </rPr>
      <t>2</t>
    </r>
    <r>
      <rPr>
        <i/>
        <sz val="11"/>
        <color theme="1"/>
        <rFont val="Calibri"/>
        <family val="2"/>
        <scheme val="minor"/>
      </rPr>
      <t xml:space="preserve"> equivalent emissions = MT N</t>
    </r>
    <r>
      <rPr>
        <i/>
        <vertAlign val="subscript"/>
        <sz val="11"/>
        <color theme="1"/>
        <rFont val="Calibri"/>
        <family val="2"/>
        <scheme val="minor"/>
      </rPr>
      <t>2</t>
    </r>
    <r>
      <rPr>
        <i/>
        <sz val="11"/>
        <color theme="1"/>
        <rFont val="Calibri"/>
        <family val="2"/>
        <scheme val="minor"/>
      </rPr>
      <t xml:space="preserve">O </t>
    </r>
    <r>
      <rPr>
        <sz val="11"/>
        <color theme="1"/>
        <rFont val="Calibri"/>
        <family val="2"/>
      </rPr>
      <t>×</t>
    </r>
    <r>
      <rPr>
        <i/>
        <sz val="11"/>
        <color theme="1"/>
        <rFont val="Calibri"/>
        <family val="2"/>
      </rPr>
      <t xml:space="preserve"> Global Warming Potential of N</t>
    </r>
    <r>
      <rPr>
        <i/>
        <vertAlign val="subscript"/>
        <sz val="11"/>
        <color theme="1"/>
        <rFont val="Calibri"/>
        <family val="2"/>
      </rPr>
      <t>2</t>
    </r>
    <r>
      <rPr>
        <i/>
        <sz val="11"/>
        <color theme="1"/>
        <rFont val="Calibri"/>
        <family val="2"/>
      </rPr>
      <t>O</t>
    </r>
  </si>
  <si>
    <r>
      <t>kg N</t>
    </r>
    <r>
      <rPr>
        <b/>
        <vertAlign val="subscript"/>
        <sz val="11"/>
        <color theme="1"/>
        <rFont val="Calibri"/>
        <family val="2"/>
        <scheme val="minor"/>
      </rPr>
      <t>2</t>
    </r>
    <r>
      <rPr>
        <b/>
        <sz val="11"/>
        <color theme="1"/>
        <rFont val="Calibri"/>
        <family val="2"/>
        <scheme val="minor"/>
      </rPr>
      <t>O/unit</t>
    </r>
  </si>
  <si>
    <r>
      <t>MT N</t>
    </r>
    <r>
      <rPr>
        <b/>
        <vertAlign val="subscript"/>
        <sz val="11"/>
        <color theme="1"/>
        <rFont val="Calibri"/>
        <family val="2"/>
        <scheme val="minor"/>
      </rPr>
      <t>2</t>
    </r>
    <r>
      <rPr>
        <b/>
        <sz val="11"/>
        <color theme="1"/>
        <rFont val="Calibri"/>
        <family val="2"/>
        <scheme val="minor"/>
      </rPr>
      <t>O</t>
    </r>
  </si>
  <si>
    <t>Activity Data by Sector and Fuel Type</t>
  </si>
  <si>
    <t>Fuel use data by sector and fuel type. Units: Natural Gas and Digester Gas (mcf), Bituminous Coal (short tons), all other (gallons)</t>
  </si>
  <si>
    <t>Gas Products (mcf)</t>
  </si>
  <si>
    <t>Petroleum Products (gal)</t>
  </si>
  <si>
    <t>Coal (tons)</t>
  </si>
  <si>
    <t>Emissions by Sector and Fuel Type</t>
  </si>
  <si>
    <r>
      <t>CO</t>
    </r>
    <r>
      <rPr>
        <vertAlign val="subscript"/>
        <sz val="11"/>
        <color theme="1"/>
        <rFont val="Calibri"/>
        <family val="2"/>
        <scheme val="minor"/>
      </rPr>
      <t>2</t>
    </r>
    <r>
      <rPr>
        <sz val="11"/>
        <color theme="1"/>
        <rFont val="Calibri"/>
        <family val="2"/>
        <scheme val="minor"/>
      </rPr>
      <t xml:space="preserve"> </t>
    </r>
    <r>
      <rPr>
        <i/>
        <sz val="11"/>
        <color theme="1"/>
        <rFont val="Calibri"/>
        <family val="2"/>
        <scheme val="minor"/>
      </rPr>
      <t xml:space="preserve">Emissions = Units of Fuel Consumed </t>
    </r>
    <r>
      <rPr>
        <sz val="11"/>
        <color theme="1"/>
        <rFont val="Calibri"/>
        <family val="2"/>
      </rPr>
      <t>×</t>
    </r>
    <r>
      <rPr>
        <i/>
        <sz val="11"/>
        <color theme="1"/>
        <rFont val="Calibri"/>
        <family val="2"/>
      </rPr>
      <t xml:space="preserve"> kg CO2 / unit × MT/kg </t>
    </r>
  </si>
  <si>
    <r>
      <t>CH</t>
    </r>
    <r>
      <rPr>
        <vertAlign val="subscript"/>
        <sz val="11"/>
        <color theme="1"/>
        <rFont val="Calibri"/>
        <family val="2"/>
        <scheme val="minor"/>
      </rPr>
      <t>4</t>
    </r>
    <r>
      <rPr>
        <sz val="11"/>
        <color theme="1"/>
        <rFont val="Calibri"/>
        <family val="2"/>
        <scheme val="minor"/>
      </rPr>
      <t xml:space="preserve"> </t>
    </r>
    <r>
      <rPr>
        <i/>
        <sz val="11"/>
        <color theme="1"/>
        <rFont val="Calibri"/>
        <family val="2"/>
        <scheme val="minor"/>
      </rPr>
      <t xml:space="preserve">Emissions = Units of Fuel Consumed </t>
    </r>
    <r>
      <rPr>
        <sz val="11"/>
        <color theme="1"/>
        <rFont val="Calibri"/>
        <family val="2"/>
      </rPr>
      <t>×</t>
    </r>
    <r>
      <rPr>
        <i/>
        <sz val="11"/>
        <color theme="1"/>
        <rFont val="Calibri"/>
        <family val="2"/>
      </rPr>
      <t xml:space="preserve"> kg CH</t>
    </r>
    <r>
      <rPr>
        <i/>
        <vertAlign val="subscript"/>
        <sz val="11"/>
        <color theme="1"/>
        <rFont val="Calibri"/>
        <family val="2"/>
      </rPr>
      <t>4</t>
    </r>
    <r>
      <rPr>
        <i/>
        <sz val="11"/>
        <color theme="1"/>
        <rFont val="Calibri"/>
        <family val="2"/>
      </rPr>
      <t xml:space="preserve"> / unit × MT/kg × GWP CH</t>
    </r>
    <r>
      <rPr>
        <i/>
        <vertAlign val="subscript"/>
        <sz val="11"/>
        <color theme="1"/>
        <rFont val="Calibri"/>
        <family val="2"/>
      </rPr>
      <t>4</t>
    </r>
  </si>
  <si>
    <r>
      <t>N</t>
    </r>
    <r>
      <rPr>
        <vertAlign val="subscript"/>
        <sz val="11"/>
        <color theme="1"/>
        <rFont val="Calibri"/>
        <family val="2"/>
        <scheme val="minor"/>
      </rPr>
      <t>2</t>
    </r>
    <r>
      <rPr>
        <sz val="11"/>
        <color theme="1"/>
        <rFont val="Calibri"/>
        <family val="2"/>
        <scheme val="minor"/>
      </rPr>
      <t xml:space="preserve">O </t>
    </r>
    <r>
      <rPr>
        <i/>
        <sz val="11"/>
        <color theme="1"/>
        <rFont val="Calibri"/>
        <family val="2"/>
        <scheme val="minor"/>
      </rPr>
      <t xml:space="preserve">Emissions = Units of Fuel Consumed </t>
    </r>
    <r>
      <rPr>
        <sz val="11"/>
        <color theme="1"/>
        <rFont val="Calibri"/>
        <family val="2"/>
      </rPr>
      <t>×</t>
    </r>
    <r>
      <rPr>
        <i/>
        <sz val="11"/>
        <color theme="1"/>
        <rFont val="Calibri"/>
        <family val="2"/>
      </rPr>
      <t xml:space="preserve"> kg N</t>
    </r>
    <r>
      <rPr>
        <i/>
        <vertAlign val="subscript"/>
        <sz val="11"/>
        <color theme="1"/>
        <rFont val="Calibri"/>
        <family val="2"/>
      </rPr>
      <t>2</t>
    </r>
    <r>
      <rPr>
        <i/>
        <sz val="11"/>
        <color theme="1"/>
        <rFont val="Calibri"/>
        <family val="2"/>
      </rPr>
      <t>O / unit × MT/kg × GWP N</t>
    </r>
    <r>
      <rPr>
        <i/>
        <vertAlign val="subscript"/>
        <sz val="11"/>
        <color theme="1"/>
        <rFont val="Calibri"/>
        <family val="2"/>
      </rPr>
      <t>2</t>
    </r>
    <r>
      <rPr>
        <i/>
        <sz val="11"/>
        <color theme="1"/>
        <rFont val="Calibri"/>
        <family val="2"/>
      </rPr>
      <t>O</t>
    </r>
  </si>
  <si>
    <t>Energy Use by Sector and Fuel Type</t>
  </si>
  <si>
    <r>
      <t xml:space="preserve">Energy Consumed (MMbtu) = Units of Fuel Consumed </t>
    </r>
    <r>
      <rPr>
        <sz val="11"/>
        <color theme="1"/>
        <rFont val="Calibri"/>
        <family val="2"/>
      </rPr>
      <t>×</t>
    </r>
    <r>
      <rPr>
        <i/>
        <sz val="11"/>
        <color theme="1"/>
        <rFont val="Calibri"/>
        <family val="2"/>
      </rPr>
      <t xml:space="preserve"> Heat Content of Fuel (MMBtu/unit)</t>
    </r>
  </si>
  <si>
    <t>Electricity Data Template Instructions</t>
  </si>
  <si>
    <t>Copy and paste the data from that sheet onto the "Electricity-Data" worksheet in the inventory tool.</t>
  </si>
  <si>
    <t>If you have chosen to enter data at the facility level, please specify the type of facility from the list below. You must use the exact spelling of the facility type provided below.</t>
  </si>
  <si>
    <t>Electricity Consumed</t>
  </si>
  <si>
    <t>Please enter the electricity consumption (in kWh) for the given unit in the inventory year.</t>
  </si>
  <si>
    <t>Electric Utility</t>
  </si>
  <si>
    <t>Please enter the eGRID region that supplies electricity. Select from the regions provided on the Control Sheet, shown again below. Be sure to use the exact spelling of each region for accurate calculations.</t>
  </si>
  <si>
    <t>NYLI eGRID subregion</t>
  </si>
  <si>
    <t>AKMS eGRID subregion</t>
  </si>
  <si>
    <t>NYUP eGRID subregion</t>
  </si>
  <si>
    <t>AZNM eGRID subregion</t>
  </si>
  <si>
    <t>RFCE eGRID subregion</t>
  </si>
  <si>
    <t>CAMX eGRID subregion</t>
  </si>
  <si>
    <t>RFCM eGRID subregion</t>
  </si>
  <si>
    <t>ERCT eGRID subregion</t>
  </si>
  <si>
    <t>RFCW eGRID subregion</t>
  </si>
  <si>
    <t>FRCC eGRID subregion</t>
  </si>
  <si>
    <t>RMPA eGRID subregion</t>
  </si>
  <si>
    <t>HIMS eGRID subregion</t>
  </si>
  <si>
    <t>SPNO eGRID subregion</t>
  </si>
  <si>
    <t>HIOA eGRID subregion</t>
  </si>
  <si>
    <t>SPSO eGRID subregion</t>
  </si>
  <si>
    <t>MROE eGRID subregion</t>
  </si>
  <si>
    <t>SRMV eGRID subregion</t>
  </si>
  <si>
    <t>MROW eGRID subregion</t>
  </si>
  <si>
    <t>SRMW eGRID subregion</t>
  </si>
  <si>
    <t>NEWE eGRID subregion</t>
  </si>
  <si>
    <t>SRSO eGRID subregion</t>
  </si>
  <si>
    <t>NWPP eGRID subregion</t>
  </si>
  <si>
    <t>SRTV eGRID subregion</t>
  </si>
  <si>
    <t>NYCW eGRID subregion</t>
  </si>
  <si>
    <t>SRVC eGRID subregion</t>
  </si>
  <si>
    <t>Mobile Units - Entry</t>
  </si>
  <si>
    <t>1a)</t>
  </si>
  <si>
    <t>Describe the vehicle(s) you are entering</t>
  </si>
  <si>
    <t>Vehicle or vehicle group description</t>
  </si>
  <si>
    <t>Vehicle Year</t>
  </si>
  <si>
    <t>Vehicle Type</t>
  </si>
  <si>
    <t>Vehicle Model (optional)</t>
  </si>
  <si>
    <t>Fuel type</t>
  </si>
  <si>
    <t>1b)</t>
  </si>
  <si>
    <t>Entries</t>
  </si>
  <si>
    <t>Vehicle miles traveled (VMT)*:</t>
  </si>
  <si>
    <r>
      <t xml:space="preserve">* </t>
    </r>
    <r>
      <rPr>
        <b/>
        <sz val="10.5"/>
        <color indexed="8"/>
        <rFont val="Calibri"/>
        <family val="2"/>
      </rPr>
      <t>Helpful Hint:</t>
    </r>
    <r>
      <rPr>
        <sz val="10.5"/>
        <color indexed="8"/>
        <rFont val="Calibri"/>
        <family val="2"/>
      </rPr>
      <t xml:space="preserve"> If you do not know the VMT for this entry, you can multiply the fuel consumed by the MPG of the vehicle/vehicle group. Use your own efficiency data or see the table below for average MPG by vehicle type and fuel. → </t>
    </r>
    <r>
      <rPr>
        <sz val="10.5"/>
        <color theme="9" tint="-0.249977111117893"/>
        <rFont val="Calibri"/>
        <family val="2"/>
      </rPr>
      <t>Vehicle Miles = Gallons × Miles/Gallon</t>
    </r>
  </si>
  <si>
    <t>Average MPG</t>
  </si>
  <si>
    <t>Gasoline &amp; Other Fuels</t>
  </si>
  <si>
    <t>Diesel &amp; Biodiesel</t>
  </si>
  <si>
    <t>Passenger Car</t>
  </si>
  <si>
    <t>Light Truck</t>
  </si>
  <si>
    <t>2)</t>
  </si>
  <si>
    <t>Once you have completed data entry, hit the button below to update the calculations.</t>
  </si>
  <si>
    <t>Heavy-Duty Vehicle</t>
  </si>
  <si>
    <t>Motorcycle</t>
  </si>
  <si>
    <t>N/A</t>
  </si>
  <si>
    <t>Mobile Units - Data</t>
  </si>
  <si>
    <t>Linker Row- DO NOT MODIFY</t>
  </si>
  <si>
    <t>Fuel consumption</t>
  </si>
  <si>
    <t>VMT</t>
  </si>
  <si>
    <t>Mobile Data Template Instructions</t>
  </si>
  <si>
    <t>Copy and paste the data from that sheet onto the "Mobile-Data" worksheet in the inventory tool.</t>
  </si>
  <si>
    <t>Vehicle or Vehicle Group Descriptions</t>
  </si>
  <si>
    <t>Use this field to describe or name the vehicle or group of vehicles that you are entering. This field is for the user's reference only and does not impact the calculations.</t>
  </si>
  <si>
    <t>Enter the model year of the vehicle you are entering.</t>
  </si>
  <si>
    <t>Please enter the vehicle type from the list below in this column. Be sure to type the name exactly as it appears below.</t>
  </si>
  <si>
    <t>Light Truck (Vans, Pickup Trucks, SUVs)</t>
  </si>
  <si>
    <t>Agricultural Equipment</t>
  </si>
  <si>
    <t>Construction Equipment</t>
  </si>
  <si>
    <t>Utility and Recreational Equipment</t>
  </si>
  <si>
    <t>Aircraft</t>
  </si>
  <si>
    <t>Ship or Boat</t>
  </si>
  <si>
    <t>Locomotive</t>
  </si>
  <si>
    <t>Vehicle Model</t>
  </si>
  <si>
    <t>Use this column to enter the vehicle model. This field is optional and for user reference only.</t>
  </si>
  <si>
    <t xml:space="preserve">Please enter the fuel type in this column. You must select the fuel type from the list of fuels below, and only select fuels appropriate for the vehicle type. Any other fuels will not be included in the calculations. </t>
  </si>
  <si>
    <t>The consumption amounts must also be in the units listed below.</t>
  </si>
  <si>
    <t>Vehicle</t>
  </si>
  <si>
    <t xml:space="preserve">Passenger Car: </t>
  </si>
  <si>
    <t>Biodiesel (B5)</t>
  </si>
  <si>
    <t>Biodiesel (B20)</t>
  </si>
  <si>
    <t>Ethanol (E5)</t>
  </si>
  <si>
    <t>CNG</t>
  </si>
  <si>
    <t xml:space="preserve">Light Truck (Vans, Pickup Trucks, SUVs): </t>
  </si>
  <si>
    <t xml:space="preserve">Heavy-Duty Vehicle: </t>
  </si>
  <si>
    <t>LNG</t>
  </si>
  <si>
    <t xml:space="preserve">Motorcycle: </t>
  </si>
  <si>
    <t xml:space="preserve">Agricultural Equipment: </t>
  </si>
  <si>
    <t xml:space="preserve">Construction Equipment: </t>
  </si>
  <si>
    <t xml:space="preserve">Utility and Recreational Equipment: </t>
  </si>
  <si>
    <t xml:space="preserve">Aircraft: </t>
  </si>
  <si>
    <t>Aviation Gasoline</t>
  </si>
  <si>
    <t xml:space="preserve">Ship or Boat: </t>
  </si>
  <si>
    <t>Residual Fuel</t>
  </si>
  <si>
    <t xml:space="preserve">Locomotive: </t>
  </si>
  <si>
    <t>Vehicle Miles Traveled (VMT)</t>
  </si>
  <si>
    <t xml:space="preserve">Please enter the miles traveled by the vehicle during the inventory year here. </t>
  </si>
  <si>
    <t>Mobile Combustion - Calculation</t>
  </si>
  <si>
    <t>Activity Data</t>
  </si>
  <si>
    <t>Fuel use by sector and fuel type</t>
  </si>
  <si>
    <r>
      <t>CO</t>
    </r>
    <r>
      <rPr>
        <u/>
        <vertAlign val="subscript"/>
        <sz val="11"/>
        <color indexed="12"/>
        <rFont val="Calibri"/>
        <family val="2"/>
        <scheme val="minor"/>
      </rPr>
      <t>2</t>
    </r>
    <r>
      <rPr>
        <u/>
        <sz val="11"/>
        <color indexed="12"/>
        <rFont val="Calibri"/>
        <family val="2"/>
        <scheme val="minor"/>
      </rPr>
      <t xml:space="preserve"> Calculations</t>
    </r>
  </si>
  <si>
    <r>
      <t>Gross CO</t>
    </r>
    <r>
      <rPr>
        <u/>
        <vertAlign val="subscript"/>
        <sz val="11"/>
        <color indexed="12"/>
        <rFont val="Calibri"/>
        <family val="2"/>
        <scheme val="minor"/>
      </rPr>
      <t>2</t>
    </r>
  </si>
  <si>
    <r>
      <t>Biogenic CO</t>
    </r>
    <r>
      <rPr>
        <u/>
        <vertAlign val="subscript"/>
        <sz val="11"/>
        <color indexed="12"/>
        <rFont val="Calibri"/>
        <family val="2"/>
        <scheme val="minor"/>
      </rPr>
      <t>2</t>
    </r>
  </si>
  <si>
    <r>
      <t>Net CO</t>
    </r>
    <r>
      <rPr>
        <u/>
        <vertAlign val="subscript"/>
        <sz val="11"/>
        <color indexed="12"/>
        <rFont val="Calibri"/>
        <family val="2"/>
        <scheme val="minor"/>
      </rPr>
      <t>2</t>
    </r>
  </si>
  <si>
    <r>
      <t>Non-CO</t>
    </r>
    <r>
      <rPr>
        <u/>
        <vertAlign val="subscript"/>
        <sz val="11"/>
        <color indexed="12"/>
        <rFont val="Calibri"/>
        <family val="2"/>
        <scheme val="minor"/>
      </rPr>
      <t>2</t>
    </r>
    <r>
      <rPr>
        <u/>
        <sz val="11"/>
        <color indexed="12"/>
        <rFont val="Calibri"/>
        <family val="2"/>
        <scheme val="minor"/>
      </rPr>
      <t xml:space="preserve"> Calculations</t>
    </r>
  </si>
  <si>
    <t>Highway Vehicles</t>
  </si>
  <si>
    <t>Alternate Fuel Vehicles (AFVs)</t>
  </si>
  <si>
    <t>Non-Highway Vehicles</t>
  </si>
  <si>
    <t>Fuel Use by Sector and Fuel Type</t>
  </si>
  <si>
    <r>
      <t>This table summarizes fuel consumption by sector. These are the activity data used to calculate CO</t>
    </r>
    <r>
      <rPr>
        <i/>
        <vertAlign val="subscript"/>
        <sz val="11"/>
        <color theme="1"/>
        <rFont val="Calibri"/>
        <family val="2"/>
        <scheme val="minor"/>
      </rPr>
      <t>2</t>
    </r>
    <r>
      <rPr>
        <i/>
        <sz val="11"/>
        <color theme="1"/>
        <rFont val="Calibri"/>
        <family val="2"/>
        <scheme val="minor"/>
      </rPr>
      <t xml:space="preserve"> emissions.</t>
    </r>
  </si>
  <si>
    <t>Ethanol (E85)</t>
  </si>
  <si>
    <t>Units</t>
  </si>
  <si>
    <t>Gallons</t>
  </si>
  <si>
    <t>This table summarizes energy use by sector (MMBtu).</t>
  </si>
  <si>
    <r>
      <t>CO</t>
    </r>
    <r>
      <rPr>
        <b/>
        <vertAlign val="subscript"/>
        <sz val="14"/>
        <color theme="1"/>
        <rFont val="Calibri"/>
        <family val="2"/>
        <scheme val="minor"/>
      </rPr>
      <t>2</t>
    </r>
    <r>
      <rPr>
        <b/>
        <sz val="14"/>
        <color theme="1"/>
        <rFont val="Calibri"/>
        <family val="2"/>
        <scheme val="minor"/>
      </rPr>
      <t xml:space="preserve"> Calculations</t>
    </r>
  </si>
  <si>
    <r>
      <t>Gross CO</t>
    </r>
    <r>
      <rPr>
        <b/>
        <vertAlign val="subscript"/>
        <sz val="11"/>
        <color theme="1"/>
        <rFont val="Calibri"/>
        <family val="2"/>
        <scheme val="minor"/>
      </rPr>
      <t>2</t>
    </r>
    <r>
      <rPr>
        <b/>
        <sz val="11"/>
        <color theme="1"/>
        <rFont val="Calibri"/>
        <family val="2"/>
        <scheme val="minor"/>
      </rPr>
      <t xml:space="preserve"> Emissions</t>
    </r>
  </si>
  <si>
    <r>
      <t>CO</t>
    </r>
    <r>
      <rPr>
        <i/>
        <vertAlign val="subscript"/>
        <sz val="11"/>
        <color theme="1"/>
        <rFont val="Calibri"/>
        <family val="2"/>
        <scheme val="minor"/>
      </rPr>
      <t>2</t>
    </r>
    <r>
      <rPr>
        <i/>
        <sz val="11"/>
        <color theme="1"/>
        <rFont val="Calibri"/>
        <family val="2"/>
        <scheme val="minor"/>
      </rPr>
      <t xml:space="preserve"> Emissions (MT) = Fuel use × kg CO</t>
    </r>
    <r>
      <rPr>
        <i/>
        <vertAlign val="subscript"/>
        <sz val="11"/>
        <color theme="1"/>
        <rFont val="Calibri"/>
        <family val="2"/>
        <scheme val="minor"/>
      </rPr>
      <t>2</t>
    </r>
    <r>
      <rPr>
        <i/>
        <sz val="11"/>
        <color theme="1"/>
        <rFont val="Calibri"/>
        <family val="2"/>
        <scheme val="minor"/>
      </rPr>
      <t xml:space="preserve">/unit of fuel </t>
    </r>
    <r>
      <rPr>
        <sz val="11"/>
        <color theme="1"/>
        <rFont val="Calibri"/>
        <family val="2"/>
      </rPr>
      <t>×</t>
    </r>
    <r>
      <rPr>
        <i/>
        <sz val="11"/>
        <color theme="1"/>
        <rFont val="Calibri"/>
        <family val="2"/>
        <scheme val="minor"/>
      </rPr>
      <t xml:space="preserve"> MT/kg</t>
    </r>
  </si>
  <si>
    <r>
      <t>EF: kg CO</t>
    </r>
    <r>
      <rPr>
        <vertAlign val="subscript"/>
        <sz val="11"/>
        <color theme="1"/>
        <rFont val="Calibri"/>
        <family val="2"/>
        <scheme val="minor"/>
      </rPr>
      <t>2</t>
    </r>
    <r>
      <rPr>
        <sz val="11"/>
        <color theme="1"/>
        <rFont val="Calibri"/>
        <family val="2"/>
        <scheme val="minor"/>
      </rPr>
      <t>/gal (or g.g.e.)</t>
    </r>
  </si>
  <si>
    <r>
      <t>Biogenic CO</t>
    </r>
    <r>
      <rPr>
        <b/>
        <vertAlign val="subscript"/>
        <sz val="11"/>
        <color theme="1"/>
        <rFont val="Calibri"/>
        <family val="2"/>
        <scheme val="minor"/>
      </rPr>
      <t>2</t>
    </r>
    <r>
      <rPr>
        <b/>
        <sz val="11"/>
        <color theme="1"/>
        <rFont val="Calibri"/>
        <family val="2"/>
        <scheme val="minor"/>
      </rPr>
      <t xml:space="preserve"> Emissions</t>
    </r>
  </si>
  <si>
    <r>
      <t>Biogenic CO</t>
    </r>
    <r>
      <rPr>
        <i/>
        <vertAlign val="subscript"/>
        <sz val="11"/>
        <color theme="1"/>
        <rFont val="Calibri"/>
        <family val="2"/>
        <scheme val="minor"/>
      </rPr>
      <t>2</t>
    </r>
    <r>
      <rPr>
        <i/>
        <sz val="11"/>
        <color theme="1"/>
        <rFont val="Calibri"/>
        <family val="2"/>
        <scheme val="minor"/>
      </rPr>
      <t xml:space="preserve"> (MT) = Fuel use </t>
    </r>
    <r>
      <rPr>
        <i/>
        <sz val="11"/>
        <color theme="1"/>
        <rFont val="Calibri"/>
        <family val="2"/>
      </rPr>
      <t>×</t>
    </r>
    <r>
      <rPr>
        <i/>
        <sz val="11"/>
        <color theme="1"/>
        <rFont val="Calibri"/>
        <family val="2"/>
        <scheme val="minor"/>
      </rPr>
      <t xml:space="preserve"> Biogenic kg CO</t>
    </r>
    <r>
      <rPr>
        <i/>
        <vertAlign val="subscript"/>
        <sz val="11"/>
        <color theme="1"/>
        <rFont val="Calibri"/>
        <family val="2"/>
        <scheme val="minor"/>
      </rPr>
      <t>2</t>
    </r>
    <r>
      <rPr>
        <i/>
        <sz val="11"/>
        <color theme="1"/>
        <rFont val="Calibri"/>
        <family val="2"/>
        <scheme val="minor"/>
      </rPr>
      <t>/unit of fuel × MT/kg</t>
    </r>
  </si>
  <si>
    <r>
      <t>Net CO</t>
    </r>
    <r>
      <rPr>
        <b/>
        <vertAlign val="subscript"/>
        <sz val="11"/>
        <color theme="1"/>
        <rFont val="Calibri"/>
        <family val="2"/>
        <scheme val="minor"/>
      </rPr>
      <t>2</t>
    </r>
    <r>
      <rPr>
        <b/>
        <sz val="11"/>
        <color theme="1"/>
        <rFont val="Calibri"/>
        <family val="2"/>
        <scheme val="minor"/>
      </rPr>
      <t xml:space="preserve"> Emissions</t>
    </r>
  </si>
  <si>
    <r>
      <t>Net CO</t>
    </r>
    <r>
      <rPr>
        <i/>
        <vertAlign val="subscript"/>
        <sz val="11"/>
        <color theme="1"/>
        <rFont val="Calibri"/>
        <family val="2"/>
        <scheme val="minor"/>
      </rPr>
      <t>2</t>
    </r>
    <r>
      <rPr>
        <i/>
        <sz val="11"/>
        <color theme="1"/>
        <rFont val="Calibri"/>
        <family val="2"/>
        <scheme val="minor"/>
      </rPr>
      <t xml:space="preserve"> Emissions (MT) = Gross CO</t>
    </r>
    <r>
      <rPr>
        <i/>
        <vertAlign val="subscript"/>
        <sz val="11"/>
        <color theme="1"/>
        <rFont val="Calibri"/>
        <family val="2"/>
        <scheme val="minor"/>
      </rPr>
      <t>2</t>
    </r>
    <r>
      <rPr>
        <i/>
        <sz val="11"/>
        <color theme="1"/>
        <rFont val="Calibri"/>
        <family val="2"/>
        <scheme val="minor"/>
      </rPr>
      <t xml:space="preserve"> Emissions - Biogenic CO</t>
    </r>
    <r>
      <rPr>
        <i/>
        <vertAlign val="subscript"/>
        <sz val="11"/>
        <color theme="1"/>
        <rFont val="Calibri"/>
        <family val="2"/>
        <scheme val="minor"/>
      </rPr>
      <t>2</t>
    </r>
    <r>
      <rPr>
        <i/>
        <sz val="11"/>
        <color theme="1"/>
        <rFont val="Calibri"/>
        <family val="2"/>
        <scheme val="minor"/>
      </rPr>
      <t xml:space="preserve"> Emissions</t>
    </r>
  </si>
  <si>
    <r>
      <t>Non-CO</t>
    </r>
    <r>
      <rPr>
        <b/>
        <vertAlign val="subscript"/>
        <sz val="14"/>
        <color theme="1"/>
        <rFont val="Calibri"/>
        <family val="2"/>
        <scheme val="minor"/>
      </rPr>
      <t>2</t>
    </r>
    <r>
      <rPr>
        <b/>
        <sz val="14"/>
        <color theme="1"/>
        <rFont val="Calibri"/>
        <family val="2"/>
        <scheme val="minor"/>
      </rPr>
      <t xml:space="preserve"> Calculations</t>
    </r>
  </si>
  <si>
    <t>Current sector:</t>
  </si>
  <si>
    <t>The "Update Calculations" function on the Mobile-Entry sheet automatically runs these calculations for each sector.</t>
  </si>
  <si>
    <t>To view the calculations below for an individual sector, select the sector from the drop-down list in the shaded cell.</t>
  </si>
  <si>
    <t>1) Highway Vehicles</t>
  </si>
  <si>
    <t>VMT by Model Year and Vehicle Type</t>
  </si>
  <si>
    <r>
      <t>CH</t>
    </r>
    <r>
      <rPr>
        <b/>
        <vertAlign val="subscript"/>
        <sz val="11"/>
        <color theme="1"/>
        <rFont val="Calibri"/>
        <family val="2"/>
        <scheme val="minor"/>
      </rPr>
      <t>4</t>
    </r>
    <r>
      <rPr>
        <b/>
        <sz val="11"/>
        <color theme="1"/>
        <rFont val="Calibri"/>
        <family val="2"/>
        <scheme val="minor"/>
      </rPr>
      <t xml:space="preserve"> Emissions by Model Year and Vehicle Type</t>
    </r>
  </si>
  <si>
    <r>
      <t>N</t>
    </r>
    <r>
      <rPr>
        <b/>
        <vertAlign val="subscript"/>
        <sz val="11"/>
        <color theme="1"/>
        <rFont val="Calibri"/>
        <family val="2"/>
        <scheme val="minor"/>
      </rPr>
      <t>2</t>
    </r>
    <r>
      <rPr>
        <b/>
        <sz val="11"/>
        <color theme="1"/>
        <rFont val="Calibri"/>
        <family val="2"/>
        <scheme val="minor"/>
      </rPr>
      <t>O Emissions by Model Year and Vehicle Type</t>
    </r>
  </si>
  <si>
    <t>Vehicle activity data by Model Year and vehicle type for the selected sector (miles).</t>
  </si>
  <si>
    <r>
      <t>CH</t>
    </r>
    <r>
      <rPr>
        <i/>
        <vertAlign val="subscript"/>
        <sz val="11"/>
        <color theme="1"/>
        <rFont val="Calibri"/>
        <family val="2"/>
        <scheme val="minor"/>
      </rPr>
      <t>4</t>
    </r>
    <r>
      <rPr>
        <i/>
        <sz val="11"/>
        <color theme="1"/>
        <rFont val="Calibri"/>
        <family val="2"/>
        <scheme val="minor"/>
      </rPr>
      <t xml:space="preserve"> Emissions = VMT × Highway Emissions Factor (g/mi) × MT/g × GWP CH</t>
    </r>
    <r>
      <rPr>
        <i/>
        <vertAlign val="subscript"/>
        <sz val="11"/>
        <color theme="1"/>
        <rFont val="Calibri"/>
        <family val="2"/>
        <scheme val="minor"/>
      </rPr>
      <t>4</t>
    </r>
  </si>
  <si>
    <r>
      <t>N</t>
    </r>
    <r>
      <rPr>
        <i/>
        <vertAlign val="subscript"/>
        <sz val="11"/>
        <color theme="1"/>
        <rFont val="Calibri"/>
        <family val="2"/>
        <scheme val="minor"/>
      </rPr>
      <t>2</t>
    </r>
    <r>
      <rPr>
        <i/>
        <sz val="11"/>
        <color theme="1"/>
        <rFont val="Calibri"/>
        <family val="2"/>
        <scheme val="minor"/>
      </rPr>
      <t>O emissions = VMT × Highway Emissions Factor (g/mi) × MT/g × GWP N</t>
    </r>
    <r>
      <rPr>
        <i/>
        <vertAlign val="subscript"/>
        <sz val="11"/>
        <color theme="1"/>
        <rFont val="Calibri"/>
        <family val="2"/>
        <scheme val="minor"/>
      </rPr>
      <t>2</t>
    </r>
    <r>
      <rPr>
        <i/>
        <sz val="11"/>
        <color theme="1"/>
        <rFont val="Calibri"/>
        <family val="2"/>
        <scheme val="minor"/>
      </rPr>
      <t>O</t>
    </r>
  </si>
  <si>
    <t>Model Year</t>
  </si>
  <si>
    <t>MY</t>
  </si>
  <si>
    <t>1980 &amp; earlier</t>
  </si>
  <si>
    <t>2020 &amp; later</t>
  </si>
  <si>
    <t>2) AFVs, Highway</t>
  </si>
  <si>
    <t>VMT by Fuel and Vehicle type</t>
  </si>
  <si>
    <r>
      <t>CH</t>
    </r>
    <r>
      <rPr>
        <b/>
        <vertAlign val="subscript"/>
        <sz val="11"/>
        <color theme="1"/>
        <rFont val="Calibri"/>
        <family val="2"/>
        <scheme val="minor"/>
      </rPr>
      <t>4</t>
    </r>
    <r>
      <rPr>
        <b/>
        <sz val="11"/>
        <color theme="1"/>
        <rFont val="Calibri"/>
        <family val="2"/>
        <scheme val="minor"/>
      </rPr>
      <t xml:space="preserve"> Emissions by Fuel and Vehicle Type</t>
    </r>
  </si>
  <si>
    <r>
      <t>N</t>
    </r>
    <r>
      <rPr>
        <b/>
        <vertAlign val="subscript"/>
        <sz val="11"/>
        <color theme="1"/>
        <rFont val="Calibri"/>
        <family val="2"/>
        <scheme val="minor"/>
      </rPr>
      <t>2</t>
    </r>
    <r>
      <rPr>
        <b/>
        <sz val="11"/>
        <color theme="1"/>
        <rFont val="Calibri"/>
        <family val="2"/>
        <scheme val="minor"/>
      </rPr>
      <t>O Emissions by Fuel and Vehicle Type</t>
    </r>
  </si>
  <si>
    <t>Vehicle activity data by fuel type and vehicle type for selected sector (miles)</t>
  </si>
  <si>
    <r>
      <t>CH</t>
    </r>
    <r>
      <rPr>
        <i/>
        <vertAlign val="subscript"/>
        <sz val="11"/>
        <color theme="1"/>
        <rFont val="Calibri"/>
        <family val="2"/>
        <scheme val="minor"/>
      </rPr>
      <t>4</t>
    </r>
    <r>
      <rPr>
        <i/>
        <sz val="11"/>
        <color theme="1"/>
        <rFont val="Calibri"/>
        <family val="2"/>
        <scheme val="minor"/>
      </rPr>
      <t xml:space="preserve"> Emissions = VMT × AFV EF (g/mi) × MT/g × GWP CH</t>
    </r>
    <r>
      <rPr>
        <i/>
        <vertAlign val="subscript"/>
        <sz val="11"/>
        <color theme="1"/>
        <rFont val="Calibri"/>
        <family val="2"/>
        <scheme val="minor"/>
      </rPr>
      <t>4</t>
    </r>
  </si>
  <si>
    <r>
      <t>N</t>
    </r>
    <r>
      <rPr>
        <i/>
        <vertAlign val="subscript"/>
        <sz val="11"/>
        <color theme="1"/>
        <rFont val="Calibri"/>
        <family val="2"/>
        <scheme val="minor"/>
      </rPr>
      <t>2</t>
    </r>
    <r>
      <rPr>
        <i/>
        <sz val="11"/>
        <color theme="1"/>
        <rFont val="Calibri"/>
        <family val="2"/>
        <scheme val="minor"/>
      </rPr>
      <t>O Emissions = VMT × AFV EF (g/mi) × MT/g × GWP N</t>
    </r>
    <r>
      <rPr>
        <i/>
        <vertAlign val="subscript"/>
        <sz val="11"/>
        <color theme="1"/>
        <rFont val="Calibri"/>
        <family val="2"/>
        <scheme val="minor"/>
      </rPr>
      <t>2</t>
    </r>
    <r>
      <rPr>
        <i/>
        <sz val="11"/>
        <color theme="1"/>
        <rFont val="Calibri"/>
        <family val="2"/>
        <scheme val="minor"/>
      </rPr>
      <t>O</t>
    </r>
  </si>
  <si>
    <t>NA</t>
  </si>
  <si>
    <t>3) Motorcycles and Non-Highway</t>
  </si>
  <si>
    <t>Activity Summary by Vehicle and Fuel Type</t>
  </si>
  <si>
    <r>
      <t>CH</t>
    </r>
    <r>
      <rPr>
        <b/>
        <vertAlign val="subscript"/>
        <sz val="11"/>
        <color theme="1"/>
        <rFont val="Calibri"/>
        <family val="2"/>
        <scheme val="minor"/>
      </rPr>
      <t>4</t>
    </r>
    <r>
      <rPr>
        <b/>
        <sz val="11"/>
        <color theme="1"/>
        <rFont val="Calibri"/>
        <family val="2"/>
        <scheme val="minor"/>
      </rPr>
      <t xml:space="preserve"> Emissions by Vehicle and Fuel Type</t>
    </r>
  </si>
  <si>
    <r>
      <t>N</t>
    </r>
    <r>
      <rPr>
        <vertAlign val="subscript"/>
        <sz val="11"/>
        <color theme="1"/>
        <rFont val="Calibri"/>
        <family val="2"/>
        <scheme val="minor"/>
      </rPr>
      <t>2</t>
    </r>
    <r>
      <rPr>
        <sz val="11"/>
        <color theme="1"/>
        <rFont val="Calibri"/>
        <family val="2"/>
        <scheme val="minor"/>
      </rPr>
      <t>O Emissions by Vehicle and Fuel Type</t>
    </r>
  </si>
  <si>
    <t>Vehicle activity data by vehicle type and fuel type for selected sector. Units depend on vehicle type (gallons or miles).</t>
  </si>
  <si>
    <r>
      <t>CH</t>
    </r>
    <r>
      <rPr>
        <vertAlign val="subscript"/>
        <sz val="11"/>
        <color theme="1"/>
        <rFont val="Calibri"/>
        <family val="2"/>
        <scheme val="minor"/>
      </rPr>
      <t>4</t>
    </r>
    <r>
      <rPr>
        <sz val="11"/>
        <color theme="1"/>
        <rFont val="Calibri"/>
        <family val="2"/>
        <scheme val="minor"/>
      </rPr>
      <t xml:space="preserve"> Emissions = Activity </t>
    </r>
    <r>
      <rPr>
        <sz val="11"/>
        <color theme="1"/>
        <rFont val="Calibri"/>
        <family val="2"/>
      </rPr>
      <t>×</t>
    </r>
    <r>
      <rPr>
        <sz val="11"/>
        <color theme="1"/>
        <rFont val="Calibri"/>
        <family val="2"/>
        <scheme val="minor"/>
      </rPr>
      <t xml:space="preserve"> EF (g/unit) × MT/g × GWP CH</t>
    </r>
    <r>
      <rPr>
        <vertAlign val="subscript"/>
        <sz val="11"/>
        <color theme="1"/>
        <rFont val="Calibri"/>
        <family val="2"/>
        <scheme val="minor"/>
      </rPr>
      <t>4</t>
    </r>
  </si>
  <si>
    <r>
      <t>N</t>
    </r>
    <r>
      <rPr>
        <i/>
        <vertAlign val="subscript"/>
        <sz val="11"/>
        <color theme="1"/>
        <rFont val="Calibri"/>
        <family val="2"/>
        <scheme val="minor"/>
      </rPr>
      <t>2</t>
    </r>
    <r>
      <rPr>
        <i/>
        <sz val="11"/>
        <color theme="1"/>
        <rFont val="Calibri"/>
        <family val="2"/>
        <scheme val="minor"/>
      </rPr>
      <t xml:space="preserve">O Emissions = Activity </t>
    </r>
    <r>
      <rPr>
        <sz val="11"/>
        <color theme="1"/>
        <rFont val="Calibri"/>
        <family val="2"/>
      </rPr>
      <t>×</t>
    </r>
    <r>
      <rPr>
        <i/>
        <sz val="11"/>
        <color theme="1"/>
        <rFont val="Calibri"/>
        <family val="2"/>
        <scheme val="minor"/>
      </rPr>
      <t xml:space="preserve"> EF (g/unit) × MT/g × GWP N</t>
    </r>
    <r>
      <rPr>
        <i/>
        <vertAlign val="subscript"/>
        <sz val="11"/>
        <color theme="1"/>
        <rFont val="Calibri"/>
        <family val="2"/>
        <scheme val="minor"/>
      </rPr>
      <t>2</t>
    </r>
    <r>
      <rPr>
        <i/>
        <sz val="11"/>
        <color theme="1"/>
        <rFont val="Calibri"/>
        <family val="2"/>
        <scheme val="minor"/>
      </rPr>
      <t>O</t>
    </r>
  </si>
  <si>
    <t>Vehicle Types</t>
  </si>
  <si>
    <t>Motorcycles (1996 +)</t>
  </si>
  <si>
    <t>Miles</t>
  </si>
  <si>
    <t>Motorcycles (- 1995)</t>
  </si>
  <si>
    <t>Totals</t>
  </si>
  <si>
    <r>
      <t>Non-CO</t>
    </r>
    <r>
      <rPr>
        <u/>
        <vertAlign val="subscript"/>
        <sz val="11"/>
        <color theme="1"/>
        <rFont val="Calibri"/>
        <family val="2"/>
        <scheme val="minor"/>
      </rPr>
      <t>2</t>
    </r>
    <r>
      <rPr>
        <u/>
        <sz val="11"/>
        <color theme="1"/>
        <rFont val="Calibri"/>
        <family val="2"/>
        <scheme val="minor"/>
      </rPr>
      <t xml:space="preserve"> Emissions, Current Sector</t>
    </r>
  </si>
  <si>
    <r>
      <t>CH</t>
    </r>
    <r>
      <rPr>
        <vertAlign val="subscript"/>
        <sz val="11"/>
        <color theme="1"/>
        <rFont val="Calibri"/>
        <family val="2"/>
        <scheme val="minor"/>
      </rPr>
      <t>4</t>
    </r>
  </si>
  <si>
    <r>
      <t>N</t>
    </r>
    <r>
      <rPr>
        <vertAlign val="subscript"/>
        <sz val="11"/>
        <color theme="1"/>
        <rFont val="Calibri"/>
        <family val="2"/>
        <scheme val="minor"/>
      </rPr>
      <t>2</t>
    </r>
    <r>
      <rPr>
        <sz val="11"/>
        <color theme="1"/>
        <rFont val="Calibri"/>
        <family val="2"/>
        <scheme val="minor"/>
      </rPr>
      <t>O</t>
    </r>
  </si>
  <si>
    <t>AFVs</t>
  </si>
  <si>
    <t>Non-highway/Motorcycles</t>
  </si>
  <si>
    <r>
      <t>Non-CO</t>
    </r>
    <r>
      <rPr>
        <b/>
        <vertAlign val="subscript"/>
        <sz val="11"/>
        <color theme="1"/>
        <rFont val="Calibri"/>
        <family val="2"/>
        <scheme val="minor"/>
      </rPr>
      <t>2</t>
    </r>
    <r>
      <rPr>
        <b/>
        <sz val="11"/>
        <color theme="1"/>
        <rFont val="Calibri"/>
        <family val="2"/>
        <scheme val="minor"/>
      </rPr>
      <t xml:space="preserve"> Emissions, All Sectors</t>
    </r>
  </si>
  <si>
    <t>Mobile Combustion - Summary</t>
  </si>
  <si>
    <t>GHG Summary</t>
  </si>
  <si>
    <r>
      <t>Net Emissions by Sector (CO</t>
    </r>
    <r>
      <rPr>
        <b/>
        <vertAlign val="subscript"/>
        <sz val="11"/>
        <color theme="1"/>
        <rFont val="Calibri"/>
        <family val="2"/>
        <scheme val="minor"/>
      </rPr>
      <t>2</t>
    </r>
    <r>
      <rPr>
        <b/>
        <sz val="11"/>
        <color theme="1"/>
        <rFont val="Calibri"/>
        <family val="2"/>
        <scheme val="minor"/>
      </rPr>
      <t>e)</t>
    </r>
  </si>
  <si>
    <r>
      <t>CO</t>
    </r>
    <r>
      <rPr>
        <vertAlign val="subscript"/>
        <sz val="11"/>
        <color theme="1"/>
        <rFont val="Calibri"/>
        <family val="2"/>
        <scheme val="minor"/>
      </rPr>
      <t>2</t>
    </r>
    <r>
      <rPr>
        <sz val="11"/>
        <color theme="1"/>
        <rFont val="Calibri"/>
        <family val="2"/>
        <scheme val="minor"/>
      </rPr>
      <t xml:space="preserve"> Detail Emissions</t>
    </r>
  </si>
  <si>
    <r>
      <t>Gross CO</t>
    </r>
    <r>
      <rPr>
        <vertAlign val="subscript"/>
        <sz val="11"/>
        <color theme="1"/>
        <rFont val="Calibri"/>
        <family val="2"/>
        <scheme val="minor"/>
      </rPr>
      <t>2</t>
    </r>
  </si>
  <si>
    <t>- Biogenic =</t>
  </si>
  <si>
    <r>
      <t>Net CO</t>
    </r>
    <r>
      <rPr>
        <vertAlign val="subscript"/>
        <sz val="11"/>
        <color theme="1"/>
        <rFont val="Calibri"/>
        <family val="2"/>
        <scheme val="minor"/>
      </rPr>
      <t>2</t>
    </r>
  </si>
  <si>
    <t>Total Mobile Emissions</t>
  </si>
  <si>
    <t>Energy Use Summary</t>
  </si>
  <si>
    <t>Energy Use by Sector and Fuel Type (MMBtu)</t>
  </si>
  <si>
    <t>Solid Waste - Control</t>
  </si>
  <si>
    <t>Please answer the following questions about your community's solid waste services.</t>
  </si>
  <si>
    <t>1) Is there a landfill treatment facility located within the geopolitical boundary of your community?</t>
  </si>
  <si>
    <t>If no, then it is optional to report emissions for waste generated within your borders, but landfilled elsewhere, as Scope 3 emissions.</t>
  </si>
  <si>
    <t xml:space="preserve">If you would like to do so, please enter results on the Waste Production sheet. </t>
  </si>
  <si>
    <t>2) It is assumed that solid waste services belong to the commercial/institutional sector as they are either municipally or privately owned.</t>
  </si>
  <si>
    <t>3) How many landfills are in your community? You may enter up to 10.</t>
  </si>
  <si>
    <t>Landfill Name</t>
  </si>
  <si>
    <t>Does the landfill have a LFG collection system?</t>
  </si>
  <si>
    <t>If yes, is the LFG collection system comprehensive or partial?</t>
  </si>
  <si>
    <t>To hide</t>
  </si>
  <si>
    <t>Any yes?</t>
  </si>
  <si>
    <t>Any no?</t>
  </si>
  <si>
    <t>Any comp?</t>
  </si>
  <si>
    <t>Any part?</t>
  </si>
  <si>
    <t>Please enter your landfill data on the next page (Solid Waste-Entry).</t>
  </si>
  <si>
    <t>Solid Waste - Entry, Calculation &amp; Summary</t>
  </si>
  <si>
    <t>Scope 3 Waste Emissions</t>
  </si>
  <si>
    <t>Landfills with No LFG Collection System</t>
  </si>
  <si>
    <t>For these landfills that do not have LFG collection systems, you need to use the California Air Resources Board's Landfill Emissions Tool, which is based on the IPCC First Order Decay (FOD) model.</t>
  </si>
  <si>
    <t>To use the model, you will need the following information for each landfill:</t>
  </si>
  <si>
    <t>- Annual waste deposited in landfill (can be derived from population and waste deposition data)</t>
  </si>
  <si>
    <t>- Opening and closing year of landfill</t>
  </si>
  <si>
    <t>Note: Be sure to paste Values only. To do this, once you have copied the emissions output cell, right click on the appropriate cell below, select "Paste Special" then select "Values."</t>
  </si>
  <si>
    <r>
      <t>CH</t>
    </r>
    <r>
      <rPr>
        <b/>
        <vertAlign val="subscript"/>
        <sz val="11"/>
        <color theme="1"/>
        <rFont val="Calibri"/>
        <family val="2"/>
        <scheme val="minor"/>
      </rPr>
      <t>4</t>
    </r>
    <r>
      <rPr>
        <b/>
        <sz val="11"/>
        <color theme="1"/>
        <rFont val="Calibri"/>
        <family val="2"/>
        <scheme val="minor"/>
      </rPr>
      <t xml:space="preserve"> Emissions (MT CO</t>
    </r>
    <r>
      <rPr>
        <b/>
        <vertAlign val="subscript"/>
        <sz val="11"/>
        <color theme="1"/>
        <rFont val="Calibri"/>
        <family val="2"/>
        <scheme val="minor"/>
      </rPr>
      <t>2</t>
    </r>
    <r>
      <rPr>
        <b/>
        <sz val="11"/>
        <color theme="1"/>
        <rFont val="Calibri"/>
        <family val="2"/>
        <scheme val="minor"/>
      </rPr>
      <t>e)</t>
    </r>
  </si>
  <si>
    <t>Landfills with Comprehensive LFG Collection Systems</t>
  </si>
  <si>
    <t>Note: If you would like to use the CARB Landfill Emissions Tool to calculate the emissions for any landfills, please select 'No' when asked if the landfill has an LFG collection system.</t>
  </si>
  <si>
    <r>
      <t>CH</t>
    </r>
    <r>
      <rPr>
        <i/>
        <vertAlign val="subscript"/>
        <sz val="11"/>
        <color theme="1"/>
        <rFont val="Calibri"/>
        <family val="2"/>
        <scheme val="minor"/>
      </rPr>
      <t>4</t>
    </r>
    <r>
      <rPr>
        <i/>
        <sz val="11"/>
        <color theme="1"/>
        <rFont val="Calibri"/>
        <family val="2"/>
        <scheme val="minor"/>
      </rPr>
      <t xml:space="preserve"> emitted = LFG Collected </t>
    </r>
    <r>
      <rPr>
        <sz val="11"/>
        <color theme="1"/>
        <rFont val="Calibri"/>
        <family val="2"/>
      </rPr>
      <t>×</t>
    </r>
    <r>
      <rPr>
        <i/>
        <sz val="11"/>
        <color theme="1"/>
        <rFont val="Calibri"/>
        <family val="2"/>
      </rPr>
      <t xml:space="preserve"> Fraction CH</t>
    </r>
    <r>
      <rPr>
        <i/>
        <vertAlign val="subscript"/>
        <sz val="11"/>
        <color theme="1"/>
        <rFont val="Calibri"/>
        <family val="2"/>
      </rPr>
      <t>4</t>
    </r>
    <r>
      <rPr>
        <i/>
        <sz val="11"/>
        <color theme="1"/>
        <rFont val="Calibri"/>
        <family val="2"/>
      </rPr>
      <t xml:space="preserve"> in LFG × </t>
    </r>
    <r>
      <rPr>
        <b/>
        <i/>
        <sz val="15"/>
        <color theme="9"/>
        <rFont val="Calibri"/>
        <family val="2"/>
      </rPr>
      <t>{</t>
    </r>
    <r>
      <rPr>
        <i/>
        <sz val="11"/>
        <color theme="1"/>
        <rFont val="Calibri"/>
        <family val="2"/>
      </rPr>
      <t xml:space="preserve">(1-Destruction Efficiency) + </t>
    </r>
    <r>
      <rPr>
        <b/>
        <i/>
        <sz val="14"/>
        <color theme="7"/>
        <rFont val="Calibri"/>
        <family val="2"/>
      </rPr>
      <t>[</t>
    </r>
    <r>
      <rPr>
        <b/>
        <i/>
        <sz val="12"/>
        <color theme="6"/>
        <rFont val="Calibri"/>
        <family val="2"/>
      </rPr>
      <t>(</t>
    </r>
    <r>
      <rPr>
        <i/>
        <sz val="11"/>
        <color theme="1"/>
        <rFont val="Calibri"/>
        <family val="2"/>
      </rPr>
      <t>(1-Collection Efficiency)/Collection Efficiency</t>
    </r>
    <r>
      <rPr>
        <b/>
        <i/>
        <sz val="12"/>
        <color theme="6"/>
        <rFont val="Calibri"/>
        <family val="2"/>
      </rPr>
      <t>)</t>
    </r>
    <r>
      <rPr>
        <i/>
        <sz val="11"/>
        <color theme="1"/>
        <rFont val="Calibri"/>
        <family val="2"/>
      </rPr>
      <t xml:space="preserve"> × (1-Oxidation Efficiency)</t>
    </r>
    <r>
      <rPr>
        <b/>
        <i/>
        <sz val="14"/>
        <color theme="7"/>
        <rFont val="Calibri"/>
        <family val="2"/>
      </rPr>
      <t>]</t>
    </r>
    <r>
      <rPr>
        <b/>
        <i/>
        <sz val="15"/>
        <color theme="9"/>
        <rFont val="Calibri"/>
        <family val="2"/>
      </rPr>
      <t>}</t>
    </r>
    <r>
      <rPr>
        <i/>
        <sz val="11"/>
        <color theme="1"/>
        <rFont val="Calibri"/>
        <family val="2"/>
      </rPr>
      <t xml:space="preserve"> × MT/MMSCF × GWP</t>
    </r>
  </si>
  <si>
    <t>LFG Collected (MMSCF/yr)</t>
  </si>
  <si>
    <r>
      <t>Fraction of CH</t>
    </r>
    <r>
      <rPr>
        <b/>
        <vertAlign val="subscript"/>
        <sz val="11"/>
        <color theme="1"/>
        <rFont val="Calibri"/>
        <family val="2"/>
        <scheme val="minor"/>
      </rPr>
      <t>4</t>
    </r>
    <r>
      <rPr>
        <b/>
        <sz val="11"/>
        <color theme="1"/>
        <rFont val="Calibri"/>
        <family val="2"/>
        <scheme val="minor"/>
      </rPr>
      <t xml:space="preserve"> in LFG</t>
    </r>
  </si>
  <si>
    <r>
      <t>CH</t>
    </r>
    <r>
      <rPr>
        <vertAlign val="subscript"/>
        <sz val="11"/>
        <color theme="1"/>
        <rFont val="Calibri"/>
        <family val="2"/>
        <scheme val="minor"/>
      </rPr>
      <t>4</t>
    </r>
    <r>
      <rPr>
        <sz val="11"/>
        <color theme="1"/>
        <rFont val="Calibri"/>
        <family val="2"/>
        <scheme val="minor"/>
      </rPr>
      <t xml:space="preserve"> Destruction Efficiency</t>
    </r>
  </si>
  <si>
    <r>
      <t>CH</t>
    </r>
    <r>
      <rPr>
        <vertAlign val="subscript"/>
        <sz val="11"/>
        <color theme="1"/>
        <rFont val="Calibri"/>
        <family val="2"/>
        <scheme val="minor"/>
      </rPr>
      <t>4</t>
    </r>
    <r>
      <rPr>
        <sz val="11"/>
        <color theme="1"/>
        <rFont val="Calibri"/>
        <family val="2"/>
        <scheme val="minor"/>
      </rPr>
      <t xml:space="preserve"> Collection Efficiency</t>
    </r>
  </si>
  <si>
    <t>Oxidation Factor</t>
  </si>
  <si>
    <r>
      <t>MT CH</t>
    </r>
    <r>
      <rPr>
        <vertAlign val="subscript"/>
        <sz val="11"/>
        <color theme="1"/>
        <rFont val="Calibri"/>
        <family val="2"/>
        <scheme val="minor"/>
      </rPr>
      <t>4</t>
    </r>
    <r>
      <rPr>
        <sz val="11"/>
        <color theme="1"/>
        <rFont val="Calibri"/>
        <family val="2"/>
        <scheme val="minor"/>
      </rPr>
      <t xml:space="preserve"> / MMSCF</t>
    </r>
  </si>
  <si>
    <r>
      <t>MT CH</t>
    </r>
    <r>
      <rPr>
        <vertAlign val="subscript"/>
        <sz val="11"/>
        <color theme="1"/>
        <rFont val="Calibri"/>
        <family val="2"/>
        <scheme val="minor"/>
      </rPr>
      <t>4</t>
    </r>
  </si>
  <si>
    <r>
      <rPr>
        <sz val="11"/>
        <color theme="1"/>
        <rFont val="Calibri"/>
        <family val="2"/>
      </rPr>
      <t xml:space="preserve">× </t>
    </r>
    <r>
      <rPr>
        <sz val="11"/>
        <color theme="1"/>
        <rFont val="Calibri"/>
        <family val="2"/>
        <scheme val="minor"/>
      </rPr>
      <t>GWP =</t>
    </r>
  </si>
  <si>
    <r>
      <t>MT CO</t>
    </r>
    <r>
      <rPr>
        <vertAlign val="subscript"/>
        <sz val="11"/>
        <color theme="1"/>
        <rFont val="Calibri"/>
        <family val="2"/>
        <scheme val="minor"/>
      </rPr>
      <t>2</t>
    </r>
    <r>
      <rPr>
        <sz val="11"/>
        <color theme="1"/>
        <rFont val="Calibri"/>
        <family val="2"/>
        <scheme val="minor"/>
      </rPr>
      <t>e</t>
    </r>
  </si>
  <si>
    <t>Landfills with Partial LFG Collection Systems</t>
  </si>
  <si>
    <r>
      <t>CH</t>
    </r>
    <r>
      <rPr>
        <i/>
        <vertAlign val="subscript"/>
        <sz val="11"/>
        <color theme="1"/>
        <rFont val="Calibri"/>
        <family val="2"/>
        <scheme val="minor"/>
      </rPr>
      <t>4</t>
    </r>
    <r>
      <rPr>
        <i/>
        <sz val="11"/>
        <color theme="1"/>
        <rFont val="Calibri"/>
        <family val="2"/>
        <scheme val="minor"/>
      </rPr>
      <t xml:space="preserve"> emitted = LFG Collected </t>
    </r>
    <r>
      <rPr>
        <sz val="11"/>
        <color theme="1"/>
        <rFont val="Calibri"/>
        <family val="2"/>
      </rPr>
      <t>×</t>
    </r>
    <r>
      <rPr>
        <i/>
        <sz val="11"/>
        <color theme="1"/>
        <rFont val="Calibri"/>
        <family val="2"/>
      </rPr>
      <t xml:space="preserve"> Fraction CH</t>
    </r>
    <r>
      <rPr>
        <i/>
        <vertAlign val="subscript"/>
        <sz val="11"/>
        <color theme="1"/>
        <rFont val="Calibri"/>
        <family val="2"/>
      </rPr>
      <t>4</t>
    </r>
    <r>
      <rPr>
        <i/>
        <sz val="11"/>
        <color theme="1"/>
        <rFont val="Calibri"/>
        <family val="2"/>
      </rPr>
      <t xml:space="preserve"> in LFG × </t>
    </r>
    <r>
      <rPr>
        <b/>
        <i/>
        <sz val="15"/>
        <color theme="9"/>
        <rFont val="Calibri"/>
        <family val="2"/>
      </rPr>
      <t>{</t>
    </r>
    <r>
      <rPr>
        <i/>
        <sz val="11"/>
        <color theme="1"/>
        <rFont val="Calibri"/>
        <family val="2"/>
      </rPr>
      <t xml:space="preserve">(1-Destruction Efficiency) + </t>
    </r>
    <r>
      <rPr>
        <b/>
        <i/>
        <sz val="14"/>
        <color theme="7"/>
        <rFont val="Calibri"/>
        <family val="2"/>
      </rPr>
      <t>[</t>
    </r>
    <r>
      <rPr>
        <i/>
        <sz val="11"/>
        <color theme="1"/>
        <rFont val="Calibri"/>
        <family val="2"/>
      </rPr>
      <t>(1/Collection Efficiency) × (1-Oxidation Efficiency)</t>
    </r>
    <r>
      <rPr>
        <b/>
        <i/>
        <sz val="14"/>
        <color theme="7"/>
        <rFont val="Calibri"/>
        <family val="2"/>
      </rPr>
      <t>]</t>
    </r>
    <r>
      <rPr>
        <i/>
        <sz val="11"/>
        <color theme="1"/>
        <rFont val="Calibri"/>
        <family val="2"/>
      </rPr>
      <t xml:space="preserve"> × </t>
    </r>
    <r>
      <rPr>
        <b/>
        <i/>
        <sz val="14"/>
        <color theme="4"/>
        <rFont val="Calibri"/>
        <family val="2"/>
      </rPr>
      <t>[</t>
    </r>
    <r>
      <rPr>
        <i/>
        <sz val="11"/>
        <color theme="1"/>
        <rFont val="Calibri"/>
        <family val="2"/>
      </rPr>
      <t>Uncollected Area Factor + (1-Collection Efficiency)</t>
    </r>
    <r>
      <rPr>
        <b/>
        <i/>
        <sz val="14"/>
        <color theme="4"/>
        <rFont val="Calibri"/>
        <family val="2"/>
      </rPr>
      <t>]</t>
    </r>
    <r>
      <rPr>
        <b/>
        <i/>
        <sz val="15"/>
        <color theme="9"/>
        <rFont val="Calibri"/>
        <family val="2"/>
      </rPr>
      <t>}</t>
    </r>
    <r>
      <rPr>
        <i/>
        <sz val="11"/>
        <color theme="1"/>
        <rFont val="Calibri"/>
        <family val="2"/>
      </rPr>
      <t xml:space="preserve"> × MT/MMSCF × GWP</t>
    </r>
  </si>
  <si>
    <r>
      <t>Fraction of CH</t>
    </r>
    <r>
      <rPr>
        <vertAlign val="subscript"/>
        <sz val="11"/>
        <color theme="1"/>
        <rFont val="Calibri"/>
        <family val="2"/>
        <scheme val="minor"/>
      </rPr>
      <t>4</t>
    </r>
    <r>
      <rPr>
        <sz val="11"/>
        <color theme="1"/>
        <rFont val="Calibri"/>
        <family val="2"/>
        <scheme val="minor"/>
      </rPr>
      <t xml:space="preserve"> in LFG</t>
    </r>
  </si>
  <si>
    <t>Uncollected Area Factor</t>
  </si>
  <si>
    <t>Solid Waste Emissions Summary</t>
  </si>
  <si>
    <r>
      <t>Total Landfill Emissions (MT CO</t>
    </r>
    <r>
      <rPr>
        <b/>
        <vertAlign val="subscript"/>
        <sz val="11"/>
        <rFont val="Calibri"/>
        <family val="2"/>
        <scheme val="minor"/>
      </rPr>
      <t>2</t>
    </r>
    <r>
      <rPr>
        <b/>
        <sz val="11"/>
        <rFont val="Calibri"/>
        <family val="2"/>
        <scheme val="minor"/>
      </rPr>
      <t>e)</t>
    </r>
  </si>
  <si>
    <t>Landfill System</t>
  </si>
  <si>
    <t>No LFG collection</t>
  </si>
  <si>
    <t>Comprehensive LFG Collection</t>
  </si>
  <si>
    <t>Partial LFG Collection</t>
  </si>
  <si>
    <t>Wastewater - Control</t>
  </si>
  <si>
    <t>Please answer the following questions about your community's wastewater treatment system.</t>
  </si>
  <si>
    <t>Emissions resulting from wastewater treated within the community's boundaries are Scope 1.</t>
  </si>
  <si>
    <t>1) It is assumed that wastewater services belong to the commercial/institutional sector as they are either municipally or privately owned.</t>
  </si>
  <si>
    <r>
      <t xml:space="preserve">2) Do you have one or more facilities where wastewater is treated in </t>
    </r>
    <r>
      <rPr>
        <b/>
        <i/>
        <sz val="11"/>
        <color theme="1"/>
        <rFont val="Calibri"/>
        <family val="2"/>
        <scheme val="minor"/>
      </rPr>
      <t>anaerobic</t>
    </r>
    <r>
      <rPr>
        <sz val="11"/>
        <color theme="1"/>
        <rFont val="Calibri"/>
        <family val="2"/>
        <scheme val="minor"/>
      </rPr>
      <t xml:space="preserve"> conditions?</t>
    </r>
  </si>
  <si>
    <t>To be hidden</t>
  </si>
  <si>
    <t>Control</t>
  </si>
  <si>
    <r>
      <t xml:space="preserve">3) Do you have one or more facilities where wastewater is treated in </t>
    </r>
    <r>
      <rPr>
        <b/>
        <i/>
        <sz val="11"/>
        <color theme="1"/>
        <rFont val="Calibri"/>
        <family val="2"/>
        <scheme val="minor"/>
      </rPr>
      <t>aerobic</t>
    </r>
    <r>
      <rPr>
        <sz val="11"/>
        <color theme="1"/>
        <rFont val="Calibri"/>
        <family val="2"/>
        <scheme val="minor"/>
      </rPr>
      <t xml:space="preserve"> conditions?</t>
    </r>
  </si>
  <si>
    <r>
      <t>4) Is data available for your treatment system on both the amount of digester gas produced per day and the fraction of CH</t>
    </r>
    <r>
      <rPr>
        <vertAlign val="subscript"/>
        <sz val="11"/>
        <color theme="1"/>
        <rFont val="Calibri"/>
        <family val="2"/>
        <scheme val="minor"/>
      </rPr>
      <t>4</t>
    </r>
    <r>
      <rPr>
        <sz val="11"/>
        <color theme="1"/>
        <rFont val="Calibri"/>
        <family val="2"/>
        <scheme val="minor"/>
      </rPr>
      <t xml:space="preserve"> in the biogas?</t>
    </r>
  </si>
  <si>
    <r>
      <t>5) Is data available for the treatment system on both the BOD</t>
    </r>
    <r>
      <rPr>
        <vertAlign val="subscript"/>
        <sz val="11"/>
        <color theme="1"/>
        <rFont val="Calibri"/>
        <family val="2"/>
        <scheme val="minor"/>
      </rPr>
      <t>5</t>
    </r>
    <r>
      <rPr>
        <sz val="11"/>
        <color theme="1"/>
        <rFont val="Calibri"/>
        <family val="2"/>
        <scheme val="minor"/>
      </rPr>
      <t xml:space="preserve"> influent to your WWT process and the amount of BOD</t>
    </r>
    <r>
      <rPr>
        <vertAlign val="subscript"/>
        <sz val="11"/>
        <color theme="1"/>
        <rFont val="Calibri"/>
        <family val="2"/>
        <scheme val="minor"/>
      </rPr>
      <t>5</t>
    </r>
    <r>
      <rPr>
        <sz val="11"/>
        <color theme="1"/>
        <rFont val="Calibri"/>
        <family val="2"/>
        <scheme val="minor"/>
      </rPr>
      <t xml:space="preserve"> removed during primary treatment?</t>
    </r>
  </si>
  <si>
    <t>6) Is any portion of your population served by septic systems?</t>
  </si>
  <si>
    <t>7) Is there any industrial nitrogen load into your wastewater treatment system?</t>
  </si>
  <si>
    <t>8) Do one or more centralized wastewater treatment plants in your community conduct nitrification/denitrification?</t>
  </si>
  <si>
    <r>
      <t xml:space="preserve">9) Do one or more centralized wastewater treatment plants in your community </t>
    </r>
    <r>
      <rPr>
        <b/>
        <i/>
        <sz val="11"/>
        <color theme="1"/>
        <rFont val="Calibri"/>
        <family val="2"/>
        <scheme val="minor"/>
      </rPr>
      <t>not conduct</t>
    </r>
    <r>
      <rPr>
        <b/>
        <sz val="11"/>
        <color theme="1"/>
        <rFont val="Calibri"/>
        <family val="2"/>
        <scheme val="minor"/>
      </rPr>
      <t xml:space="preserve"> </t>
    </r>
    <r>
      <rPr>
        <sz val="11"/>
        <color theme="1"/>
        <rFont val="Calibri"/>
        <family val="2"/>
        <scheme val="minor"/>
      </rPr>
      <t>nitrification/denitrification?</t>
    </r>
  </si>
  <si>
    <t>10) Do you collect measurements of Nitrogen load in your system's effluent discharged to water bodies?</t>
  </si>
  <si>
    <t>Wastewater - Entry</t>
  </si>
  <si>
    <t>Information on population served by various systems.</t>
  </si>
  <si>
    <t>Population Served by Facilities with Nitrification/Denitrification</t>
  </si>
  <si>
    <t>people</t>
  </si>
  <si>
    <t>Population Served by Facilities without Nitrification/Denitrification</t>
  </si>
  <si>
    <t>Population Served by Anaerobic Treatment Facilities</t>
  </si>
  <si>
    <t>Population Served by Aerobic Treatment Facilities</t>
  </si>
  <si>
    <t>Population Served by Septic Systems</t>
  </si>
  <si>
    <t>Site-Specific Data Collected</t>
  </si>
  <si>
    <t>Digester Biogas Produced Daily</t>
  </si>
  <si>
    <t>ft3/day</t>
  </si>
  <si>
    <r>
      <t>Percentage of CH</t>
    </r>
    <r>
      <rPr>
        <b/>
        <vertAlign val="subscript"/>
        <sz val="11"/>
        <color theme="1"/>
        <rFont val="Calibri"/>
        <family val="2"/>
        <scheme val="minor"/>
      </rPr>
      <t>4</t>
    </r>
    <r>
      <rPr>
        <b/>
        <sz val="11"/>
        <color theme="1"/>
        <rFont val="Calibri"/>
        <family val="2"/>
        <scheme val="minor"/>
      </rPr>
      <t xml:space="preserve"> in Biogas </t>
    </r>
    <r>
      <rPr>
        <sz val="11"/>
        <color theme="1"/>
        <rFont val="Calibri"/>
        <family val="2"/>
        <scheme val="minor"/>
      </rPr>
      <t>(measured)</t>
    </r>
  </si>
  <si>
    <r>
      <t>System BOD</t>
    </r>
    <r>
      <rPr>
        <b/>
        <vertAlign val="subscript"/>
        <sz val="11"/>
        <color theme="1"/>
        <rFont val="Calibri"/>
        <family val="2"/>
        <scheme val="minor"/>
      </rPr>
      <t>5</t>
    </r>
    <r>
      <rPr>
        <b/>
        <sz val="11"/>
        <color theme="1"/>
        <rFont val="Calibri"/>
        <family val="2"/>
        <scheme val="minor"/>
      </rPr>
      <t xml:space="preserve"> Input</t>
    </r>
  </si>
  <si>
    <r>
      <t>kg BOD</t>
    </r>
    <r>
      <rPr>
        <vertAlign val="subscript"/>
        <sz val="11"/>
        <color theme="1"/>
        <rFont val="Calibri"/>
        <family val="2"/>
        <scheme val="minor"/>
      </rPr>
      <t xml:space="preserve">5 </t>
    </r>
    <r>
      <rPr>
        <sz val="11"/>
        <color theme="1"/>
        <rFont val="Calibri"/>
        <family val="2"/>
        <scheme val="minor"/>
      </rPr>
      <t>/ day</t>
    </r>
  </si>
  <si>
    <r>
      <t>Percentage of BOD</t>
    </r>
    <r>
      <rPr>
        <b/>
        <vertAlign val="subscript"/>
        <sz val="11"/>
        <color theme="1"/>
        <rFont val="Calibri"/>
        <family val="2"/>
        <scheme val="minor"/>
      </rPr>
      <t>5</t>
    </r>
    <r>
      <rPr>
        <b/>
        <sz val="11"/>
        <color theme="1"/>
        <rFont val="Calibri"/>
        <family val="2"/>
        <scheme val="minor"/>
      </rPr>
      <t xml:space="preserve"> Removed in Primary Treatment</t>
    </r>
  </si>
  <si>
    <t>Industrial N Load</t>
  </si>
  <si>
    <t>kg N/day</t>
  </si>
  <si>
    <r>
      <t>Average Total Nitrogen Discharged</t>
    </r>
    <r>
      <rPr>
        <sz val="11"/>
        <color theme="1"/>
        <rFont val="Calibri"/>
        <family val="2"/>
        <scheme val="minor"/>
      </rPr>
      <t xml:space="preserve"> (measured)</t>
    </r>
  </si>
  <si>
    <t>Wastewater - Calculation &amp; Sumary</t>
  </si>
  <si>
    <t>GHG Emissions Summary</t>
  </si>
  <si>
    <r>
      <t>CO</t>
    </r>
    <r>
      <rPr>
        <vertAlign val="subscript"/>
        <sz val="11"/>
        <color theme="1"/>
        <rFont val="Calibri"/>
        <family val="2"/>
        <scheme val="minor"/>
      </rPr>
      <t>2</t>
    </r>
  </si>
  <si>
    <t>Total Emissions from Wastewater Treatment</t>
  </si>
  <si>
    <r>
      <rPr>
        <b/>
        <sz val="11"/>
        <color theme="1"/>
        <rFont val="Calibri"/>
        <family val="2"/>
        <scheme val="minor"/>
      </rPr>
      <t>LGOP Equation 10.1</t>
    </r>
    <r>
      <rPr>
        <sz val="11"/>
        <color theme="1"/>
        <rFont val="Calibri"/>
        <family val="2"/>
        <scheme val="minor"/>
      </rPr>
      <t xml:space="preserve"> - Stationary CH</t>
    </r>
    <r>
      <rPr>
        <vertAlign val="subscript"/>
        <sz val="11"/>
        <color theme="1"/>
        <rFont val="Calibri"/>
        <family val="2"/>
        <scheme val="minor"/>
      </rPr>
      <t>4</t>
    </r>
    <r>
      <rPr>
        <sz val="11"/>
        <color theme="1"/>
        <rFont val="Calibri"/>
        <family val="2"/>
        <scheme val="minor"/>
      </rPr>
      <t xml:space="preserve"> from Incomplete Combustion of Digester Gas  (anaerobic facilities only, site-specific data)</t>
    </r>
  </si>
  <si>
    <t>Measured Digester Gas Production (ft3/day)</t>
  </si>
  <si>
    <r>
      <t>× Measured % CH</t>
    </r>
    <r>
      <rPr>
        <vertAlign val="subscript"/>
        <sz val="11"/>
        <color theme="1"/>
        <rFont val="Calibri"/>
        <family val="2"/>
        <scheme val="minor"/>
      </rPr>
      <t>4</t>
    </r>
    <r>
      <rPr>
        <sz val="11"/>
        <color theme="1"/>
        <rFont val="Calibri"/>
        <family val="2"/>
        <scheme val="minor"/>
      </rPr>
      <t xml:space="preserve"> in Digester Gas</t>
    </r>
  </si>
  <si>
    <t xml:space="preserve"> × Methane Density (g/m3)</t>
  </si>
  <si>
    <r>
      <t>× 1 - CH</t>
    </r>
    <r>
      <rPr>
        <vertAlign val="subscript"/>
        <sz val="11"/>
        <color theme="1"/>
        <rFont val="Calibri"/>
        <family val="2"/>
        <scheme val="minor"/>
      </rPr>
      <t>4</t>
    </r>
    <r>
      <rPr>
        <sz val="11"/>
        <color theme="1"/>
        <rFont val="Calibri"/>
        <family val="2"/>
        <scheme val="minor"/>
      </rPr>
      <t xml:space="preserve"> Destruction Efficiency</t>
    </r>
  </si>
  <si>
    <t>× m3/ft3</t>
  </si>
  <si>
    <t>× day/yr</t>
  </si>
  <si>
    <t>× MT/g =</t>
  </si>
  <si>
    <r>
      <rPr>
        <b/>
        <sz val="11"/>
        <color theme="1"/>
        <rFont val="Calibri"/>
        <family val="2"/>
        <scheme val="minor"/>
      </rPr>
      <t xml:space="preserve">LGOP Equation 10.2 </t>
    </r>
    <r>
      <rPr>
        <sz val="11"/>
        <color theme="1"/>
        <rFont val="Calibri"/>
        <family val="2"/>
        <scheme val="minor"/>
      </rPr>
      <t>- Stationary CH</t>
    </r>
    <r>
      <rPr>
        <vertAlign val="subscript"/>
        <sz val="11"/>
        <color theme="1"/>
        <rFont val="Calibri"/>
        <family val="2"/>
        <scheme val="minor"/>
      </rPr>
      <t>4</t>
    </r>
    <r>
      <rPr>
        <sz val="11"/>
        <color theme="1"/>
        <rFont val="Calibri"/>
        <family val="2"/>
        <scheme val="minor"/>
      </rPr>
      <t xml:space="preserve"> from Incomplete Combustion of Digester Gas  (anaerobic facilities only, default data)</t>
    </r>
  </si>
  <si>
    <t>Population Served by Anaerobic Digesters</t>
  </si>
  <si>
    <r>
      <t>× Default Digester Gas Production (ft</t>
    </r>
    <r>
      <rPr>
        <vertAlign val="superscript"/>
        <sz val="11"/>
        <color theme="1"/>
        <rFont val="Calibri"/>
        <family val="2"/>
        <scheme val="minor"/>
      </rPr>
      <t>3</t>
    </r>
    <r>
      <rPr>
        <sz val="11"/>
        <color theme="1"/>
        <rFont val="Calibri"/>
        <family val="2"/>
        <scheme val="minor"/>
      </rPr>
      <t>/person/day)</t>
    </r>
  </si>
  <si>
    <r>
      <t>× Default % CH</t>
    </r>
    <r>
      <rPr>
        <vertAlign val="subscript"/>
        <sz val="11"/>
        <color theme="1"/>
        <rFont val="Calibri"/>
        <family val="2"/>
        <scheme val="minor"/>
      </rPr>
      <t>4</t>
    </r>
    <r>
      <rPr>
        <sz val="11"/>
        <color theme="1"/>
        <rFont val="Calibri"/>
        <family val="2"/>
        <scheme val="minor"/>
      </rPr>
      <t xml:space="preserve"> in Digester Gas</t>
    </r>
  </si>
  <si>
    <r>
      <t>× Methane Density (g/m</t>
    </r>
    <r>
      <rPr>
        <vertAlign val="superscript"/>
        <sz val="11"/>
        <color theme="1"/>
        <rFont val="Calibri"/>
        <family val="2"/>
        <scheme val="minor"/>
      </rPr>
      <t>3</t>
    </r>
    <r>
      <rPr>
        <sz val="11"/>
        <color theme="1"/>
        <rFont val="Calibri"/>
        <family val="2"/>
        <scheme val="minor"/>
      </rPr>
      <t>)</t>
    </r>
  </si>
  <si>
    <r>
      <t xml:space="preserve"> </t>
    </r>
    <r>
      <rPr>
        <sz val="11"/>
        <color theme="1"/>
        <rFont val="Calibri"/>
        <family val="2"/>
      </rPr>
      <t xml:space="preserve">× 1- </t>
    </r>
    <r>
      <rPr>
        <sz val="11"/>
        <color theme="1"/>
        <rFont val="Calibri"/>
        <family val="2"/>
        <scheme val="minor"/>
      </rPr>
      <t>CH</t>
    </r>
    <r>
      <rPr>
        <vertAlign val="subscript"/>
        <sz val="11"/>
        <color theme="1"/>
        <rFont val="Calibri"/>
        <family val="2"/>
        <scheme val="minor"/>
      </rPr>
      <t>4</t>
    </r>
    <r>
      <rPr>
        <sz val="11"/>
        <color theme="1"/>
        <rFont val="Calibri"/>
        <family val="2"/>
        <scheme val="minor"/>
      </rPr>
      <t xml:space="preserve"> Destruction Efficiency</t>
    </r>
  </si>
  <si>
    <r>
      <t>× m</t>
    </r>
    <r>
      <rPr>
        <vertAlign val="superscript"/>
        <sz val="11"/>
        <color theme="1"/>
        <rFont val="Calibri"/>
        <family val="2"/>
        <scheme val="minor"/>
      </rPr>
      <t>3</t>
    </r>
    <r>
      <rPr>
        <sz val="11"/>
        <color theme="1"/>
        <rFont val="Calibri"/>
        <family val="2"/>
        <scheme val="minor"/>
      </rPr>
      <t>/ft</t>
    </r>
    <r>
      <rPr>
        <vertAlign val="superscript"/>
        <sz val="11"/>
        <color theme="1"/>
        <rFont val="Calibri"/>
        <family val="2"/>
        <scheme val="minor"/>
      </rPr>
      <t>3</t>
    </r>
  </si>
  <si>
    <r>
      <rPr>
        <b/>
        <sz val="11"/>
        <color theme="1"/>
        <rFont val="Calibri"/>
        <family val="2"/>
        <scheme val="minor"/>
      </rPr>
      <t>LGOP Equation 10.3</t>
    </r>
    <r>
      <rPr>
        <sz val="11"/>
        <color theme="1"/>
        <rFont val="Calibri"/>
        <family val="2"/>
        <scheme val="minor"/>
      </rPr>
      <t xml:space="preserve"> - Process CH</t>
    </r>
    <r>
      <rPr>
        <vertAlign val="subscript"/>
        <sz val="11"/>
        <color theme="1"/>
        <rFont val="Calibri"/>
        <family val="2"/>
        <scheme val="minor"/>
      </rPr>
      <t>4</t>
    </r>
    <r>
      <rPr>
        <sz val="11"/>
        <color theme="1"/>
        <rFont val="Calibri"/>
        <family val="2"/>
        <scheme val="minor"/>
      </rPr>
      <t xml:space="preserve"> from Anaerobic and Facultative Wastewater Treatment Lagoons (site-specific data)</t>
    </r>
  </si>
  <si>
    <r>
      <t>Measured BOD</t>
    </r>
    <r>
      <rPr>
        <vertAlign val="subscript"/>
        <sz val="11"/>
        <color theme="1"/>
        <rFont val="Calibri"/>
        <family val="2"/>
        <scheme val="minor"/>
      </rPr>
      <t>5</t>
    </r>
    <r>
      <rPr>
        <sz val="11"/>
        <color theme="1"/>
        <rFont val="Calibri"/>
        <family val="2"/>
        <scheme val="minor"/>
      </rPr>
      <t xml:space="preserve"> Load (kg BOD</t>
    </r>
    <r>
      <rPr>
        <vertAlign val="subscript"/>
        <sz val="11"/>
        <color theme="1"/>
        <rFont val="Calibri"/>
        <family val="2"/>
        <scheme val="minor"/>
      </rPr>
      <t>5</t>
    </r>
    <r>
      <rPr>
        <sz val="11"/>
        <color theme="1"/>
        <rFont val="Calibri"/>
        <family val="2"/>
        <scheme val="minor"/>
      </rPr>
      <t>/day)</t>
    </r>
  </si>
  <si>
    <r>
      <t>× 1 - Measured BOD</t>
    </r>
    <r>
      <rPr>
        <vertAlign val="subscript"/>
        <sz val="11"/>
        <color theme="1"/>
        <rFont val="Calibri"/>
        <family val="2"/>
        <scheme val="minor"/>
      </rPr>
      <t>5</t>
    </r>
    <r>
      <rPr>
        <sz val="11"/>
        <color theme="1"/>
        <rFont val="Calibri"/>
        <family val="2"/>
        <scheme val="minor"/>
      </rPr>
      <t xml:space="preserve"> Percentage Removed</t>
    </r>
  </si>
  <si>
    <r>
      <t>× Maximum CH</t>
    </r>
    <r>
      <rPr>
        <vertAlign val="subscript"/>
        <sz val="11"/>
        <color theme="1"/>
        <rFont val="Calibri"/>
        <family val="2"/>
        <scheme val="minor"/>
      </rPr>
      <t>4</t>
    </r>
    <r>
      <rPr>
        <sz val="11"/>
        <color theme="1"/>
        <rFont val="Calibri"/>
        <family val="2"/>
        <scheme val="minor"/>
      </rPr>
      <t xml:space="preserve"> Production Capacity (kg CH</t>
    </r>
    <r>
      <rPr>
        <vertAlign val="subscript"/>
        <sz val="11"/>
        <color theme="1"/>
        <rFont val="Calibri"/>
        <family val="2"/>
        <scheme val="minor"/>
      </rPr>
      <t>4</t>
    </r>
    <r>
      <rPr>
        <sz val="11"/>
        <color theme="1"/>
        <rFont val="Calibri"/>
        <family val="2"/>
        <scheme val="minor"/>
      </rPr>
      <t>/kg BOD</t>
    </r>
    <r>
      <rPr>
        <vertAlign val="subscript"/>
        <sz val="11"/>
        <color theme="1"/>
        <rFont val="Calibri"/>
        <family val="2"/>
        <scheme val="minor"/>
      </rPr>
      <t>5</t>
    </r>
    <r>
      <rPr>
        <sz val="11"/>
        <color theme="1"/>
        <rFont val="Calibri"/>
        <family val="2"/>
        <scheme val="minor"/>
      </rPr>
      <t>)</t>
    </r>
  </si>
  <si>
    <r>
      <t>× Anaerobic CH</t>
    </r>
    <r>
      <rPr>
        <vertAlign val="subscript"/>
        <sz val="11"/>
        <color theme="1"/>
        <rFont val="Calibri"/>
        <family val="2"/>
        <scheme val="minor"/>
      </rPr>
      <t>4</t>
    </r>
    <r>
      <rPr>
        <sz val="11"/>
        <color theme="1"/>
        <rFont val="Calibri"/>
        <family val="2"/>
        <scheme val="minor"/>
      </rPr>
      <t xml:space="preserve"> Correction Factor</t>
    </r>
  </si>
  <si>
    <t>× MT/kg =</t>
  </si>
  <si>
    <r>
      <rPr>
        <b/>
        <sz val="11"/>
        <color theme="1"/>
        <rFont val="Calibri"/>
        <family val="2"/>
        <scheme val="minor"/>
      </rPr>
      <t xml:space="preserve">LGOP Equation 10.4 </t>
    </r>
    <r>
      <rPr>
        <sz val="11"/>
        <color theme="1"/>
        <rFont val="Calibri"/>
        <family val="2"/>
        <scheme val="minor"/>
      </rPr>
      <t>- Process CH</t>
    </r>
    <r>
      <rPr>
        <vertAlign val="subscript"/>
        <sz val="11"/>
        <color theme="1"/>
        <rFont val="Calibri"/>
        <family val="2"/>
        <scheme val="minor"/>
      </rPr>
      <t>4</t>
    </r>
    <r>
      <rPr>
        <sz val="11"/>
        <color theme="1"/>
        <rFont val="Calibri"/>
        <family val="2"/>
        <scheme val="minor"/>
      </rPr>
      <t xml:space="preserve"> from Wastewater Treatment Lagoons (default data)</t>
    </r>
  </si>
  <si>
    <t>Effective Population Served by Lagoons</t>
  </si>
  <si>
    <t>× Factor for Industrial Discharge into System</t>
  </si>
  <si>
    <r>
      <t>× Default BOD</t>
    </r>
    <r>
      <rPr>
        <vertAlign val="subscript"/>
        <sz val="11"/>
        <color theme="1"/>
        <rFont val="Calibri"/>
        <family val="2"/>
        <scheme val="minor"/>
      </rPr>
      <t>5</t>
    </r>
    <r>
      <rPr>
        <sz val="11"/>
        <color theme="1"/>
        <rFont val="Calibri"/>
        <family val="2"/>
        <scheme val="minor"/>
      </rPr>
      <t xml:space="preserve"> Load (kg BOD</t>
    </r>
    <r>
      <rPr>
        <vertAlign val="subscript"/>
        <sz val="11"/>
        <color theme="1"/>
        <rFont val="Calibri"/>
        <family val="2"/>
        <scheme val="minor"/>
      </rPr>
      <t>5</t>
    </r>
    <r>
      <rPr>
        <sz val="11"/>
        <color theme="1"/>
        <rFont val="Calibri"/>
        <family val="2"/>
        <scheme val="minor"/>
      </rPr>
      <t>/day)</t>
    </r>
  </si>
  <si>
    <r>
      <t>× 1 - Default BOD</t>
    </r>
    <r>
      <rPr>
        <vertAlign val="subscript"/>
        <sz val="11"/>
        <color theme="1"/>
        <rFont val="Calibri"/>
        <family val="2"/>
        <scheme val="minor"/>
      </rPr>
      <t>5</t>
    </r>
    <r>
      <rPr>
        <sz val="11"/>
        <color theme="1"/>
        <rFont val="Calibri"/>
        <family val="2"/>
        <scheme val="minor"/>
      </rPr>
      <t xml:space="preserve"> Percentage Removed</t>
    </r>
  </si>
  <si>
    <r>
      <rPr>
        <b/>
        <sz val="11"/>
        <color theme="1"/>
        <rFont val="Calibri"/>
        <family val="2"/>
        <scheme val="minor"/>
      </rPr>
      <t xml:space="preserve">LGOP Equation 10.6 </t>
    </r>
    <r>
      <rPr>
        <sz val="11"/>
        <color theme="1"/>
        <rFont val="Calibri"/>
        <family val="2"/>
        <scheme val="minor"/>
      </rPr>
      <t>- Fugitive CH</t>
    </r>
    <r>
      <rPr>
        <vertAlign val="subscript"/>
        <sz val="11"/>
        <color theme="1"/>
        <rFont val="Calibri"/>
        <family val="2"/>
        <scheme val="minor"/>
      </rPr>
      <t>4</t>
    </r>
    <r>
      <rPr>
        <sz val="11"/>
        <color theme="1"/>
        <rFont val="Calibri"/>
        <family val="2"/>
        <scheme val="minor"/>
      </rPr>
      <t xml:space="preserve"> Emissions from Septic Systems (default BOD</t>
    </r>
    <r>
      <rPr>
        <vertAlign val="subscript"/>
        <sz val="11"/>
        <color theme="1"/>
        <rFont val="Calibri"/>
        <family val="2"/>
        <scheme val="minor"/>
      </rPr>
      <t>5</t>
    </r>
    <r>
      <rPr>
        <sz val="11"/>
        <color theme="1"/>
        <rFont val="Calibri"/>
        <family val="2"/>
        <scheme val="minor"/>
      </rPr>
      <t xml:space="preserve"> load)</t>
    </r>
  </si>
  <si>
    <r>
      <t>× Septic CH</t>
    </r>
    <r>
      <rPr>
        <vertAlign val="subscript"/>
        <sz val="11"/>
        <color theme="1"/>
        <rFont val="Calibri"/>
        <family val="2"/>
        <scheme val="minor"/>
      </rPr>
      <t>4</t>
    </r>
    <r>
      <rPr>
        <sz val="11"/>
        <color theme="1"/>
        <rFont val="Calibri"/>
        <family val="2"/>
        <scheme val="minor"/>
      </rPr>
      <t xml:space="preserve"> Correction Factor</t>
    </r>
  </si>
  <si>
    <r>
      <rPr>
        <b/>
        <sz val="11"/>
        <color theme="1"/>
        <rFont val="Calibri"/>
        <family val="2"/>
        <scheme val="minor"/>
      </rPr>
      <t>LGOP Equation 10.7</t>
    </r>
    <r>
      <rPr>
        <sz val="11"/>
        <color theme="1"/>
        <rFont val="Calibri"/>
        <family val="2"/>
        <scheme val="minor"/>
      </rPr>
      <t xml:space="preserve"> - Process N</t>
    </r>
    <r>
      <rPr>
        <vertAlign val="subscript"/>
        <sz val="11"/>
        <color theme="1"/>
        <rFont val="Calibri"/>
        <family val="2"/>
        <scheme val="minor"/>
      </rPr>
      <t>2</t>
    </r>
    <r>
      <rPr>
        <sz val="11"/>
        <color theme="1"/>
        <rFont val="Calibri"/>
        <family val="2"/>
        <scheme val="minor"/>
      </rPr>
      <t>O Emissions from WWTP with Nitrification/Denitrification</t>
    </r>
  </si>
  <si>
    <t>Effective Population Served by Nit/Denit</t>
  </si>
  <si>
    <r>
      <t>× Nit/Denit Emissions Factor (g N</t>
    </r>
    <r>
      <rPr>
        <vertAlign val="subscript"/>
        <sz val="11"/>
        <color theme="1"/>
        <rFont val="Calibri"/>
        <family val="2"/>
        <scheme val="minor"/>
      </rPr>
      <t>2</t>
    </r>
    <r>
      <rPr>
        <sz val="11"/>
        <color theme="1"/>
        <rFont val="Calibri"/>
        <family val="2"/>
        <scheme val="minor"/>
      </rPr>
      <t>O/person/yr)</t>
    </r>
  </si>
  <si>
    <r>
      <rPr>
        <b/>
        <sz val="11"/>
        <color theme="1"/>
        <rFont val="Calibri"/>
        <family val="2"/>
        <scheme val="minor"/>
      </rPr>
      <t>LGOP Equation 10.8</t>
    </r>
    <r>
      <rPr>
        <sz val="11"/>
        <color theme="1"/>
        <rFont val="Calibri"/>
        <family val="2"/>
        <scheme val="minor"/>
      </rPr>
      <t xml:space="preserve"> - Process N</t>
    </r>
    <r>
      <rPr>
        <vertAlign val="subscript"/>
        <sz val="11"/>
        <color theme="1"/>
        <rFont val="Calibri"/>
        <family val="2"/>
        <scheme val="minor"/>
      </rPr>
      <t>2</t>
    </r>
    <r>
      <rPr>
        <sz val="11"/>
        <color theme="1"/>
        <rFont val="Calibri"/>
        <family val="2"/>
        <scheme val="minor"/>
      </rPr>
      <t>O Emissions from WWTP without Nitrification/Denitrification</t>
    </r>
  </si>
  <si>
    <t>Effective Population Served without Nit/Denit</t>
  </si>
  <si>
    <r>
      <t>× No Nit/Denit Emissions Factor (g N</t>
    </r>
    <r>
      <rPr>
        <vertAlign val="subscript"/>
        <sz val="11"/>
        <color theme="1"/>
        <rFont val="Calibri"/>
        <family val="2"/>
        <scheme val="minor"/>
      </rPr>
      <t>2</t>
    </r>
    <r>
      <rPr>
        <sz val="11"/>
        <color theme="1"/>
        <rFont val="Calibri"/>
        <family val="2"/>
        <scheme val="minor"/>
      </rPr>
      <t>O/person/yr)</t>
    </r>
  </si>
  <si>
    <r>
      <rPr>
        <b/>
        <sz val="11"/>
        <color theme="1"/>
        <rFont val="Calibri"/>
        <family val="2"/>
        <scheme val="minor"/>
      </rPr>
      <t>LGOP Equation 10.9</t>
    </r>
    <r>
      <rPr>
        <sz val="11"/>
        <color theme="1"/>
        <rFont val="Calibri"/>
        <family val="2"/>
        <scheme val="minor"/>
      </rPr>
      <t xml:space="preserve"> - Process N</t>
    </r>
    <r>
      <rPr>
        <vertAlign val="subscript"/>
        <sz val="11"/>
        <color theme="1"/>
        <rFont val="Calibri"/>
        <family val="2"/>
        <scheme val="minor"/>
      </rPr>
      <t>2</t>
    </r>
    <r>
      <rPr>
        <sz val="11"/>
        <color theme="1"/>
        <rFont val="Calibri"/>
        <family val="2"/>
        <scheme val="minor"/>
      </rPr>
      <t>O Emissions from Effluent Discharge (site-specific N load data)</t>
    </r>
  </si>
  <si>
    <t>Measured Average Total N Discharged (kg N/day)</t>
  </si>
  <si>
    <r>
      <t>× Effluent Emission Factor (kg N</t>
    </r>
    <r>
      <rPr>
        <vertAlign val="subscript"/>
        <sz val="11"/>
        <color theme="1"/>
        <rFont val="Calibri"/>
        <family val="2"/>
        <scheme val="minor"/>
      </rPr>
      <t>2</t>
    </r>
    <r>
      <rPr>
        <sz val="11"/>
        <color theme="1"/>
        <rFont val="Calibri"/>
        <family val="2"/>
        <scheme val="minor"/>
      </rPr>
      <t>O-N/kg sewage)</t>
    </r>
  </si>
  <si>
    <t>× MT/kg</t>
  </si>
  <si>
    <r>
      <t>× N</t>
    </r>
    <r>
      <rPr>
        <vertAlign val="subscript"/>
        <sz val="11"/>
        <color theme="1"/>
        <rFont val="Calibri"/>
        <family val="2"/>
        <scheme val="minor"/>
      </rPr>
      <t>2</t>
    </r>
    <r>
      <rPr>
        <sz val="11"/>
        <color theme="1"/>
        <rFont val="Calibri"/>
        <family val="2"/>
        <scheme val="minor"/>
      </rPr>
      <t>O/N</t>
    </r>
    <r>
      <rPr>
        <vertAlign val="subscript"/>
        <sz val="11"/>
        <color theme="1"/>
        <rFont val="Calibri"/>
        <family val="2"/>
        <scheme val="minor"/>
      </rPr>
      <t>2</t>
    </r>
    <r>
      <rPr>
        <sz val="11"/>
        <color theme="1"/>
        <rFont val="Calibri"/>
        <family val="2"/>
        <scheme val="minor"/>
      </rPr>
      <t xml:space="preserve"> Molecular Weight Ratio = </t>
    </r>
  </si>
  <si>
    <r>
      <rPr>
        <b/>
        <sz val="11"/>
        <color theme="1"/>
        <rFont val="Calibri"/>
        <family val="2"/>
        <scheme val="minor"/>
      </rPr>
      <t xml:space="preserve">LGOP Equation 10.10 </t>
    </r>
    <r>
      <rPr>
        <sz val="11"/>
        <color theme="1"/>
        <rFont val="Calibri"/>
        <family val="2"/>
        <scheme val="minor"/>
      </rPr>
      <t>- Process N</t>
    </r>
    <r>
      <rPr>
        <vertAlign val="subscript"/>
        <sz val="11"/>
        <color theme="1"/>
        <rFont val="Calibri"/>
        <family val="2"/>
        <scheme val="minor"/>
      </rPr>
      <t>2</t>
    </r>
    <r>
      <rPr>
        <sz val="11"/>
        <color theme="1"/>
        <rFont val="Calibri"/>
        <family val="2"/>
        <scheme val="minor"/>
      </rPr>
      <t>O Emissions from Effluent Discharge (default N load data)</t>
    </r>
  </si>
  <si>
    <t>Population Served</t>
  </si>
  <si>
    <t>Factor for Industrial Discharge into System</t>
  </si>
  <si>
    <t>× [Total N Load (kg N/person/day)</t>
  </si>
  <si>
    <t>- N uptake* (kg N/kg BOD5)</t>
  </si>
  <si>
    <t>× BOD5 Load ]</t>
  </si>
  <si>
    <r>
      <t>× Effluent Emissions Factor (kg N</t>
    </r>
    <r>
      <rPr>
        <vertAlign val="subscript"/>
        <sz val="11"/>
        <color theme="1"/>
        <rFont val="Calibri"/>
        <family val="2"/>
        <scheme val="minor"/>
      </rPr>
      <t>2</t>
    </r>
    <r>
      <rPr>
        <sz val="11"/>
        <color theme="1"/>
        <rFont val="Calibri"/>
        <family val="2"/>
        <scheme val="minor"/>
      </rPr>
      <t>O-N/kg sewage)</t>
    </r>
  </si>
  <si>
    <r>
      <t>× N</t>
    </r>
    <r>
      <rPr>
        <vertAlign val="subscript"/>
        <sz val="11"/>
        <color theme="1"/>
        <rFont val="Calibri"/>
        <family val="2"/>
        <scheme val="minor"/>
      </rPr>
      <t>2</t>
    </r>
    <r>
      <rPr>
        <sz val="11"/>
        <color theme="1"/>
        <rFont val="Calibri"/>
        <family val="2"/>
        <scheme val="minor"/>
      </rPr>
      <t>O/N</t>
    </r>
    <r>
      <rPr>
        <vertAlign val="subscript"/>
        <sz val="11"/>
        <color theme="1"/>
        <rFont val="Calibri"/>
        <family val="2"/>
        <scheme val="minor"/>
      </rPr>
      <t>2</t>
    </r>
    <r>
      <rPr>
        <sz val="11"/>
        <color theme="1"/>
        <rFont val="Calibri"/>
        <family val="2"/>
        <scheme val="minor"/>
      </rPr>
      <t xml:space="preserve"> Molecular Weight Ratio</t>
    </r>
  </si>
  <si>
    <r>
      <rPr>
        <sz val="11"/>
        <color theme="1"/>
        <rFont val="Calibri"/>
        <family val="2"/>
      </rPr>
      <t xml:space="preserve">× 1 - </t>
    </r>
    <r>
      <rPr>
        <sz val="11"/>
        <color theme="1"/>
        <rFont val="Calibri"/>
        <family val="2"/>
        <scheme val="minor"/>
      </rPr>
      <t>Fraction of Nitrogen Removed**</t>
    </r>
  </si>
  <si>
    <t>Anaerobic Treatment with Nitrification/Denitrification</t>
  </si>
  <si>
    <t>Anaerobic Treatment without Nitrification/Denitrification</t>
  </si>
  <si>
    <t>Aerobic Treatment with Nitrification/Denitrification</t>
  </si>
  <si>
    <t>Aerobic Treatment without Nitrification/Denitrification</t>
  </si>
  <si>
    <t>*Depends if anaerobic/aerobic; **Depends if with/without Nitrification/Denitrification</t>
  </si>
  <si>
    <t>Effective Population Calculations</t>
  </si>
  <si>
    <t>System</t>
  </si>
  <si>
    <t>Industrial Load (lbs N/day)</t>
  </si>
  <si>
    <t>× kg/lb</t>
  </si>
  <si>
    <r>
      <rPr>
        <sz val="11"/>
        <color theme="1"/>
        <rFont val="Calibri"/>
        <family val="2"/>
      </rPr>
      <t>÷</t>
    </r>
    <r>
      <rPr>
        <sz val="11"/>
        <color theme="1"/>
        <rFont val="Calibri"/>
        <family val="2"/>
        <scheme val="minor"/>
      </rPr>
      <t xml:space="preserve"> Population Equivalency Factor (kg N/person/day)</t>
    </r>
  </si>
  <si>
    <t>= Population Equivalent of Industrial Loading</t>
  </si>
  <si>
    <t>+ Population Served</t>
  </si>
  <si>
    <t>= Effective Population</t>
  </si>
  <si>
    <t>Anaerobic</t>
  </si>
  <si>
    <t>Aerobic</t>
  </si>
  <si>
    <t>Nit/Denit</t>
  </si>
  <si>
    <t>No Nit/Denit</t>
  </si>
  <si>
    <t>Cell Color Codes</t>
  </si>
  <si>
    <t>Data entered on previous sheet</t>
  </si>
  <si>
    <t>Calculated or Entered Data</t>
  </si>
  <si>
    <r>
      <t>CH</t>
    </r>
    <r>
      <rPr>
        <vertAlign val="subscript"/>
        <sz val="11"/>
        <color theme="1"/>
        <rFont val="Calibri"/>
        <family val="2"/>
        <scheme val="minor"/>
      </rPr>
      <t>4</t>
    </r>
    <r>
      <rPr>
        <sz val="11"/>
        <color theme="1"/>
        <rFont val="Calibri"/>
        <family val="2"/>
        <scheme val="minor"/>
      </rPr>
      <t xml:space="preserve"> Emissions</t>
    </r>
  </si>
  <si>
    <r>
      <t>N</t>
    </r>
    <r>
      <rPr>
        <vertAlign val="subscript"/>
        <sz val="11"/>
        <color theme="1"/>
        <rFont val="Calibri"/>
        <family val="2"/>
        <scheme val="minor"/>
      </rPr>
      <t>2</t>
    </r>
    <r>
      <rPr>
        <sz val="11"/>
        <color theme="1"/>
        <rFont val="Calibri"/>
        <family val="2"/>
        <scheme val="minor"/>
      </rPr>
      <t>O Emissions</t>
    </r>
  </si>
  <si>
    <t>Value depends on system type</t>
  </si>
  <si>
    <t>Electricity Use - Entry</t>
  </si>
  <si>
    <t>Describe the electricity consuming unit you are entering</t>
  </si>
  <si>
    <t>Unit Description (e.g., facility name)</t>
  </si>
  <si>
    <t>Is this a Contractual Instrument? (e.g., REC)</t>
  </si>
  <si>
    <t>No</t>
  </si>
  <si>
    <t>Electricity Purchased (kWh)</t>
  </si>
  <si>
    <t>Select Electric Utility...</t>
  </si>
  <si>
    <t>Electricity Use - Data</t>
  </si>
  <si>
    <t>Utility</t>
  </si>
  <si>
    <t>Electricity Consumed (kWh)</t>
  </si>
  <si>
    <t>Contractual Instrument Description</t>
  </si>
  <si>
    <r>
      <t>Supplier-Specific CO</t>
    </r>
    <r>
      <rPr>
        <b/>
        <vertAlign val="subscript"/>
        <sz val="11"/>
        <color theme="1"/>
        <rFont val="Calibri"/>
        <family val="2"/>
        <scheme val="minor"/>
      </rPr>
      <t>2</t>
    </r>
    <r>
      <rPr>
        <b/>
        <sz val="11"/>
        <color theme="1"/>
        <rFont val="Calibri"/>
        <family val="2"/>
        <scheme val="minor"/>
      </rPr>
      <t xml:space="preserve"> Emissions Rate</t>
    </r>
  </si>
  <si>
    <r>
      <t>Supplier-Specific CH</t>
    </r>
    <r>
      <rPr>
        <b/>
        <vertAlign val="subscript"/>
        <sz val="11"/>
        <color theme="1"/>
        <rFont val="Calibri"/>
        <family val="2"/>
        <scheme val="minor"/>
      </rPr>
      <t>4</t>
    </r>
    <r>
      <rPr>
        <b/>
        <sz val="11"/>
        <color theme="1"/>
        <rFont val="Calibri"/>
        <family val="2"/>
        <scheme val="minor"/>
      </rPr>
      <t xml:space="preserve"> Emissions Rate</t>
    </r>
  </si>
  <si>
    <r>
      <t>Supplier-Specific N</t>
    </r>
    <r>
      <rPr>
        <b/>
        <vertAlign val="subscript"/>
        <sz val="11"/>
        <color theme="1"/>
        <rFont val="Calibri"/>
        <family val="2"/>
        <scheme val="minor"/>
      </rPr>
      <t>2</t>
    </r>
    <r>
      <rPr>
        <b/>
        <sz val="11"/>
        <color theme="1"/>
        <rFont val="Calibri"/>
        <family val="2"/>
        <scheme val="minor"/>
      </rPr>
      <t>O Emissions Rate</t>
    </r>
  </si>
  <si>
    <t>contract?</t>
  </si>
  <si>
    <t xml:space="preserve">Electricity Use - Calculation &amp; Summary </t>
  </si>
  <si>
    <t>Electricity Summary</t>
  </si>
  <si>
    <t>Electricity Use by Sector</t>
  </si>
  <si>
    <r>
      <t>CO</t>
    </r>
    <r>
      <rPr>
        <u/>
        <vertAlign val="subscript"/>
        <sz val="11"/>
        <color indexed="12"/>
        <rFont val="Calibri"/>
        <family val="2"/>
        <scheme val="minor"/>
      </rPr>
      <t>2</t>
    </r>
    <r>
      <rPr>
        <u/>
        <sz val="11"/>
        <color indexed="12"/>
        <rFont val="Calibri"/>
        <family val="2"/>
        <scheme val="minor"/>
      </rPr>
      <t xml:space="preserve"> emissions by utility</t>
    </r>
  </si>
  <si>
    <r>
      <t>CH</t>
    </r>
    <r>
      <rPr>
        <u/>
        <vertAlign val="subscript"/>
        <sz val="11"/>
        <color indexed="12"/>
        <rFont val="Calibri"/>
        <family val="2"/>
        <scheme val="minor"/>
      </rPr>
      <t>4</t>
    </r>
    <r>
      <rPr>
        <u/>
        <sz val="11"/>
        <color indexed="12"/>
        <rFont val="Calibri"/>
        <family val="2"/>
        <scheme val="minor"/>
      </rPr>
      <t xml:space="preserve"> emissions by utility</t>
    </r>
  </si>
  <si>
    <r>
      <t>N</t>
    </r>
    <r>
      <rPr>
        <u/>
        <vertAlign val="subscript"/>
        <sz val="11"/>
        <color indexed="12"/>
        <rFont val="Calibri"/>
        <family val="2"/>
        <scheme val="minor"/>
      </rPr>
      <t>2</t>
    </r>
    <r>
      <rPr>
        <u/>
        <sz val="11"/>
        <color indexed="12"/>
        <rFont val="Calibri"/>
        <family val="2"/>
        <scheme val="minor"/>
      </rPr>
      <t>O emissions by utility</t>
    </r>
  </si>
  <si>
    <t>Activity data by sector and utility</t>
  </si>
  <si>
    <r>
      <t>CO</t>
    </r>
    <r>
      <rPr>
        <u/>
        <vertAlign val="subscript"/>
        <sz val="11"/>
        <color indexed="12"/>
        <rFont val="Calibri"/>
        <family val="2"/>
        <scheme val="minor"/>
      </rPr>
      <t>2</t>
    </r>
    <r>
      <rPr>
        <u/>
        <sz val="11"/>
        <color indexed="12"/>
        <rFont val="Calibri"/>
        <family val="2"/>
        <scheme val="minor"/>
      </rPr>
      <t xml:space="preserve"> emissions by sector and utility</t>
    </r>
  </si>
  <si>
    <r>
      <t>CH</t>
    </r>
    <r>
      <rPr>
        <u/>
        <vertAlign val="subscript"/>
        <sz val="11"/>
        <color indexed="12"/>
        <rFont val="Calibri"/>
        <family val="2"/>
        <scheme val="minor"/>
      </rPr>
      <t>4</t>
    </r>
    <r>
      <rPr>
        <u/>
        <sz val="11"/>
        <color indexed="12"/>
        <rFont val="Calibri"/>
        <family val="2"/>
        <scheme val="minor"/>
      </rPr>
      <t xml:space="preserve"> emissions by sector and utility</t>
    </r>
  </si>
  <si>
    <r>
      <t>N</t>
    </r>
    <r>
      <rPr>
        <u/>
        <vertAlign val="subscript"/>
        <sz val="11"/>
        <color indexed="12"/>
        <rFont val="Calibri"/>
        <family val="2"/>
        <scheme val="minor"/>
      </rPr>
      <t>2</t>
    </r>
    <r>
      <rPr>
        <u/>
        <sz val="11"/>
        <color indexed="12"/>
        <rFont val="Calibri"/>
        <family val="2"/>
        <scheme val="minor"/>
      </rPr>
      <t>O emissions by sector and utility</t>
    </r>
  </si>
  <si>
    <r>
      <t>Emissions by Sector (in CO</t>
    </r>
    <r>
      <rPr>
        <b/>
        <vertAlign val="subscript"/>
        <sz val="12"/>
        <color theme="1"/>
        <rFont val="Calibri"/>
        <family val="2"/>
        <scheme val="minor"/>
      </rPr>
      <t>2</t>
    </r>
    <r>
      <rPr>
        <b/>
        <sz val="12"/>
        <color theme="1"/>
        <rFont val="Calibri"/>
        <family val="2"/>
        <scheme val="minor"/>
      </rPr>
      <t>e)</t>
    </r>
  </si>
  <si>
    <t>Total Emissions from Electricity Use</t>
  </si>
  <si>
    <t>Electricity Use by Sector (in kWh)</t>
  </si>
  <si>
    <t>Total Electricity Use</t>
  </si>
  <si>
    <r>
      <t>CO</t>
    </r>
    <r>
      <rPr>
        <b/>
        <vertAlign val="subscript"/>
        <sz val="11"/>
        <color theme="1"/>
        <rFont val="Calibri"/>
        <family val="2"/>
        <scheme val="minor"/>
      </rPr>
      <t>2</t>
    </r>
    <r>
      <rPr>
        <b/>
        <sz val="11"/>
        <color theme="1"/>
        <rFont val="Calibri"/>
        <family val="2"/>
        <scheme val="minor"/>
      </rPr>
      <t xml:space="preserve"> Emissions by Utility</t>
    </r>
  </si>
  <si>
    <r>
      <t>Emissions = Electricity Consumed (kWh) × eGRID Regional Emissions Factor (lb CO</t>
    </r>
    <r>
      <rPr>
        <i/>
        <vertAlign val="subscript"/>
        <sz val="11"/>
        <color theme="1"/>
        <rFont val="Calibri"/>
        <family val="2"/>
        <scheme val="minor"/>
      </rPr>
      <t>2</t>
    </r>
    <r>
      <rPr>
        <i/>
        <sz val="11"/>
        <color theme="1"/>
        <rFont val="Calibri"/>
        <family val="2"/>
        <scheme val="minor"/>
      </rPr>
      <t>/MWh) × MWh/kWh × MT/lb × CO</t>
    </r>
    <r>
      <rPr>
        <i/>
        <vertAlign val="subscript"/>
        <sz val="11"/>
        <color theme="1"/>
        <rFont val="Calibri"/>
        <family val="2"/>
        <scheme val="minor"/>
      </rPr>
      <t>2</t>
    </r>
    <r>
      <rPr>
        <i/>
        <sz val="11"/>
        <color theme="1"/>
        <rFont val="Calibri"/>
        <family val="2"/>
        <scheme val="minor"/>
      </rPr>
      <t xml:space="preserve"> GWP</t>
    </r>
  </si>
  <si>
    <r>
      <t>eGRID Regional EF (lb CO</t>
    </r>
    <r>
      <rPr>
        <b/>
        <vertAlign val="subscript"/>
        <sz val="11"/>
        <color theme="1"/>
        <rFont val="Calibri"/>
        <family val="2"/>
        <scheme val="minor"/>
      </rPr>
      <t>2</t>
    </r>
    <r>
      <rPr>
        <b/>
        <sz val="11"/>
        <color theme="1"/>
        <rFont val="Calibri"/>
        <family val="2"/>
        <scheme val="minor"/>
      </rPr>
      <t>/MWh)</t>
    </r>
  </si>
  <si>
    <t>MWh/kWh</t>
  </si>
  <si>
    <t>MT/lb</t>
  </si>
  <si>
    <r>
      <t>CH</t>
    </r>
    <r>
      <rPr>
        <b/>
        <vertAlign val="subscript"/>
        <sz val="11"/>
        <color theme="1"/>
        <rFont val="Calibri"/>
        <family val="2"/>
        <scheme val="minor"/>
      </rPr>
      <t>4</t>
    </r>
    <r>
      <rPr>
        <b/>
        <sz val="11"/>
        <color theme="1"/>
        <rFont val="Calibri"/>
        <family val="2"/>
        <scheme val="minor"/>
      </rPr>
      <t xml:space="preserve"> Emissions by Utility</t>
    </r>
  </si>
  <si>
    <r>
      <t>Emissions = Electricity Consumed (kWh) × eGRID Regional Emissions Factor (lb CH</t>
    </r>
    <r>
      <rPr>
        <i/>
        <vertAlign val="subscript"/>
        <sz val="11"/>
        <color theme="1"/>
        <rFont val="Calibri"/>
        <family val="2"/>
        <scheme val="minor"/>
      </rPr>
      <t>4</t>
    </r>
    <r>
      <rPr>
        <i/>
        <sz val="11"/>
        <color theme="1"/>
        <rFont val="Calibri"/>
        <family val="2"/>
        <scheme val="minor"/>
      </rPr>
      <t>/MWh) × MWh/kWh × MT/lb × CH</t>
    </r>
    <r>
      <rPr>
        <i/>
        <vertAlign val="subscript"/>
        <sz val="11"/>
        <color theme="1"/>
        <rFont val="Calibri"/>
        <family val="2"/>
        <scheme val="minor"/>
      </rPr>
      <t>4</t>
    </r>
    <r>
      <rPr>
        <i/>
        <sz val="11"/>
        <color theme="1"/>
        <rFont val="Calibri"/>
        <family val="2"/>
        <scheme val="minor"/>
      </rPr>
      <t xml:space="preserve"> GWP</t>
    </r>
  </si>
  <si>
    <r>
      <t>eGRID Regional EF (lb CH</t>
    </r>
    <r>
      <rPr>
        <b/>
        <vertAlign val="subscript"/>
        <sz val="11"/>
        <color theme="1"/>
        <rFont val="Calibri"/>
        <family val="2"/>
        <scheme val="minor"/>
      </rPr>
      <t>4</t>
    </r>
    <r>
      <rPr>
        <b/>
        <sz val="11"/>
        <color theme="1"/>
        <rFont val="Calibri"/>
        <family val="2"/>
        <scheme val="minor"/>
      </rPr>
      <t>/MWh)</t>
    </r>
  </si>
  <si>
    <r>
      <t>N</t>
    </r>
    <r>
      <rPr>
        <b/>
        <vertAlign val="subscript"/>
        <sz val="11"/>
        <color theme="1"/>
        <rFont val="Calibri"/>
        <family val="2"/>
        <scheme val="minor"/>
      </rPr>
      <t>2</t>
    </r>
    <r>
      <rPr>
        <b/>
        <sz val="11"/>
        <color theme="1"/>
        <rFont val="Calibri"/>
        <family val="2"/>
        <scheme val="minor"/>
      </rPr>
      <t>O Emissions by Utility</t>
    </r>
  </si>
  <si>
    <r>
      <t>Emissions = Electricity Consumed (kWh) × eGRID Regional Emissions Factor (lb N</t>
    </r>
    <r>
      <rPr>
        <i/>
        <vertAlign val="subscript"/>
        <sz val="11"/>
        <color theme="1"/>
        <rFont val="Calibri"/>
        <family val="2"/>
        <scheme val="minor"/>
      </rPr>
      <t>2</t>
    </r>
    <r>
      <rPr>
        <i/>
        <sz val="11"/>
        <color theme="1"/>
        <rFont val="Calibri"/>
        <family val="2"/>
        <scheme val="minor"/>
      </rPr>
      <t>O/MWh) × MWh/kWh × MT/lb × N</t>
    </r>
    <r>
      <rPr>
        <i/>
        <vertAlign val="subscript"/>
        <sz val="11"/>
        <color theme="1"/>
        <rFont val="Calibri"/>
        <family val="2"/>
        <scheme val="minor"/>
      </rPr>
      <t>2</t>
    </r>
    <r>
      <rPr>
        <i/>
        <sz val="11"/>
        <color theme="1"/>
        <rFont val="Calibri"/>
        <family val="2"/>
        <scheme val="minor"/>
      </rPr>
      <t>O GWP</t>
    </r>
  </si>
  <si>
    <r>
      <t>eGRID Regional EF (lb N</t>
    </r>
    <r>
      <rPr>
        <b/>
        <vertAlign val="subscript"/>
        <sz val="11"/>
        <color theme="1"/>
        <rFont val="Calibri"/>
        <family val="2"/>
        <scheme val="minor"/>
      </rPr>
      <t>2</t>
    </r>
    <r>
      <rPr>
        <b/>
        <sz val="11"/>
        <color theme="1"/>
        <rFont val="Calibri"/>
        <family val="2"/>
        <scheme val="minor"/>
      </rPr>
      <t>O/MWh)</t>
    </r>
  </si>
  <si>
    <t>Activity Data by Sector and Utility</t>
  </si>
  <si>
    <t>Electricity use data by sector and fuel type (kWh)</t>
  </si>
  <si>
    <r>
      <t>CO</t>
    </r>
    <r>
      <rPr>
        <b/>
        <vertAlign val="subscript"/>
        <sz val="11"/>
        <color theme="1"/>
        <rFont val="Calibri"/>
        <family val="2"/>
        <scheme val="minor"/>
      </rPr>
      <t>2</t>
    </r>
    <r>
      <rPr>
        <b/>
        <sz val="11"/>
        <color theme="1"/>
        <rFont val="Calibri"/>
        <family val="2"/>
        <scheme val="minor"/>
      </rPr>
      <t xml:space="preserve"> Emissions by Sector and Utility</t>
    </r>
  </si>
  <si>
    <r>
      <t>CH</t>
    </r>
    <r>
      <rPr>
        <b/>
        <vertAlign val="subscript"/>
        <sz val="11"/>
        <color theme="1"/>
        <rFont val="Calibri"/>
        <family val="2"/>
        <scheme val="minor"/>
      </rPr>
      <t>4</t>
    </r>
    <r>
      <rPr>
        <b/>
        <sz val="11"/>
        <color theme="1"/>
        <rFont val="Calibri"/>
        <family val="2"/>
        <scheme val="minor"/>
      </rPr>
      <t xml:space="preserve"> emissions by sector and utility</t>
    </r>
  </si>
  <si>
    <r>
      <t>Emissions = Electricity Consumed (kWh) × eGRID Regional Emissions Factor (lb CH</t>
    </r>
    <r>
      <rPr>
        <i/>
        <vertAlign val="subscript"/>
        <sz val="11"/>
        <color theme="1"/>
        <rFont val="Calibri"/>
        <family val="2"/>
        <scheme val="minor"/>
      </rPr>
      <t>4</t>
    </r>
    <r>
      <rPr>
        <i/>
        <sz val="11"/>
        <color theme="1"/>
        <rFont val="Calibri"/>
        <family val="2"/>
        <scheme val="minor"/>
      </rPr>
      <t>/kWh) × MWh/kWh × MT/lb × CH</t>
    </r>
    <r>
      <rPr>
        <i/>
        <vertAlign val="subscript"/>
        <sz val="11"/>
        <color theme="1"/>
        <rFont val="Calibri"/>
        <family val="2"/>
        <scheme val="minor"/>
      </rPr>
      <t>4</t>
    </r>
    <r>
      <rPr>
        <i/>
        <sz val="11"/>
        <color theme="1"/>
        <rFont val="Calibri"/>
        <family val="2"/>
        <scheme val="minor"/>
      </rPr>
      <t xml:space="preserve"> GWP</t>
    </r>
  </si>
  <si>
    <r>
      <t>N</t>
    </r>
    <r>
      <rPr>
        <b/>
        <vertAlign val="subscript"/>
        <sz val="11"/>
        <color theme="1"/>
        <rFont val="Calibri"/>
        <family val="2"/>
        <scheme val="minor"/>
      </rPr>
      <t>2</t>
    </r>
    <r>
      <rPr>
        <b/>
        <sz val="11"/>
        <color theme="1"/>
        <rFont val="Calibri"/>
        <family val="2"/>
        <scheme val="minor"/>
      </rPr>
      <t>O emissions by sector and utility</t>
    </r>
  </si>
  <si>
    <r>
      <t>Emissions = Electricity Consumed (kWh) × eGRID Regional Emissions Factor (lb N</t>
    </r>
    <r>
      <rPr>
        <i/>
        <vertAlign val="subscript"/>
        <sz val="11"/>
        <color theme="1"/>
        <rFont val="Calibri"/>
        <family val="2"/>
        <scheme val="minor"/>
      </rPr>
      <t>2</t>
    </r>
    <r>
      <rPr>
        <i/>
        <sz val="11"/>
        <color theme="1"/>
        <rFont val="Calibri"/>
        <family val="2"/>
        <scheme val="minor"/>
      </rPr>
      <t>O/kWh) × MWh/kWh × MT/lb × N</t>
    </r>
    <r>
      <rPr>
        <i/>
        <vertAlign val="subscript"/>
        <sz val="11"/>
        <color theme="1"/>
        <rFont val="Calibri"/>
        <family val="2"/>
        <scheme val="minor"/>
      </rPr>
      <t>2</t>
    </r>
    <r>
      <rPr>
        <i/>
        <sz val="11"/>
        <color theme="1"/>
        <rFont val="Calibri"/>
        <family val="2"/>
        <scheme val="minor"/>
      </rPr>
      <t>O GWP</t>
    </r>
  </si>
  <si>
    <t>Employee Commute</t>
  </si>
  <si>
    <t>Step 1. Enter employee data by department</t>
  </si>
  <si>
    <t>Step 2. Enter mode of transportation proportions</t>
  </si>
  <si>
    <t>Employee Commute Emissions Summary</t>
  </si>
  <si>
    <t>Chart: Employee Commute Emissions</t>
  </si>
  <si>
    <t>1. Enter Employee Data</t>
  </si>
  <si>
    <t>Please enter the number of employees in each department. This will be used to calculate the commute emissions per department.</t>
  </si>
  <si>
    <t>Department</t>
  </si>
  <si>
    <t>Number of employees</t>
  </si>
  <si>
    <t>2. Enter mode of transit proportions, commute length, and work days</t>
  </si>
  <si>
    <t xml:space="preserve">Please enter what percentage of employees use each form of transportation to work. These values will be used to determine how many city employees travel by each mode every day. </t>
  </si>
  <si>
    <t>Default values are from the American Communities Survey, and represent the average distribution of transit modes in the United States. For more accurate emissions estimates, use proportions gathered from a travel survey of city employees.</t>
  </si>
  <si>
    <t>Mode</t>
  </si>
  <si>
    <t>Employees who use mode (%)</t>
  </si>
  <si>
    <t>Default Values</t>
  </si>
  <si>
    <t>Single Occupancy Vehicle</t>
  </si>
  <si>
    <t>Carpool</t>
  </si>
  <si>
    <t>Transit</t>
  </si>
  <si>
    <t>Bike</t>
  </si>
  <si>
    <t>Walk</t>
  </si>
  <si>
    <t>Work at home</t>
  </si>
  <si>
    <t xml:space="preserve">Please enter the average one-way commute length for city employees. Default commute distance is 12.6 miles (from FHWA's 2010 Status of the Nation's Highways Bridges and Transit, http://www.fhwa.dot.gov/policy/2010cpr/execsum.htm). </t>
  </si>
  <si>
    <t>This commute distance may be longer or shorter than the average commute for your city's employees. For the most accurate emissions estimates, use data from a travel survey of city employees.</t>
  </si>
  <si>
    <t>Average One-Way Commute Length (miles)</t>
  </si>
  <si>
    <t>Please enter the number of days each city employee works per year. This number will be multiplied by the emissions from daily commutes. Default work-year days is provided (240 days), assuming a 5-day work week, two weeks (10 days) of vacation, and 10 federal holidays.</t>
  </si>
  <si>
    <t>Workdays per year</t>
  </si>
  <si>
    <r>
      <t>Emissions by Department (MT CO</t>
    </r>
    <r>
      <rPr>
        <vertAlign val="subscript"/>
        <sz val="11"/>
        <color theme="1"/>
        <rFont val="Calibri"/>
        <family val="2"/>
        <scheme val="minor"/>
      </rPr>
      <t>2</t>
    </r>
    <r>
      <rPr>
        <sz val="11"/>
        <color theme="1"/>
        <rFont val="Calibri"/>
        <family val="2"/>
        <scheme val="minor"/>
      </rPr>
      <t>e)</t>
    </r>
  </si>
  <si>
    <t>Employees by Department and Mode</t>
  </si>
  <si>
    <r>
      <t xml:space="preserve">Number of Employees who use mode = # of employees </t>
    </r>
    <r>
      <rPr>
        <i/>
        <sz val="11"/>
        <color theme="1"/>
        <rFont val="Calibri"/>
        <family val="2"/>
      </rPr>
      <t>× percentage of employees who use each mode</t>
    </r>
  </si>
  <si>
    <t>Work at Home</t>
  </si>
  <si>
    <r>
      <t>Daily CO</t>
    </r>
    <r>
      <rPr>
        <b/>
        <vertAlign val="subscript"/>
        <sz val="11"/>
        <color theme="1"/>
        <rFont val="Calibri"/>
        <family val="2"/>
        <scheme val="minor"/>
      </rPr>
      <t>2</t>
    </r>
    <r>
      <rPr>
        <b/>
        <sz val="11"/>
        <color theme="1"/>
        <rFont val="Calibri"/>
        <family val="2"/>
        <scheme val="minor"/>
      </rPr>
      <t xml:space="preserve"> Emissions by Department and Mode</t>
    </r>
  </si>
  <si>
    <r>
      <t>CO</t>
    </r>
    <r>
      <rPr>
        <i/>
        <vertAlign val="subscript"/>
        <sz val="11"/>
        <color theme="1"/>
        <rFont val="Calibri"/>
        <family val="2"/>
        <scheme val="minor"/>
      </rPr>
      <t>2</t>
    </r>
    <r>
      <rPr>
        <i/>
        <sz val="11"/>
        <color theme="1"/>
        <rFont val="Calibri"/>
        <family val="2"/>
        <scheme val="minor"/>
      </rPr>
      <t xml:space="preserve"> Emissions/Day = Employees traveling </t>
    </r>
    <r>
      <rPr>
        <i/>
        <sz val="11"/>
        <color theme="1"/>
        <rFont val="Calibri"/>
        <family val="2"/>
      </rPr>
      <t>× Trip Distance/day ÷ People/Mode ÷ miles per gallon × Mode Emissions Factor (kg CO</t>
    </r>
    <r>
      <rPr>
        <i/>
        <vertAlign val="subscript"/>
        <sz val="11"/>
        <color theme="1"/>
        <rFont val="Calibri"/>
        <family val="2"/>
      </rPr>
      <t>2</t>
    </r>
    <r>
      <rPr>
        <i/>
        <sz val="11"/>
        <color theme="1"/>
        <rFont val="Calibri"/>
        <family val="2"/>
      </rPr>
      <t>/gallon) × MT/kg × GWP CO</t>
    </r>
    <r>
      <rPr>
        <i/>
        <vertAlign val="subscript"/>
        <sz val="11"/>
        <color theme="1"/>
        <rFont val="Calibri"/>
        <family val="2"/>
      </rPr>
      <t>2</t>
    </r>
    <r>
      <rPr>
        <i/>
        <sz val="11"/>
        <color theme="1"/>
        <rFont val="Calibri"/>
        <family val="2"/>
      </rPr>
      <t xml:space="preserve">  [people × (1/people) × miles/day 
                                            × gal/mile × kg CO</t>
    </r>
    <r>
      <rPr>
        <i/>
        <vertAlign val="subscript"/>
        <sz val="11"/>
        <color theme="1"/>
        <rFont val="Calibri"/>
        <family val="2"/>
      </rPr>
      <t>2</t>
    </r>
    <r>
      <rPr>
        <i/>
        <sz val="11"/>
        <color theme="1"/>
        <rFont val="Calibri"/>
        <family val="2"/>
      </rPr>
      <t>/gal × MT/kg = MT CO</t>
    </r>
    <r>
      <rPr>
        <i/>
        <vertAlign val="subscript"/>
        <sz val="11"/>
        <color theme="1"/>
        <rFont val="Calibri"/>
        <family val="2"/>
      </rPr>
      <t>2</t>
    </r>
    <r>
      <rPr>
        <i/>
        <sz val="11"/>
        <color theme="1"/>
        <rFont val="Calibri"/>
        <family val="2"/>
      </rPr>
      <t>/day]</t>
    </r>
  </si>
  <si>
    <r>
      <t>CO</t>
    </r>
    <r>
      <rPr>
        <vertAlign val="subscript"/>
        <sz val="11"/>
        <color theme="1"/>
        <rFont val="Calibri"/>
        <family val="2"/>
        <scheme val="minor"/>
      </rPr>
      <t>2</t>
    </r>
    <r>
      <rPr>
        <sz val="11"/>
        <color theme="1"/>
        <rFont val="Calibri"/>
        <family val="2"/>
        <scheme val="minor"/>
      </rPr>
      <t xml:space="preserve"> Emission Factor (kg/gal)</t>
    </r>
  </si>
  <si>
    <t>mpg</t>
  </si>
  <si>
    <t>People/Mode</t>
  </si>
  <si>
    <r>
      <t>Annual CO</t>
    </r>
    <r>
      <rPr>
        <b/>
        <vertAlign val="subscript"/>
        <sz val="11"/>
        <color theme="1"/>
        <rFont val="Calibri"/>
        <family val="2"/>
        <scheme val="minor"/>
      </rPr>
      <t>2</t>
    </r>
    <r>
      <rPr>
        <b/>
        <sz val="11"/>
        <color theme="1"/>
        <rFont val="Calibri"/>
        <family val="2"/>
        <scheme val="minor"/>
      </rPr>
      <t xml:space="preserve"> Emissions by Department and Mode</t>
    </r>
  </si>
  <si>
    <r>
      <t>Annual CO</t>
    </r>
    <r>
      <rPr>
        <i/>
        <vertAlign val="subscript"/>
        <sz val="11"/>
        <color theme="1"/>
        <rFont val="Calibri"/>
        <family val="2"/>
        <scheme val="minor"/>
      </rPr>
      <t>2</t>
    </r>
    <r>
      <rPr>
        <i/>
        <sz val="11"/>
        <color theme="1"/>
        <rFont val="Calibri"/>
        <family val="2"/>
        <scheme val="minor"/>
      </rPr>
      <t xml:space="preserve"> Emissions (MT) = MT CO</t>
    </r>
    <r>
      <rPr>
        <i/>
        <vertAlign val="subscript"/>
        <sz val="11"/>
        <color theme="1"/>
        <rFont val="Calibri"/>
        <family val="2"/>
        <scheme val="minor"/>
      </rPr>
      <t>2</t>
    </r>
    <r>
      <rPr>
        <i/>
        <sz val="11"/>
        <color theme="1"/>
        <rFont val="Calibri"/>
        <family val="2"/>
        <scheme val="minor"/>
      </rPr>
      <t>/commute day × commute days/yr</t>
    </r>
  </si>
  <si>
    <t>Community Greenhouse Gas Inventory Tool</t>
  </si>
  <si>
    <t xml:space="preserve">Market-based Electricity Use - Calculation &amp; Summary </t>
  </si>
  <si>
    <r>
      <t>CO</t>
    </r>
    <r>
      <rPr>
        <u/>
        <vertAlign val="subscript"/>
        <sz val="11"/>
        <color indexed="12"/>
        <rFont val="Calibri"/>
        <family val="2"/>
        <scheme val="minor"/>
      </rPr>
      <t>2</t>
    </r>
    <r>
      <rPr>
        <u/>
        <sz val="11"/>
        <color indexed="12"/>
        <rFont val="Calibri"/>
        <family val="2"/>
        <scheme val="minor"/>
      </rPr>
      <t xml:space="preserve"> emissions by contractual instrument</t>
    </r>
  </si>
  <si>
    <r>
      <t>CH</t>
    </r>
    <r>
      <rPr>
        <u/>
        <vertAlign val="subscript"/>
        <sz val="11"/>
        <color indexed="12"/>
        <rFont val="Calibri"/>
        <family val="2"/>
        <scheme val="minor"/>
      </rPr>
      <t>4</t>
    </r>
    <r>
      <rPr>
        <u/>
        <sz val="11"/>
        <color indexed="12"/>
        <rFont val="Calibri"/>
        <family val="2"/>
        <scheme val="minor"/>
      </rPr>
      <t xml:space="preserve"> emissions by contractual instrument</t>
    </r>
  </si>
  <si>
    <r>
      <t>N</t>
    </r>
    <r>
      <rPr>
        <u/>
        <vertAlign val="subscript"/>
        <sz val="11"/>
        <color indexed="12"/>
        <rFont val="Calibri"/>
        <family val="2"/>
        <scheme val="minor"/>
      </rPr>
      <t>2</t>
    </r>
    <r>
      <rPr>
        <u/>
        <sz val="11"/>
        <color indexed="12"/>
        <rFont val="Calibri"/>
        <family val="2"/>
        <scheme val="minor"/>
      </rPr>
      <t>O emissions by contractual instrument</t>
    </r>
  </si>
  <si>
    <r>
      <t>Emissions by Sector (in MT CO</t>
    </r>
    <r>
      <rPr>
        <b/>
        <vertAlign val="subscript"/>
        <sz val="12"/>
        <color theme="1"/>
        <rFont val="Calibri"/>
        <family val="2"/>
        <scheme val="minor"/>
      </rPr>
      <t>2</t>
    </r>
    <r>
      <rPr>
        <b/>
        <sz val="12"/>
        <color theme="1"/>
        <rFont val="Calibri"/>
        <family val="2"/>
        <scheme val="minor"/>
      </rPr>
      <t>e)</t>
    </r>
  </si>
  <si>
    <t>Grid-Supplied kWh</t>
  </si>
  <si>
    <t>Contractual Instrument kWh</t>
  </si>
  <si>
    <t>Market-Based kWh</t>
  </si>
  <si>
    <t>Contractual Instrument Calculations</t>
  </si>
  <si>
    <r>
      <t>CO</t>
    </r>
    <r>
      <rPr>
        <b/>
        <vertAlign val="subscript"/>
        <sz val="11"/>
        <color theme="1"/>
        <rFont val="Calibri"/>
        <family val="2"/>
        <scheme val="minor"/>
      </rPr>
      <t>2</t>
    </r>
    <r>
      <rPr>
        <b/>
        <sz val="11"/>
        <color theme="1"/>
        <rFont val="Calibri"/>
        <family val="2"/>
        <scheme val="minor"/>
      </rPr>
      <t xml:space="preserve"> Emissions by Contractual Instrument </t>
    </r>
  </si>
  <si>
    <r>
      <t>Emissions = Electricity Consumed (kWh) × Contractual Instrument Emissions Factor (lb CO</t>
    </r>
    <r>
      <rPr>
        <i/>
        <vertAlign val="subscript"/>
        <sz val="11"/>
        <color theme="1"/>
        <rFont val="Calibri"/>
        <family val="2"/>
        <scheme val="minor"/>
      </rPr>
      <t>2</t>
    </r>
    <r>
      <rPr>
        <i/>
        <sz val="11"/>
        <color theme="1"/>
        <rFont val="Calibri"/>
        <family val="2"/>
        <scheme val="minor"/>
      </rPr>
      <t>/MWh) × MWh/kWh × MT/lb × CO</t>
    </r>
    <r>
      <rPr>
        <i/>
        <vertAlign val="subscript"/>
        <sz val="11"/>
        <color theme="1"/>
        <rFont val="Calibri"/>
        <family val="2"/>
        <scheme val="minor"/>
      </rPr>
      <t>2</t>
    </r>
    <r>
      <rPr>
        <i/>
        <sz val="11"/>
        <color theme="1"/>
        <rFont val="Calibri"/>
        <family val="2"/>
        <scheme val="minor"/>
      </rPr>
      <t xml:space="preserve"> GWP</t>
    </r>
  </si>
  <si>
    <r>
      <t>EF (lb CO</t>
    </r>
    <r>
      <rPr>
        <b/>
        <vertAlign val="subscript"/>
        <sz val="11"/>
        <color theme="1"/>
        <rFont val="Calibri"/>
        <family val="2"/>
        <scheme val="minor"/>
      </rPr>
      <t>2</t>
    </r>
    <r>
      <rPr>
        <b/>
        <sz val="11"/>
        <color theme="1"/>
        <rFont val="Calibri"/>
        <family val="2"/>
        <scheme val="minor"/>
      </rPr>
      <t>/MWh)</t>
    </r>
  </si>
  <si>
    <r>
      <t>CH</t>
    </r>
    <r>
      <rPr>
        <b/>
        <vertAlign val="subscript"/>
        <sz val="11"/>
        <color theme="1"/>
        <rFont val="Calibri"/>
        <family val="2"/>
        <scheme val="minor"/>
      </rPr>
      <t>4</t>
    </r>
    <r>
      <rPr>
        <b/>
        <sz val="11"/>
        <color theme="1"/>
        <rFont val="Calibri"/>
        <family val="2"/>
        <scheme val="minor"/>
      </rPr>
      <t xml:space="preserve"> Emissions by Contractual Instrument</t>
    </r>
  </si>
  <si>
    <r>
      <t>Emissions = Electricity Consumed (kWh) × Contractual Instrument Emissions Factor (lb CH</t>
    </r>
    <r>
      <rPr>
        <i/>
        <vertAlign val="subscript"/>
        <sz val="11"/>
        <color theme="1"/>
        <rFont val="Calibri"/>
        <family val="2"/>
        <scheme val="minor"/>
      </rPr>
      <t>4</t>
    </r>
    <r>
      <rPr>
        <i/>
        <sz val="11"/>
        <color theme="1"/>
        <rFont val="Calibri"/>
        <family val="2"/>
        <scheme val="minor"/>
      </rPr>
      <t>/MWh) × MWh/kWh × MT/lb × CH</t>
    </r>
    <r>
      <rPr>
        <i/>
        <vertAlign val="subscript"/>
        <sz val="11"/>
        <color theme="1"/>
        <rFont val="Calibri"/>
        <family val="2"/>
        <scheme val="minor"/>
      </rPr>
      <t>4</t>
    </r>
    <r>
      <rPr>
        <i/>
        <sz val="11"/>
        <color theme="1"/>
        <rFont val="Calibri"/>
        <family val="2"/>
        <scheme val="minor"/>
      </rPr>
      <t xml:space="preserve"> GWP</t>
    </r>
  </si>
  <si>
    <r>
      <t>EF (lb CH</t>
    </r>
    <r>
      <rPr>
        <b/>
        <vertAlign val="subscript"/>
        <sz val="11"/>
        <color theme="1"/>
        <rFont val="Calibri"/>
        <family val="2"/>
        <scheme val="minor"/>
      </rPr>
      <t>4</t>
    </r>
    <r>
      <rPr>
        <b/>
        <sz val="11"/>
        <color theme="1"/>
        <rFont val="Calibri"/>
        <family val="2"/>
        <scheme val="minor"/>
      </rPr>
      <t>/MWh)</t>
    </r>
  </si>
  <si>
    <r>
      <t>N</t>
    </r>
    <r>
      <rPr>
        <b/>
        <vertAlign val="subscript"/>
        <sz val="11"/>
        <color theme="1"/>
        <rFont val="Calibri"/>
        <family val="2"/>
        <scheme val="minor"/>
      </rPr>
      <t>2</t>
    </r>
    <r>
      <rPr>
        <b/>
        <sz val="11"/>
        <color theme="1"/>
        <rFont val="Calibri"/>
        <family val="2"/>
        <scheme val="minor"/>
      </rPr>
      <t>O Emissions by Contractual Instrument</t>
    </r>
  </si>
  <si>
    <r>
      <t>Emissions = Electricity Consumed (kWh) × Contractual Instrument Emissions Factor (lb N</t>
    </r>
    <r>
      <rPr>
        <i/>
        <vertAlign val="subscript"/>
        <sz val="11"/>
        <color theme="1"/>
        <rFont val="Calibri"/>
        <family val="2"/>
        <scheme val="minor"/>
      </rPr>
      <t>2</t>
    </r>
    <r>
      <rPr>
        <i/>
        <sz val="11"/>
        <color theme="1"/>
        <rFont val="Calibri"/>
        <family val="2"/>
        <scheme val="minor"/>
      </rPr>
      <t>O/MWh) × MWh/kWh × MT/lb × N</t>
    </r>
    <r>
      <rPr>
        <i/>
        <vertAlign val="subscript"/>
        <sz val="11"/>
        <color theme="1"/>
        <rFont val="Calibri"/>
        <family val="2"/>
        <scheme val="minor"/>
      </rPr>
      <t>2</t>
    </r>
    <r>
      <rPr>
        <i/>
        <sz val="11"/>
        <color theme="1"/>
        <rFont val="Calibri"/>
        <family val="2"/>
        <scheme val="minor"/>
      </rPr>
      <t>O GWP</t>
    </r>
  </si>
  <si>
    <r>
      <t>EF (lb N</t>
    </r>
    <r>
      <rPr>
        <b/>
        <vertAlign val="subscript"/>
        <sz val="11"/>
        <color theme="1"/>
        <rFont val="Calibri"/>
        <family val="2"/>
        <scheme val="minor"/>
      </rPr>
      <t>2</t>
    </r>
    <r>
      <rPr>
        <b/>
        <sz val="11"/>
        <color theme="1"/>
        <rFont val="Calibri"/>
        <family val="2"/>
        <scheme val="minor"/>
      </rPr>
      <t>O/MWh)</t>
    </r>
  </si>
  <si>
    <t>Activity Data by Sector and Contractual Instrument</t>
  </si>
  <si>
    <r>
      <t>CO</t>
    </r>
    <r>
      <rPr>
        <b/>
        <vertAlign val="subscript"/>
        <sz val="11"/>
        <color theme="1"/>
        <rFont val="Calibri"/>
        <family val="2"/>
        <scheme val="minor"/>
      </rPr>
      <t>2</t>
    </r>
    <r>
      <rPr>
        <b/>
        <sz val="11"/>
        <color theme="1"/>
        <rFont val="Calibri"/>
        <family val="2"/>
        <scheme val="minor"/>
      </rPr>
      <t xml:space="preserve"> Emissions by Sector and Contractual Instrument</t>
    </r>
  </si>
  <si>
    <r>
      <t>Emissions = Electricity Consumed (kWh) × Emissions Factor (lb CO</t>
    </r>
    <r>
      <rPr>
        <i/>
        <vertAlign val="subscript"/>
        <sz val="11"/>
        <color theme="1"/>
        <rFont val="Calibri"/>
        <family val="2"/>
        <scheme val="minor"/>
      </rPr>
      <t>2</t>
    </r>
    <r>
      <rPr>
        <i/>
        <sz val="11"/>
        <color theme="1"/>
        <rFont val="Calibri"/>
        <family val="2"/>
        <scheme val="minor"/>
      </rPr>
      <t>/MWh) × MWh/kWh × MT/lb × CO</t>
    </r>
    <r>
      <rPr>
        <i/>
        <vertAlign val="subscript"/>
        <sz val="11"/>
        <color theme="1"/>
        <rFont val="Calibri"/>
        <family val="2"/>
        <scheme val="minor"/>
      </rPr>
      <t>2</t>
    </r>
    <r>
      <rPr>
        <i/>
        <sz val="11"/>
        <color theme="1"/>
        <rFont val="Calibri"/>
        <family val="2"/>
        <scheme val="minor"/>
      </rPr>
      <t xml:space="preserve"> GWP</t>
    </r>
  </si>
  <si>
    <r>
      <t>CH</t>
    </r>
    <r>
      <rPr>
        <b/>
        <vertAlign val="subscript"/>
        <sz val="11"/>
        <color theme="1"/>
        <rFont val="Calibri"/>
        <family val="2"/>
        <scheme val="minor"/>
      </rPr>
      <t>4</t>
    </r>
    <r>
      <rPr>
        <b/>
        <sz val="11"/>
        <color theme="1"/>
        <rFont val="Calibri"/>
        <family val="2"/>
        <scheme val="minor"/>
      </rPr>
      <t xml:space="preserve"> emissions by Sector and Contractual Instrument</t>
    </r>
  </si>
  <si>
    <r>
      <t>Emissions = Electricity Consumed (kWh) ×  Emissions Factor (lb CH</t>
    </r>
    <r>
      <rPr>
        <i/>
        <vertAlign val="subscript"/>
        <sz val="11"/>
        <color theme="1"/>
        <rFont val="Calibri"/>
        <family val="2"/>
        <scheme val="minor"/>
      </rPr>
      <t>4</t>
    </r>
    <r>
      <rPr>
        <i/>
        <sz val="11"/>
        <color theme="1"/>
        <rFont val="Calibri"/>
        <family val="2"/>
        <scheme val="minor"/>
      </rPr>
      <t>/kWh) × MWh/kWh × MT/lb × CH</t>
    </r>
    <r>
      <rPr>
        <i/>
        <vertAlign val="subscript"/>
        <sz val="11"/>
        <color theme="1"/>
        <rFont val="Calibri"/>
        <family val="2"/>
        <scheme val="minor"/>
      </rPr>
      <t>4</t>
    </r>
    <r>
      <rPr>
        <i/>
        <sz val="11"/>
        <color theme="1"/>
        <rFont val="Calibri"/>
        <family val="2"/>
        <scheme val="minor"/>
      </rPr>
      <t xml:space="preserve"> GWP</t>
    </r>
  </si>
  <si>
    <r>
      <t>N</t>
    </r>
    <r>
      <rPr>
        <b/>
        <vertAlign val="subscript"/>
        <sz val="11"/>
        <color theme="1"/>
        <rFont val="Calibri"/>
        <family val="2"/>
        <scheme val="minor"/>
      </rPr>
      <t>2</t>
    </r>
    <r>
      <rPr>
        <b/>
        <sz val="11"/>
        <color theme="1"/>
        <rFont val="Calibri"/>
        <family val="2"/>
        <scheme val="minor"/>
      </rPr>
      <t>O emissions by Sector and Contractual Instrument</t>
    </r>
  </si>
  <si>
    <r>
      <t>Emissions = Electricity Consumed (kWh) × Emissions Factor (lb N</t>
    </r>
    <r>
      <rPr>
        <i/>
        <vertAlign val="subscript"/>
        <sz val="11"/>
        <color theme="1"/>
        <rFont val="Calibri"/>
        <family val="2"/>
        <scheme val="minor"/>
      </rPr>
      <t>2</t>
    </r>
    <r>
      <rPr>
        <i/>
        <sz val="11"/>
        <color theme="1"/>
        <rFont val="Calibri"/>
        <family val="2"/>
        <scheme val="minor"/>
      </rPr>
      <t>O/kWh) × MWh/kWh × MT/lb × N</t>
    </r>
    <r>
      <rPr>
        <i/>
        <vertAlign val="subscript"/>
        <sz val="11"/>
        <color theme="1"/>
        <rFont val="Calibri"/>
        <family val="2"/>
        <scheme val="minor"/>
      </rPr>
      <t>2</t>
    </r>
    <r>
      <rPr>
        <i/>
        <sz val="11"/>
        <color theme="1"/>
        <rFont val="Calibri"/>
        <family val="2"/>
        <scheme val="minor"/>
      </rPr>
      <t>O GWP</t>
    </r>
  </si>
  <si>
    <t>Market-Based Calculations</t>
  </si>
  <si>
    <t>Electricity use data by sector and fuel type (kWh) with electricity from contractual instruments removed</t>
  </si>
  <si>
    <r>
      <t>Emissions = Electricity Consumed (kWh) × Utility Emissions Factor (lb CO</t>
    </r>
    <r>
      <rPr>
        <i/>
        <vertAlign val="subscript"/>
        <sz val="11"/>
        <color theme="1"/>
        <rFont val="Calibri"/>
        <family val="2"/>
        <scheme val="minor"/>
      </rPr>
      <t>2</t>
    </r>
    <r>
      <rPr>
        <i/>
        <sz val="11"/>
        <color theme="1"/>
        <rFont val="Calibri"/>
        <family val="2"/>
        <scheme val="minor"/>
      </rPr>
      <t>/MWh) × MWh/kWh × MT/lb × CO</t>
    </r>
    <r>
      <rPr>
        <i/>
        <vertAlign val="subscript"/>
        <sz val="11"/>
        <color theme="1"/>
        <rFont val="Calibri"/>
        <family val="2"/>
        <scheme val="minor"/>
      </rPr>
      <t>2</t>
    </r>
    <r>
      <rPr>
        <i/>
        <sz val="11"/>
        <color theme="1"/>
        <rFont val="Calibri"/>
        <family val="2"/>
        <scheme val="minor"/>
      </rPr>
      <t xml:space="preserve"> GWP</t>
    </r>
  </si>
  <si>
    <r>
      <t>CH</t>
    </r>
    <r>
      <rPr>
        <b/>
        <vertAlign val="subscript"/>
        <sz val="11"/>
        <color theme="1"/>
        <rFont val="Calibri"/>
        <family val="2"/>
        <scheme val="minor"/>
      </rPr>
      <t>4</t>
    </r>
    <r>
      <rPr>
        <b/>
        <sz val="11"/>
        <color theme="1"/>
        <rFont val="Calibri"/>
        <family val="2"/>
        <scheme val="minor"/>
      </rPr>
      <t xml:space="preserve"> emissions by Sector and Utility</t>
    </r>
  </si>
  <si>
    <r>
      <t>Emissions = Electricity Consumed (kWh) × Utility Emissions Factor (lb CH</t>
    </r>
    <r>
      <rPr>
        <i/>
        <vertAlign val="subscript"/>
        <sz val="11"/>
        <color theme="1"/>
        <rFont val="Calibri"/>
        <family val="2"/>
        <scheme val="minor"/>
      </rPr>
      <t>4</t>
    </r>
    <r>
      <rPr>
        <i/>
        <sz val="11"/>
        <color theme="1"/>
        <rFont val="Calibri"/>
        <family val="2"/>
        <scheme val="minor"/>
      </rPr>
      <t>/kWh) × MWh/kWh × MT/lb × CH</t>
    </r>
    <r>
      <rPr>
        <i/>
        <vertAlign val="subscript"/>
        <sz val="11"/>
        <color theme="1"/>
        <rFont val="Calibri"/>
        <family val="2"/>
        <scheme val="minor"/>
      </rPr>
      <t>4</t>
    </r>
    <r>
      <rPr>
        <i/>
        <sz val="11"/>
        <color theme="1"/>
        <rFont val="Calibri"/>
        <family val="2"/>
        <scheme val="minor"/>
      </rPr>
      <t xml:space="preserve"> GWP</t>
    </r>
  </si>
  <si>
    <r>
      <t>N</t>
    </r>
    <r>
      <rPr>
        <b/>
        <vertAlign val="subscript"/>
        <sz val="11"/>
        <color theme="1"/>
        <rFont val="Calibri"/>
        <family val="2"/>
        <scheme val="minor"/>
      </rPr>
      <t>2</t>
    </r>
    <r>
      <rPr>
        <b/>
        <sz val="11"/>
        <color theme="1"/>
        <rFont val="Calibri"/>
        <family val="2"/>
        <scheme val="minor"/>
      </rPr>
      <t>O emissions by Sector and Utility</t>
    </r>
  </si>
  <si>
    <r>
      <t>Emissions = Electricity Consumed (kWh) × Utility Emissions Factor (lb N</t>
    </r>
    <r>
      <rPr>
        <i/>
        <vertAlign val="subscript"/>
        <sz val="11"/>
        <color theme="1"/>
        <rFont val="Calibri"/>
        <family val="2"/>
        <scheme val="minor"/>
      </rPr>
      <t>2</t>
    </r>
    <r>
      <rPr>
        <i/>
        <sz val="11"/>
        <color theme="1"/>
        <rFont val="Calibri"/>
        <family val="2"/>
        <scheme val="minor"/>
      </rPr>
      <t>O/kWh) × MWh/kWh × MT/lb × N</t>
    </r>
    <r>
      <rPr>
        <i/>
        <vertAlign val="subscript"/>
        <sz val="11"/>
        <color theme="1"/>
        <rFont val="Calibri"/>
        <family val="2"/>
        <scheme val="minor"/>
      </rPr>
      <t>2</t>
    </r>
    <r>
      <rPr>
        <i/>
        <sz val="11"/>
        <color theme="1"/>
        <rFont val="Calibri"/>
        <family val="2"/>
        <scheme val="minor"/>
      </rPr>
      <t>O GWP</t>
    </r>
  </si>
  <si>
    <t>Data Entry and Calculations</t>
  </si>
  <si>
    <t>Please answer the following questions about your community's water use.</t>
  </si>
  <si>
    <t>1) Does your community import water?</t>
  </si>
  <si>
    <t>If no, then you have no Scope 3 emissions to calculate. Please enter any electricity or other energy use related to water on the appropriate Scope 1 tabs.</t>
  </si>
  <si>
    <t>2) What percent of  water comes from imported sources?</t>
  </si>
  <si>
    <t>Please enter the percent of water from imported, as opposed to local, sources. The percent of water from local sources will be computed automatically.</t>
  </si>
  <si>
    <t>% imported</t>
  </si>
  <si>
    <t>% local</t>
  </si>
  <si>
    <t>3) How much water is consumed by each sector?</t>
  </si>
  <si>
    <t>Please enter data in the yellow cells below.</t>
  </si>
  <si>
    <t>Water Use (gal)</t>
  </si>
  <si>
    <t>Water Emissions Summary</t>
  </si>
  <si>
    <r>
      <t>Water Consumption Emissions (MT CO</t>
    </r>
    <r>
      <rPr>
        <b/>
        <vertAlign val="subscript"/>
        <sz val="11"/>
        <color theme="1"/>
        <rFont val="Calibri"/>
        <family val="2"/>
        <scheme val="minor"/>
      </rPr>
      <t>2</t>
    </r>
    <r>
      <rPr>
        <b/>
        <sz val="11"/>
        <color theme="1"/>
        <rFont val="Calibri"/>
        <family val="2"/>
        <scheme val="minor"/>
      </rPr>
      <t>e)</t>
    </r>
  </si>
  <si>
    <t>Total Emissions from Water Consumption</t>
  </si>
  <si>
    <t>Check to display:</t>
  </si>
  <si>
    <t>water</t>
  </si>
  <si>
    <t xml:space="preserve">Check to Display: </t>
  </si>
  <si>
    <t>Imported Water Consumption by Sector</t>
  </si>
  <si>
    <r>
      <t xml:space="preserve">Imported Water (gallons) = Total Water Consumption (gal) </t>
    </r>
    <r>
      <rPr>
        <sz val="11"/>
        <color theme="1"/>
        <rFont val="Calibri"/>
        <family val="2"/>
      </rPr>
      <t>×</t>
    </r>
    <r>
      <rPr>
        <i/>
        <sz val="11"/>
        <color theme="1"/>
        <rFont val="Calibri"/>
        <family val="2"/>
      </rPr>
      <t xml:space="preserve"> Percent of Water Imported</t>
    </r>
  </si>
  <si>
    <t>Imported Water by Sector (gallons)</t>
  </si>
  <si>
    <t>Imported Water</t>
  </si>
  <si>
    <t>Emissions from Imported Water by Sector</t>
  </si>
  <si>
    <r>
      <t>CO</t>
    </r>
    <r>
      <rPr>
        <i/>
        <vertAlign val="subscript"/>
        <sz val="11"/>
        <color theme="1"/>
        <rFont val="Calibri"/>
        <family val="2"/>
        <scheme val="minor"/>
      </rPr>
      <t>2</t>
    </r>
    <r>
      <rPr>
        <i/>
        <sz val="11"/>
        <color theme="1"/>
        <rFont val="Calibri"/>
        <family val="2"/>
        <scheme val="minor"/>
      </rPr>
      <t xml:space="preserve"> Emissions (MT CO</t>
    </r>
    <r>
      <rPr>
        <i/>
        <vertAlign val="subscript"/>
        <sz val="11"/>
        <color theme="1"/>
        <rFont val="Calibri"/>
        <family val="2"/>
        <scheme val="minor"/>
      </rPr>
      <t>2</t>
    </r>
    <r>
      <rPr>
        <i/>
        <sz val="11"/>
        <color theme="1"/>
        <rFont val="Calibri"/>
        <family val="2"/>
        <scheme val="minor"/>
      </rPr>
      <t xml:space="preserve">e) = Imported Water Consumed (gal) </t>
    </r>
    <r>
      <rPr>
        <sz val="11"/>
        <color theme="1"/>
        <rFont val="Calibri"/>
        <family val="2"/>
      </rPr>
      <t>×</t>
    </r>
    <r>
      <rPr>
        <i/>
        <sz val="11"/>
        <color theme="1"/>
        <rFont val="Calibri"/>
        <family val="2"/>
        <scheme val="minor"/>
      </rPr>
      <t xml:space="preserve"> Water Electricity Intensity (kWh/Mgal) × Electricity Emission Factor (lb CO</t>
    </r>
    <r>
      <rPr>
        <i/>
        <vertAlign val="subscript"/>
        <sz val="11"/>
        <color theme="1"/>
        <rFont val="Calibri"/>
        <family val="2"/>
        <scheme val="minor"/>
      </rPr>
      <t>2</t>
    </r>
    <r>
      <rPr>
        <i/>
        <sz val="11"/>
        <color theme="1"/>
        <rFont val="Calibri"/>
        <family val="2"/>
        <scheme val="minor"/>
      </rPr>
      <t>/MWH) × MG/gal × MT/lb × MWh/kWh × GWP CO</t>
    </r>
    <r>
      <rPr>
        <i/>
        <vertAlign val="subscript"/>
        <sz val="11"/>
        <color theme="1"/>
        <rFont val="Calibri"/>
        <family val="2"/>
        <scheme val="minor"/>
      </rPr>
      <t>2</t>
    </r>
  </si>
  <si>
    <r>
      <t>CO</t>
    </r>
    <r>
      <rPr>
        <b/>
        <vertAlign val="subscript"/>
        <sz val="11"/>
        <color theme="1"/>
        <rFont val="Calibri"/>
        <family val="2"/>
        <scheme val="minor"/>
      </rPr>
      <t>2</t>
    </r>
    <r>
      <rPr>
        <b/>
        <sz val="11"/>
        <color theme="1"/>
        <rFont val="Calibri"/>
        <family val="2"/>
        <scheme val="minor"/>
      </rPr>
      <t xml:space="preserve"> Emissions from Imported Water (MT CO</t>
    </r>
    <r>
      <rPr>
        <b/>
        <vertAlign val="subscript"/>
        <sz val="11"/>
        <color theme="1"/>
        <rFont val="Calibri"/>
        <family val="2"/>
        <scheme val="minor"/>
      </rPr>
      <t>2</t>
    </r>
    <r>
      <rPr>
        <b/>
        <sz val="11"/>
        <color theme="1"/>
        <rFont val="Calibri"/>
        <family val="2"/>
        <scheme val="minor"/>
      </rPr>
      <t>e)</t>
    </r>
  </si>
  <si>
    <t>Energy Intensity of Water (kWh/MG)</t>
  </si>
  <si>
    <t>EF (lb CO2/MWh)</t>
  </si>
  <si>
    <r>
      <t>CH</t>
    </r>
    <r>
      <rPr>
        <i/>
        <vertAlign val="subscript"/>
        <sz val="11"/>
        <color theme="1"/>
        <rFont val="Calibri"/>
        <family val="2"/>
        <scheme val="minor"/>
      </rPr>
      <t>4</t>
    </r>
    <r>
      <rPr>
        <i/>
        <sz val="11"/>
        <color theme="1"/>
        <rFont val="Calibri"/>
        <family val="2"/>
        <scheme val="minor"/>
      </rPr>
      <t xml:space="preserve"> Emissions (MT CO</t>
    </r>
    <r>
      <rPr>
        <i/>
        <vertAlign val="subscript"/>
        <sz val="11"/>
        <color theme="1"/>
        <rFont val="Calibri"/>
        <family val="2"/>
        <scheme val="minor"/>
      </rPr>
      <t>2</t>
    </r>
    <r>
      <rPr>
        <i/>
        <sz val="11"/>
        <color theme="1"/>
        <rFont val="Calibri"/>
        <family val="2"/>
        <scheme val="minor"/>
      </rPr>
      <t xml:space="preserve">e) = Imported Water Consumed (gal) </t>
    </r>
    <r>
      <rPr>
        <sz val="11"/>
        <color theme="1"/>
        <rFont val="Calibri"/>
        <family val="2"/>
      </rPr>
      <t>×</t>
    </r>
    <r>
      <rPr>
        <i/>
        <sz val="11"/>
        <color theme="1"/>
        <rFont val="Calibri"/>
        <family val="2"/>
        <scheme val="minor"/>
      </rPr>
      <t xml:space="preserve"> Water Electricity Intensity (kWh/Mgal) × Electricity Emission Factor (lb CH</t>
    </r>
    <r>
      <rPr>
        <i/>
        <vertAlign val="subscript"/>
        <sz val="11"/>
        <color theme="1"/>
        <rFont val="Calibri"/>
        <family val="2"/>
        <scheme val="minor"/>
      </rPr>
      <t>4</t>
    </r>
    <r>
      <rPr>
        <i/>
        <sz val="11"/>
        <color theme="1"/>
        <rFont val="Calibri"/>
        <family val="2"/>
        <scheme val="minor"/>
      </rPr>
      <t>/MWH) × MG/gal × MT/lb × MWh/kWh × GWP CH</t>
    </r>
    <r>
      <rPr>
        <i/>
        <vertAlign val="subscript"/>
        <sz val="11"/>
        <color theme="1"/>
        <rFont val="Calibri"/>
        <family val="2"/>
        <scheme val="minor"/>
      </rPr>
      <t>4</t>
    </r>
  </si>
  <si>
    <r>
      <t>CH</t>
    </r>
    <r>
      <rPr>
        <b/>
        <vertAlign val="subscript"/>
        <sz val="11"/>
        <color theme="1"/>
        <rFont val="Calibri"/>
        <family val="2"/>
        <scheme val="minor"/>
      </rPr>
      <t>4</t>
    </r>
    <r>
      <rPr>
        <b/>
        <sz val="11"/>
        <color theme="1"/>
        <rFont val="Calibri"/>
        <family val="2"/>
        <scheme val="minor"/>
      </rPr>
      <t xml:space="preserve"> Emissions from Imported Water (MT CO</t>
    </r>
    <r>
      <rPr>
        <b/>
        <vertAlign val="subscript"/>
        <sz val="11"/>
        <color theme="1"/>
        <rFont val="Calibri"/>
        <family val="2"/>
        <scheme val="minor"/>
      </rPr>
      <t>2</t>
    </r>
    <r>
      <rPr>
        <b/>
        <sz val="11"/>
        <color theme="1"/>
        <rFont val="Calibri"/>
        <family val="2"/>
        <scheme val="minor"/>
      </rPr>
      <t>e)</t>
    </r>
  </si>
  <si>
    <r>
      <t>EF (lb CH</t>
    </r>
    <r>
      <rPr>
        <vertAlign val="subscript"/>
        <sz val="11"/>
        <color theme="1"/>
        <rFont val="Calibri"/>
        <family val="2"/>
        <scheme val="minor"/>
      </rPr>
      <t>4</t>
    </r>
    <r>
      <rPr>
        <sz val="11"/>
        <color theme="1"/>
        <rFont val="Calibri"/>
        <family val="2"/>
        <scheme val="minor"/>
      </rPr>
      <t>/MWh)</t>
    </r>
  </si>
  <si>
    <r>
      <t>N</t>
    </r>
    <r>
      <rPr>
        <i/>
        <vertAlign val="subscript"/>
        <sz val="11"/>
        <color theme="1"/>
        <rFont val="Calibri"/>
        <family val="2"/>
        <scheme val="minor"/>
      </rPr>
      <t>2</t>
    </r>
    <r>
      <rPr>
        <i/>
        <sz val="11"/>
        <color theme="1"/>
        <rFont val="Calibri"/>
        <family val="2"/>
        <scheme val="minor"/>
      </rPr>
      <t>O Emissions (MT CO</t>
    </r>
    <r>
      <rPr>
        <i/>
        <vertAlign val="subscript"/>
        <sz val="11"/>
        <color theme="1"/>
        <rFont val="Calibri"/>
        <family val="2"/>
        <scheme val="minor"/>
      </rPr>
      <t>2</t>
    </r>
    <r>
      <rPr>
        <i/>
        <sz val="11"/>
        <color theme="1"/>
        <rFont val="Calibri"/>
        <family val="2"/>
        <scheme val="minor"/>
      </rPr>
      <t xml:space="preserve">e) = Imported Water Consumed (gal) </t>
    </r>
    <r>
      <rPr>
        <sz val="11"/>
        <color theme="1"/>
        <rFont val="Calibri"/>
        <family val="2"/>
      </rPr>
      <t>×</t>
    </r>
    <r>
      <rPr>
        <i/>
        <sz val="11"/>
        <color theme="1"/>
        <rFont val="Calibri"/>
        <family val="2"/>
        <scheme val="minor"/>
      </rPr>
      <t xml:space="preserve"> Water Electricity Intensity (kWh/Mgal) × Electricity Emission Factor (lb N</t>
    </r>
    <r>
      <rPr>
        <i/>
        <vertAlign val="subscript"/>
        <sz val="11"/>
        <color theme="1"/>
        <rFont val="Calibri"/>
        <family val="2"/>
        <scheme val="minor"/>
      </rPr>
      <t>2</t>
    </r>
    <r>
      <rPr>
        <i/>
        <sz val="11"/>
        <color theme="1"/>
        <rFont val="Calibri"/>
        <family val="2"/>
        <scheme val="minor"/>
      </rPr>
      <t>O/MWH) × MG/gal × MT/lb × MWh/kWh × GWP N</t>
    </r>
    <r>
      <rPr>
        <i/>
        <vertAlign val="subscript"/>
        <sz val="11"/>
        <color theme="1"/>
        <rFont val="Calibri"/>
        <family val="2"/>
        <scheme val="minor"/>
      </rPr>
      <t>2</t>
    </r>
    <r>
      <rPr>
        <i/>
        <sz val="11"/>
        <color theme="1"/>
        <rFont val="Calibri"/>
        <family val="2"/>
        <scheme val="minor"/>
      </rPr>
      <t>O</t>
    </r>
  </si>
  <si>
    <r>
      <t>N</t>
    </r>
    <r>
      <rPr>
        <b/>
        <vertAlign val="subscript"/>
        <sz val="11"/>
        <color theme="1"/>
        <rFont val="Calibri"/>
        <family val="2"/>
        <scheme val="minor"/>
      </rPr>
      <t>2</t>
    </r>
    <r>
      <rPr>
        <b/>
        <sz val="11"/>
        <color theme="1"/>
        <rFont val="Calibri"/>
        <family val="2"/>
        <scheme val="minor"/>
      </rPr>
      <t>O Emissions from Imported Water (MT CO</t>
    </r>
    <r>
      <rPr>
        <b/>
        <vertAlign val="subscript"/>
        <sz val="11"/>
        <color theme="1"/>
        <rFont val="Calibri"/>
        <family val="2"/>
        <scheme val="minor"/>
      </rPr>
      <t>2</t>
    </r>
    <r>
      <rPr>
        <b/>
        <sz val="11"/>
        <color theme="1"/>
        <rFont val="Calibri"/>
        <family val="2"/>
        <scheme val="minor"/>
      </rPr>
      <t>e)</t>
    </r>
  </si>
  <si>
    <r>
      <t>EF (lb N</t>
    </r>
    <r>
      <rPr>
        <vertAlign val="subscript"/>
        <sz val="11"/>
        <color theme="1"/>
        <rFont val="Calibri"/>
        <family val="2"/>
        <scheme val="minor"/>
      </rPr>
      <t>2</t>
    </r>
    <r>
      <rPr>
        <sz val="11"/>
        <color theme="1"/>
        <rFont val="Calibri"/>
        <family val="2"/>
        <scheme val="minor"/>
      </rPr>
      <t>O/MWh)</t>
    </r>
  </si>
  <si>
    <t>Total Emissions by Import Source</t>
  </si>
  <si>
    <t>1. Enter Fertilizer Consumption Data for Each Sector.</t>
  </si>
  <si>
    <t>Please enter the amount of synthetic, organic, or manure fertilizer applied.</t>
  </si>
  <si>
    <t>Synthetic 
(short tons N)</t>
  </si>
  <si>
    <t>Organic 
(short tons)</t>
  </si>
  <si>
    <t>Manure 
(short tons)</t>
  </si>
  <si>
    <t>Fertilizer Emissions Summary</t>
  </si>
  <si>
    <r>
      <t>Fertilizer Application Emissions (MT CO</t>
    </r>
    <r>
      <rPr>
        <b/>
        <vertAlign val="subscript"/>
        <sz val="11"/>
        <color theme="1"/>
        <rFont val="Calibri"/>
        <family val="2"/>
        <scheme val="minor"/>
      </rPr>
      <t>2</t>
    </r>
    <r>
      <rPr>
        <b/>
        <sz val="11"/>
        <color theme="1"/>
        <rFont val="Calibri"/>
        <family val="2"/>
        <scheme val="minor"/>
      </rPr>
      <t>e)</t>
    </r>
  </si>
  <si>
    <r>
      <t>Synthetic N</t>
    </r>
    <r>
      <rPr>
        <b/>
        <vertAlign val="subscript"/>
        <sz val="11"/>
        <color theme="1"/>
        <rFont val="Calibri"/>
        <family val="2"/>
        <scheme val="minor"/>
      </rPr>
      <t>2</t>
    </r>
    <r>
      <rPr>
        <b/>
        <sz val="11"/>
        <color theme="1"/>
        <rFont val="Calibri"/>
        <family val="2"/>
        <scheme val="minor"/>
      </rPr>
      <t>O</t>
    </r>
  </si>
  <si>
    <r>
      <t>Organic N</t>
    </r>
    <r>
      <rPr>
        <b/>
        <vertAlign val="subscript"/>
        <sz val="11"/>
        <color theme="1"/>
        <rFont val="Calibri"/>
        <family val="2"/>
        <scheme val="minor"/>
      </rPr>
      <t>2</t>
    </r>
    <r>
      <rPr>
        <b/>
        <sz val="11"/>
        <color theme="1"/>
        <rFont val="Calibri"/>
        <family val="2"/>
        <scheme val="minor"/>
      </rPr>
      <t>O</t>
    </r>
  </si>
  <si>
    <r>
      <t>Manure N</t>
    </r>
    <r>
      <rPr>
        <b/>
        <vertAlign val="subscript"/>
        <sz val="11"/>
        <color theme="1"/>
        <rFont val="Calibri"/>
        <family val="2"/>
        <scheme val="minor"/>
      </rPr>
      <t>2</t>
    </r>
    <r>
      <rPr>
        <b/>
        <sz val="11"/>
        <color theme="1"/>
        <rFont val="Calibri"/>
        <family val="2"/>
        <scheme val="minor"/>
      </rPr>
      <t>O</t>
    </r>
  </si>
  <si>
    <t>Total Emissions from Fertilizer Application</t>
  </si>
  <si>
    <t>1. Enter Forestry Data</t>
  </si>
  <si>
    <t>Please enter the total urban area and percent of that area with tree cover below in your locality.</t>
  </si>
  <si>
    <r>
      <t>Total Urban Area (km</t>
    </r>
    <r>
      <rPr>
        <b/>
        <vertAlign val="superscript"/>
        <sz val="11"/>
        <color theme="1"/>
        <rFont val="Calibri"/>
        <family val="2"/>
        <scheme val="minor"/>
      </rPr>
      <t>2</t>
    </r>
    <r>
      <rPr>
        <b/>
        <sz val="11"/>
        <color theme="1"/>
        <rFont val="Calibri"/>
        <family val="2"/>
        <scheme val="minor"/>
      </rPr>
      <t>)</t>
    </r>
  </si>
  <si>
    <t>% Urban Area with Tree Cover</t>
  </si>
  <si>
    <t>Urban Forestry Carbon Sequestration Summary</t>
  </si>
  <si>
    <r>
      <t>Carbon Sequestered (MT CO</t>
    </r>
    <r>
      <rPr>
        <b/>
        <vertAlign val="subscript"/>
        <sz val="11"/>
        <color theme="1"/>
        <rFont val="Calibri"/>
        <family val="2"/>
        <scheme val="minor"/>
      </rPr>
      <t>2</t>
    </r>
    <r>
      <rPr>
        <b/>
        <sz val="11"/>
        <color theme="1"/>
        <rFont val="Calibri"/>
        <family val="2"/>
        <scheme val="minor"/>
      </rPr>
      <t>e)</t>
    </r>
  </si>
  <si>
    <t>Carbon Sequestration</t>
  </si>
  <si>
    <t>Total Sequestration from Urban Trees</t>
  </si>
  <si>
    <t>https://www.epa.gov/warm</t>
  </si>
  <si>
    <t xml:space="preserve">Please enter the results from EPA's WARM model here. </t>
  </si>
  <si>
    <t>Enter value from Baseline Waste Management Scenario.</t>
  </si>
  <si>
    <t>Solid Waste Emissions (Scope 3)</t>
  </si>
  <si>
    <t>Please also describe how you would like these emissions to be allocated by sector.</t>
  </si>
  <si>
    <t>For example, enter or estimate the percentage of total waste that comes from each sector.</t>
  </si>
  <si>
    <t>Contribution to Total Waste (%)</t>
  </si>
  <si>
    <t>1) Would you like to add any additional emission sources?</t>
  </si>
  <si>
    <t>Description</t>
  </si>
  <si>
    <t>Scope</t>
  </si>
  <si>
    <t>HFCs</t>
  </si>
  <si>
    <t>PFCs</t>
  </si>
  <si>
    <r>
      <t>SF</t>
    </r>
    <r>
      <rPr>
        <b/>
        <vertAlign val="subscript"/>
        <sz val="11"/>
        <color theme="1"/>
        <rFont val="Calibri"/>
        <family val="2"/>
        <scheme val="minor"/>
      </rPr>
      <t>6</t>
    </r>
  </si>
  <si>
    <t>Inventory Emissions Summary</t>
  </si>
  <si>
    <t>Scope 2 Emissions Selection:</t>
  </si>
  <si>
    <t>Market Based</t>
  </si>
  <si>
    <r>
      <t>Total MT CO</t>
    </r>
    <r>
      <rPr>
        <b/>
        <vertAlign val="subscript"/>
        <sz val="11"/>
        <color theme="1"/>
        <rFont val="Calibri"/>
        <family val="2"/>
        <scheme val="minor"/>
      </rPr>
      <t>2</t>
    </r>
    <r>
      <rPr>
        <b/>
        <sz val="11"/>
        <color theme="1"/>
        <rFont val="Calibri"/>
        <family val="2"/>
        <scheme val="minor"/>
      </rPr>
      <t>e</t>
    </r>
  </si>
  <si>
    <t>Percent of Total</t>
  </si>
  <si>
    <r>
      <t>CO</t>
    </r>
    <r>
      <rPr>
        <b/>
        <vertAlign val="subscript"/>
        <sz val="11"/>
        <color theme="0"/>
        <rFont val="Calibri"/>
        <family val="2"/>
        <scheme val="minor"/>
      </rPr>
      <t>2</t>
    </r>
  </si>
  <si>
    <r>
      <t>CH</t>
    </r>
    <r>
      <rPr>
        <b/>
        <vertAlign val="subscript"/>
        <sz val="11"/>
        <color theme="0"/>
        <rFont val="Calibri"/>
        <family val="2"/>
        <scheme val="minor"/>
      </rPr>
      <t>4</t>
    </r>
  </si>
  <si>
    <r>
      <t>N</t>
    </r>
    <r>
      <rPr>
        <b/>
        <vertAlign val="subscript"/>
        <sz val="11"/>
        <color theme="0"/>
        <rFont val="Calibri"/>
        <family val="2"/>
        <scheme val="minor"/>
      </rPr>
      <t>2</t>
    </r>
    <r>
      <rPr>
        <b/>
        <sz val="11"/>
        <color theme="0"/>
        <rFont val="Calibri"/>
        <family val="2"/>
        <scheme val="minor"/>
      </rPr>
      <t>O</t>
    </r>
  </si>
  <si>
    <r>
      <t>SF</t>
    </r>
    <r>
      <rPr>
        <b/>
        <vertAlign val="subscript"/>
        <sz val="11"/>
        <color theme="0"/>
        <rFont val="Calibri"/>
        <family val="2"/>
        <scheme val="minor"/>
      </rPr>
      <t>6</t>
    </r>
  </si>
  <si>
    <r>
      <t>Total MT CO</t>
    </r>
    <r>
      <rPr>
        <b/>
        <vertAlign val="subscript"/>
        <sz val="11"/>
        <color theme="0"/>
        <rFont val="Calibri"/>
        <family val="2"/>
        <scheme val="minor"/>
      </rPr>
      <t>2</t>
    </r>
    <r>
      <rPr>
        <b/>
        <sz val="11"/>
        <color theme="0"/>
        <rFont val="Calibri"/>
        <family val="2"/>
        <scheme val="minor"/>
      </rPr>
      <t>e</t>
    </r>
  </si>
  <si>
    <t>Scope 1</t>
  </si>
  <si>
    <t>Scope 2 - Location Based</t>
  </si>
  <si>
    <r>
      <rPr>
        <i/>
        <sz val="11"/>
        <color theme="1"/>
        <rFont val="Calibri"/>
        <family val="2"/>
        <scheme val="minor"/>
      </rPr>
      <t>Scope 2 - Market Based</t>
    </r>
    <r>
      <rPr>
        <sz val="11"/>
        <color theme="1"/>
        <rFont val="Calibri"/>
        <family val="2"/>
        <scheme val="minor"/>
      </rPr>
      <t xml:space="preserve">
</t>
    </r>
    <r>
      <rPr>
        <i/>
        <sz val="11"/>
        <color theme="1"/>
        <rFont val="Calibri"/>
        <family val="2"/>
        <scheme val="minor"/>
      </rPr>
      <t>(for informational purposes only)</t>
    </r>
  </si>
  <si>
    <t>Scope 3</t>
  </si>
  <si>
    <t>Total Gross Emissions</t>
  </si>
  <si>
    <t>Total Net Emissions</t>
  </si>
  <si>
    <r>
      <t>Emissions by Source (MT CO</t>
    </r>
    <r>
      <rPr>
        <b/>
        <vertAlign val="subscript"/>
        <sz val="12"/>
        <color theme="0"/>
        <rFont val="Calibri"/>
        <family val="2"/>
        <scheme val="minor"/>
      </rPr>
      <t>2</t>
    </r>
    <r>
      <rPr>
        <b/>
        <sz val="12"/>
        <color theme="0"/>
        <rFont val="Calibri"/>
        <family val="2"/>
        <scheme val="minor"/>
      </rPr>
      <t>e)</t>
    </r>
  </si>
  <si>
    <r>
      <t>Emissions by Source (MT CO</t>
    </r>
    <r>
      <rPr>
        <b/>
        <vertAlign val="subscript"/>
        <sz val="12"/>
        <color theme="1"/>
        <rFont val="Calibri"/>
        <family val="2"/>
        <scheme val="minor"/>
      </rPr>
      <t>2</t>
    </r>
    <r>
      <rPr>
        <b/>
        <sz val="12"/>
        <color theme="1"/>
        <rFont val="Calibri"/>
        <family val="2"/>
        <scheme val="minor"/>
      </rPr>
      <t>e)</t>
    </r>
  </si>
  <si>
    <t>Source</t>
  </si>
  <si>
    <t>-</t>
  </si>
  <si>
    <t>Solid Waste</t>
  </si>
  <si>
    <t>Wastewater Treatment</t>
  </si>
  <si>
    <t>2 - L</t>
  </si>
  <si>
    <t>Electricity - Location Based</t>
  </si>
  <si>
    <t>2 - M</t>
  </si>
  <si>
    <t>Electricity - Market Based 
(for informational purposes only)</t>
  </si>
  <si>
    <t>Ag &amp; :and Management</t>
  </si>
  <si>
    <t>Ag &amp; Land Management</t>
  </si>
  <si>
    <t>Waste Generation</t>
  </si>
  <si>
    <t>Total (Gross Emissions)</t>
  </si>
  <si>
    <t>Total (Net Emissions)</t>
  </si>
  <si>
    <t>Gross Emissions by Sector</t>
  </si>
  <si>
    <r>
      <t>Total (MT CO</t>
    </r>
    <r>
      <rPr>
        <b/>
        <vertAlign val="subscript"/>
        <sz val="11"/>
        <color theme="1"/>
        <rFont val="Calibri"/>
        <family val="2"/>
        <scheme val="minor"/>
      </rPr>
      <t>2</t>
    </r>
    <r>
      <rPr>
        <b/>
        <sz val="11"/>
        <color theme="1"/>
        <rFont val="Calibri"/>
        <family val="2"/>
        <scheme val="minor"/>
      </rPr>
      <t>e)</t>
    </r>
  </si>
  <si>
    <r>
      <t>Total Emissions by Sector and Source (MT CO</t>
    </r>
    <r>
      <rPr>
        <b/>
        <vertAlign val="subscript"/>
        <sz val="12"/>
        <color theme="1"/>
        <rFont val="Calibri"/>
        <family val="2"/>
        <scheme val="minor"/>
      </rPr>
      <t>2</t>
    </r>
    <r>
      <rPr>
        <b/>
        <sz val="12"/>
        <color theme="1"/>
        <rFont val="Calibri"/>
        <family val="2"/>
        <scheme val="minor"/>
      </rPr>
      <t>e)</t>
    </r>
  </si>
  <si>
    <t>Stationary</t>
  </si>
  <si>
    <t>Electricity</t>
  </si>
  <si>
    <t>Mobile</t>
  </si>
  <si>
    <t>Waste
water</t>
  </si>
  <si>
    <t>TOTAL GROSS</t>
  </si>
  <si>
    <t>TOTAL NET</t>
  </si>
  <si>
    <t>Total Emissions by Sector by Source</t>
  </si>
  <si>
    <t>Waste-water</t>
  </si>
  <si>
    <t>TOTAL Gross</t>
  </si>
  <si>
    <t>TOTAL Net</t>
  </si>
  <si>
    <t>SW</t>
  </si>
  <si>
    <t>WW</t>
  </si>
  <si>
    <t>Factors</t>
  </si>
  <si>
    <t>Unit Conversion Factors</t>
  </si>
  <si>
    <t>Multiply by</t>
  </si>
  <si>
    <t>kWh to MWh</t>
  </si>
  <si>
    <t>Legend:</t>
  </si>
  <si>
    <t>lbs to metric tons</t>
  </si>
  <si>
    <t>Hard-wired factor</t>
  </si>
  <si>
    <t>kg to metric tons</t>
  </si>
  <si>
    <t>Calculated factor</t>
  </si>
  <si>
    <t>g to kg</t>
  </si>
  <si>
    <t>lbs to MMT</t>
  </si>
  <si>
    <t>scf to mcf</t>
  </si>
  <si>
    <t>mcf_scf</t>
  </si>
  <si>
    <t>ft3 to m3</t>
  </si>
  <si>
    <t>Per Day to Per Year</t>
  </si>
  <si>
    <t>grams to  MT</t>
  </si>
  <si>
    <t>lbs to kg</t>
  </si>
  <si>
    <t>per Gallon to per MG</t>
  </si>
  <si>
    <r>
      <t>ft</t>
    </r>
    <r>
      <rPr>
        <vertAlign val="superscript"/>
        <sz val="11"/>
        <color theme="1"/>
        <rFont val="Calibri"/>
        <family val="2"/>
        <scheme val="minor"/>
      </rPr>
      <t xml:space="preserve">3 </t>
    </r>
    <r>
      <rPr>
        <sz val="11"/>
        <color theme="1"/>
        <rFont val="Calibri"/>
        <family val="2"/>
        <scheme val="minor"/>
      </rPr>
      <t>CH</t>
    </r>
    <r>
      <rPr>
        <vertAlign val="subscript"/>
        <sz val="11"/>
        <color theme="1"/>
        <rFont val="Calibri"/>
        <family val="2"/>
        <scheme val="minor"/>
      </rPr>
      <t>4</t>
    </r>
    <r>
      <rPr>
        <sz val="11"/>
        <color theme="1"/>
        <rFont val="Calibri"/>
        <family val="2"/>
        <scheme val="minor"/>
      </rPr>
      <t xml:space="preserve"> to MT CH</t>
    </r>
    <r>
      <rPr>
        <vertAlign val="subscript"/>
        <sz val="11"/>
        <color theme="1"/>
        <rFont val="Calibri"/>
        <family val="2"/>
        <scheme val="minor"/>
      </rPr>
      <t>4</t>
    </r>
  </si>
  <si>
    <t>mt/short ton</t>
  </si>
  <si>
    <r>
      <t>CO</t>
    </r>
    <r>
      <rPr>
        <vertAlign val="subscript"/>
        <sz val="11"/>
        <color theme="1"/>
        <rFont val="Calibri"/>
        <family val="2"/>
        <scheme val="minor"/>
      </rPr>
      <t>2</t>
    </r>
    <r>
      <rPr>
        <sz val="11"/>
        <color theme="1"/>
        <rFont val="Calibri"/>
        <family val="2"/>
        <scheme val="minor"/>
      </rPr>
      <t xml:space="preserve"> to CO</t>
    </r>
    <r>
      <rPr>
        <vertAlign val="subscript"/>
        <sz val="11"/>
        <color theme="1"/>
        <rFont val="Calibri"/>
        <family val="2"/>
        <scheme val="minor"/>
      </rPr>
      <t>2</t>
    </r>
    <r>
      <rPr>
        <sz val="11"/>
        <color theme="1"/>
        <rFont val="Calibri"/>
        <family val="2"/>
        <scheme val="minor"/>
      </rPr>
      <t>e</t>
    </r>
  </si>
  <si>
    <r>
      <t>* Following  revised reporting requirements under the UNFCCC, this tool presents CO</t>
    </r>
    <r>
      <rPr>
        <vertAlign val="subscript"/>
        <sz val="10"/>
        <color theme="1"/>
        <rFont val="Calibri"/>
        <family val="2"/>
        <scheme val="minor"/>
      </rPr>
      <t>2</t>
    </r>
    <r>
      <rPr>
        <sz val="10"/>
        <color theme="1"/>
        <rFont val="Calibri"/>
        <family val="2"/>
        <scheme val="minor"/>
      </rPr>
      <t xml:space="preserve"> equivalent values based on the IPCC Fifth Assessment Report (AR5) GWP values.</t>
    </r>
  </si>
  <si>
    <r>
      <t>CH</t>
    </r>
    <r>
      <rPr>
        <vertAlign val="subscript"/>
        <sz val="11"/>
        <color theme="1"/>
        <rFont val="Calibri"/>
        <family val="2"/>
        <scheme val="minor"/>
      </rPr>
      <t>4</t>
    </r>
    <r>
      <rPr>
        <sz val="11"/>
        <color theme="1"/>
        <rFont val="Calibri"/>
        <family val="2"/>
        <scheme val="minor"/>
      </rPr>
      <t xml:space="preserve"> to CO</t>
    </r>
    <r>
      <rPr>
        <vertAlign val="subscript"/>
        <sz val="11"/>
        <color theme="1"/>
        <rFont val="Calibri"/>
        <family val="2"/>
        <scheme val="minor"/>
      </rPr>
      <t>2</t>
    </r>
    <r>
      <rPr>
        <sz val="11"/>
        <color theme="1"/>
        <rFont val="Calibri"/>
        <family val="2"/>
        <scheme val="minor"/>
      </rPr>
      <t>e</t>
    </r>
  </si>
  <si>
    <r>
      <t>N</t>
    </r>
    <r>
      <rPr>
        <vertAlign val="subscript"/>
        <sz val="11"/>
        <color theme="1"/>
        <rFont val="Calibri"/>
        <family val="2"/>
        <scheme val="minor"/>
      </rPr>
      <t>2</t>
    </r>
    <r>
      <rPr>
        <sz val="11"/>
        <color theme="1"/>
        <rFont val="Calibri"/>
        <family val="2"/>
        <scheme val="minor"/>
      </rPr>
      <t>O to CO</t>
    </r>
    <r>
      <rPr>
        <vertAlign val="subscript"/>
        <sz val="11"/>
        <color theme="1"/>
        <rFont val="Calibri"/>
        <family val="2"/>
        <scheme val="minor"/>
      </rPr>
      <t>2</t>
    </r>
    <r>
      <rPr>
        <sz val="11"/>
        <color theme="1"/>
        <rFont val="Calibri"/>
        <family val="2"/>
        <scheme val="minor"/>
      </rPr>
      <t>e</t>
    </r>
  </si>
  <si>
    <t>Oil barrel to gallon</t>
  </si>
  <si>
    <t xml:space="preserve">C to CO2 </t>
  </si>
  <si>
    <t xml:space="preserve">Liters to gallon </t>
  </si>
  <si>
    <t>Stationary Fuel Factors</t>
  </si>
  <si>
    <t>Fuel Emission Factors</t>
  </si>
  <si>
    <r>
      <t>kg CO</t>
    </r>
    <r>
      <rPr>
        <vertAlign val="subscript"/>
        <sz val="11"/>
        <color theme="1"/>
        <rFont val="Calibri"/>
        <family val="2"/>
        <scheme val="minor"/>
      </rPr>
      <t>2</t>
    </r>
  </si>
  <si>
    <r>
      <t>kg CH</t>
    </r>
    <r>
      <rPr>
        <vertAlign val="subscript"/>
        <sz val="11"/>
        <color theme="1"/>
        <rFont val="Calibri"/>
        <family val="2"/>
        <scheme val="minor"/>
      </rPr>
      <t>4</t>
    </r>
  </si>
  <si>
    <r>
      <t>kg N</t>
    </r>
    <r>
      <rPr>
        <vertAlign val="subscript"/>
        <sz val="11"/>
        <color theme="1"/>
        <rFont val="Calibri"/>
        <family val="2"/>
        <scheme val="minor"/>
      </rPr>
      <t>2</t>
    </r>
    <r>
      <rPr>
        <sz val="11"/>
        <color theme="1"/>
        <rFont val="Calibri"/>
        <family val="2"/>
        <scheme val="minor"/>
      </rPr>
      <t>O</t>
    </r>
  </si>
  <si>
    <t>Selected Inventory Year</t>
  </si>
  <si>
    <t>Heat Content (MMBtu/unit)</t>
  </si>
  <si>
    <t xml:space="preserve">Annually variable heat content </t>
  </si>
  <si>
    <t xml:space="preserve">Annually variable carbon content </t>
  </si>
  <si>
    <r>
      <t xml:space="preserve">Emission Factors Per MMBtu </t>
    </r>
    <r>
      <rPr>
        <i/>
        <sz val="11"/>
        <color theme="1"/>
        <rFont val="Calibri"/>
        <family val="2"/>
        <scheme val="minor"/>
      </rPr>
      <t>(multiplied by heat content to determine emissions/unit)</t>
    </r>
  </si>
  <si>
    <t>kg/MMBtu</t>
  </si>
  <si>
    <t>MMBtu/Unit</t>
  </si>
  <si>
    <t>MMBtu/scf</t>
  </si>
  <si>
    <t>MMBtu/gal</t>
  </si>
  <si>
    <t>MMBtu/short ton</t>
  </si>
  <si>
    <t>Annually Variable Carbon Content Coefficients (MMT Carbon/Qbtu = kg C/MMBtu)</t>
  </si>
  <si>
    <t>Source: CO2 from Fossil Fuel Combustion, Inventory of U.S. Greenhouse Gas Sources and Sinks</t>
  </si>
  <si>
    <t>Annually Variable Heat Contents (MMBtu/Unit, see note)</t>
  </si>
  <si>
    <t>Electricity Factors</t>
  </si>
  <si>
    <r>
      <t xml:space="preserve">eGRID Electricity Emission Factors by eGRID Subregion - </t>
    </r>
    <r>
      <rPr>
        <i/>
        <sz val="11"/>
        <color theme="1"/>
        <rFont val="Calibri"/>
        <family val="2"/>
        <scheme val="minor"/>
      </rPr>
      <t>Most recent available factor is applied to all future years.</t>
    </r>
  </si>
  <si>
    <r>
      <t>lbs CO</t>
    </r>
    <r>
      <rPr>
        <b/>
        <vertAlign val="subscript"/>
        <sz val="11"/>
        <color theme="1"/>
        <rFont val="Calibri"/>
        <family val="2"/>
        <scheme val="minor"/>
      </rPr>
      <t>2</t>
    </r>
    <r>
      <rPr>
        <b/>
        <sz val="11"/>
        <color theme="1"/>
        <rFont val="Calibri"/>
        <family val="2"/>
        <scheme val="minor"/>
      </rPr>
      <t>/MWh</t>
    </r>
  </si>
  <si>
    <t>Subregion Name</t>
  </si>
  <si>
    <t>ASCC Alaska Grid</t>
  </si>
  <si>
    <t>ASCC Miscellaneous</t>
  </si>
  <si>
    <t>WECC Southwest</t>
  </si>
  <si>
    <t>WECC California</t>
  </si>
  <si>
    <t>ERCOT All</t>
  </si>
  <si>
    <t>FRCC All</t>
  </si>
  <si>
    <t>HICC Miscellaneous</t>
  </si>
  <si>
    <t>HICC Oahu</t>
  </si>
  <si>
    <t>MRO East</t>
  </si>
  <si>
    <t>MRO West</t>
  </si>
  <si>
    <t>NPCC New England</t>
  </si>
  <si>
    <t>WECC Northwest</t>
  </si>
  <si>
    <t>NPCC NYC/Westchester</t>
  </si>
  <si>
    <t>NPCC Long Island</t>
  </si>
  <si>
    <t>NPCC Upstate NY</t>
  </si>
  <si>
    <t>RFC East</t>
  </si>
  <si>
    <t>RFC Michigan</t>
  </si>
  <si>
    <t>RFC West</t>
  </si>
  <si>
    <t>WECC Rockies</t>
  </si>
  <si>
    <t>SPP North</t>
  </si>
  <si>
    <t>SPP South</t>
  </si>
  <si>
    <t>SERC Mississippi Valley</t>
  </si>
  <si>
    <t>SERC Midwest</t>
  </si>
  <si>
    <t>SERC South</t>
  </si>
  <si>
    <t>SERC Tennessee Valley</t>
  </si>
  <si>
    <t>SERC Virginia/Carolina</t>
  </si>
  <si>
    <r>
      <t>lbs CH</t>
    </r>
    <r>
      <rPr>
        <b/>
        <vertAlign val="subscript"/>
        <sz val="11"/>
        <color theme="1"/>
        <rFont val="Calibri"/>
        <family val="2"/>
        <scheme val="minor"/>
      </rPr>
      <t>4</t>
    </r>
    <r>
      <rPr>
        <b/>
        <sz val="11"/>
        <color theme="1"/>
        <rFont val="Calibri"/>
        <family val="2"/>
        <scheme val="minor"/>
      </rPr>
      <t>/MWh</t>
    </r>
  </si>
  <si>
    <r>
      <t>lbs CH</t>
    </r>
    <r>
      <rPr>
        <b/>
        <vertAlign val="subscript"/>
        <sz val="11"/>
        <color theme="1"/>
        <rFont val="Calibri"/>
        <family val="2"/>
        <scheme val="minor"/>
      </rPr>
      <t>4</t>
    </r>
    <r>
      <rPr>
        <b/>
        <sz val="11"/>
        <color theme="1"/>
        <rFont val="Calibri"/>
        <family val="2"/>
        <scheme val="minor"/>
      </rPr>
      <t>/GWh</t>
    </r>
  </si>
  <si>
    <r>
      <t>lbs N</t>
    </r>
    <r>
      <rPr>
        <b/>
        <vertAlign val="subscript"/>
        <sz val="11"/>
        <color theme="1"/>
        <rFont val="Calibri"/>
        <family val="2"/>
        <scheme val="minor"/>
      </rPr>
      <t>2</t>
    </r>
    <r>
      <rPr>
        <b/>
        <sz val="11"/>
        <color theme="1"/>
        <rFont val="Calibri"/>
        <family val="2"/>
        <scheme val="minor"/>
      </rPr>
      <t>O/MWh</t>
    </r>
  </si>
  <si>
    <r>
      <t>lbs N</t>
    </r>
    <r>
      <rPr>
        <b/>
        <vertAlign val="subscript"/>
        <sz val="11"/>
        <color theme="1"/>
        <rFont val="Calibri"/>
        <family val="2"/>
        <scheme val="minor"/>
      </rPr>
      <t>2</t>
    </r>
    <r>
      <rPr>
        <b/>
        <sz val="11"/>
        <color theme="1"/>
        <rFont val="Calibri"/>
        <family val="2"/>
        <scheme val="minor"/>
      </rPr>
      <t>O/GWh</t>
    </r>
  </si>
  <si>
    <t>Sources:</t>
  </si>
  <si>
    <t>Emissions &amp; Generation Resource Integrated Database (eGRID). https://www.epa.gov/energy/emissions-generation-resource-integrated-database-egrid</t>
  </si>
  <si>
    <t>CARB (California Air Resources Board). 2010. Local Government Operations Protocol, Version 1.1. California Air Resources Board, California Climate Action Registry, ICLEI, and The Climate Registry.</t>
  </si>
  <si>
    <t>Mobile Factors</t>
  </si>
  <si>
    <r>
      <t>Fuel CO</t>
    </r>
    <r>
      <rPr>
        <b/>
        <i/>
        <vertAlign val="subscript"/>
        <sz val="11"/>
        <color theme="1"/>
        <rFont val="Calibri"/>
        <family val="2"/>
        <scheme val="minor"/>
      </rPr>
      <t>2</t>
    </r>
    <r>
      <rPr>
        <b/>
        <i/>
        <sz val="11"/>
        <color theme="1"/>
        <rFont val="Calibri"/>
        <family val="2"/>
        <scheme val="minor"/>
      </rPr>
      <t xml:space="preserve"> Emission Factors</t>
    </r>
  </si>
  <si>
    <r>
      <t>kg CO</t>
    </r>
    <r>
      <rPr>
        <b/>
        <vertAlign val="subscript"/>
        <sz val="11"/>
        <color indexed="8"/>
        <rFont val="Calibri"/>
        <family val="2"/>
      </rPr>
      <t>2</t>
    </r>
    <r>
      <rPr>
        <b/>
        <sz val="11"/>
        <color indexed="8"/>
        <rFont val="Calibri"/>
        <family val="2"/>
      </rPr>
      <t>/gallon (GGE for CNG)</t>
    </r>
  </si>
  <si>
    <t>Other Fuels</t>
  </si>
  <si>
    <t>Biogenic Portion</t>
  </si>
  <si>
    <t>Fossil portion</t>
  </si>
  <si>
    <t>MMBTU/unit</t>
  </si>
  <si>
    <t>B100</t>
  </si>
  <si>
    <t>E100</t>
  </si>
  <si>
    <t>Methanol</t>
  </si>
  <si>
    <r>
      <t>Default CH</t>
    </r>
    <r>
      <rPr>
        <b/>
        <i/>
        <vertAlign val="subscript"/>
        <sz val="11"/>
        <color indexed="8"/>
        <rFont val="Calibri"/>
        <family val="2"/>
      </rPr>
      <t>4</t>
    </r>
    <r>
      <rPr>
        <b/>
        <i/>
        <sz val="11"/>
        <color indexed="8"/>
        <rFont val="Calibri"/>
        <family val="2"/>
      </rPr>
      <t xml:space="preserve"> and N</t>
    </r>
    <r>
      <rPr>
        <b/>
        <i/>
        <vertAlign val="subscript"/>
        <sz val="11"/>
        <color indexed="8"/>
        <rFont val="Calibri"/>
        <family val="2"/>
      </rPr>
      <t>2</t>
    </r>
    <r>
      <rPr>
        <b/>
        <i/>
        <sz val="11"/>
        <color indexed="8"/>
        <rFont val="Calibri"/>
        <family val="2"/>
      </rPr>
      <t>O Emission Factors for Highway Vehicles by Model Year</t>
    </r>
  </si>
  <si>
    <t>Vehicle Type and Year</t>
  </si>
  <si>
    <r>
      <t>CH</t>
    </r>
    <r>
      <rPr>
        <b/>
        <vertAlign val="subscript"/>
        <sz val="11"/>
        <color indexed="8"/>
        <rFont val="Calibri"/>
        <family val="2"/>
      </rPr>
      <t>4</t>
    </r>
    <r>
      <rPr>
        <b/>
        <sz val="11"/>
        <color indexed="8"/>
        <rFont val="Calibri"/>
        <family val="2"/>
      </rPr>
      <t xml:space="preserve"> (g/mi)</t>
    </r>
  </si>
  <si>
    <r>
      <t>N</t>
    </r>
    <r>
      <rPr>
        <b/>
        <vertAlign val="subscript"/>
        <sz val="11"/>
        <color indexed="8"/>
        <rFont val="Calibri"/>
        <family val="2"/>
      </rPr>
      <t>2</t>
    </r>
    <r>
      <rPr>
        <b/>
        <sz val="11"/>
        <color indexed="8"/>
        <rFont val="Calibri"/>
        <family val="2"/>
      </rPr>
      <t>O (g/mi)</t>
    </r>
  </si>
  <si>
    <r>
      <rPr>
        <sz val="11"/>
        <color theme="1"/>
        <rFont val="Calibri"/>
        <family val="2"/>
        <scheme val="minor"/>
      </rPr>
      <t>Source: Emissions Factors for Greenhouse Gas Inventories, U.S EPA April 2023. Note that values are held constant by EPA for certain time series/vehicle types. See https://www.epa.gov/system/files/documents/2023-03/ghg_emission_factors_hub.pdf</t>
    </r>
  </si>
  <si>
    <r>
      <t>Default CH</t>
    </r>
    <r>
      <rPr>
        <b/>
        <i/>
        <vertAlign val="subscript"/>
        <sz val="11"/>
        <color indexed="8"/>
        <rFont val="Calibri"/>
        <family val="2"/>
      </rPr>
      <t>4</t>
    </r>
    <r>
      <rPr>
        <b/>
        <i/>
        <sz val="11"/>
        <color indexed="8"/>
        <rFont val="Calibri"/>
        <family val="2"/>
      </rPr>
      <t xml:space="preserve"> and N</t>
    </r>
    <r>
      <rPr>
        <b/>
        <i/>
        <vertAlign val="subscript"/>
        <sz val="11"/>
        <color indexed="8"/>
        <rFont val="Calibri"/>
        <family val="2"/>
      </rPr>
      <t>2</t>
    </r>
    <r>
      <rPr>
        <b/>
        <i/>
        <sz val="11"/>
        <color indexed="8"/>
        <rFont val="Calibri"/>
        <family val="2"/>
      </rPr>
      <t>O Emission Factors for Alternative Fuel Vehicles</t>
    </r>
  </si>
  <si>
    <t>Light-Duty Vehicle</t>
  </si>
  <si>
    <t>equal to B20?</t>
  </si>
  <si>
    <t xml:space="preserve">Source: Emissions Factors for Greenhouse Gas Inventories, U.S EPA April 2023. </t>
  </si>
  <si>
    <r>
      <t>Non-CO</t>
    </r>
    <r>
      <rPr>
        <b/>
        <i/>
        <vertAlign val="subscript"/>
        <sz val="11"/>
        <color theme="1"/>
        <rFont val="Calibri"/>
        <family val="2"/>
        <scheme val="minor"/>
      </rPr>
      <t>2</t>
    </r>
    <r>
      <rPr>
        <b/>
        <i/>
        <sz val="11"/>
        <color theme="1"/>
        <rFont val="Calibri"/>
        <family val="2"/>
        <scheme val="minor"/>
      </rPr>
      <t xml:space="preserve"> Emission Factors for Other Vehicles</t>
    </r>
  </si>
  <si>
    <r>
      <t>CH</t>
    </r>
    <r>
      <rPr>
        <b/>
        <vertAlign val="subscript"/>
        <sz val="11"/>
        <color theme="1"/>
        <rFont val="Calibri"/>
        <family val="2"/>
        <scheme val="minor"/>
      </rPr>
      <t>4</t>
    </r>
    <r>
      <rPr>
        <b/>
        <sz val="11"/>
        <color theme="1"/>
        <rFont val="Calibri"/>
        <family val="2"/>
        <scheme val="minor"/>
      </rPr>
      <t xml:space="preserve"> (g/gallon fuel)</t>
    </r>
  </si>
  <si>
    <r>
      <t>N</t>
    </r>
    <r>
      <rPr>
        <b/>
        <vertAlign val="subscript"/>
        <sz val="11"/>
        <color theme="1"/>
        <rFont val="Calibri"/>
        <family val="2"/>
        <scheme val="minor"/>
      </rPr>
      <t>2</t>
    </r>
    <r>
      <rPr>
        <b/>
        <sz val="11"/>
        <color theme="1"/>
        <rFont val="Calibri"/>
        <family val="2"/>
        <scheme val="minor"/>
      </rPr>
      <t>O (g/gallon fuel)</t>
    </r>
  </si>
  <si>
    <t>Ships and Boats</t>
  </si>
  <si>
    <t>Locomotives</t>
  </si>
  <si>
    <t>Wastewater</t>
  </si>
  <si>
    <t>Default Factors Used to Calculate Emissions from Wastewater Treatment</t>
  </si>
  <si>
    <t>Variable Description</t>
  </si>
  <si>
    <t>Shorthand</t>
  </si>
  <si>
    <t>Value</t>
  </si>
  <si>
    <t>Used in Equation…</t>
  </si>
  <si>
    <t>Density of Methane</t>
  </si>
  <si>
    <r>
      <t>p(CH</t>
    </r>
    <r>
      <rPr>
        <vertAlign val="subscript"/>
        <sz val="11"/>
        <color theme="1"/>
        <rFont val="Calibri"/>
        <family val="2"/>
        <scheme val="minor"/>
      </rPr>
      <t>4</t>
    </r>
    <r>
      <rPr>
        <sz val="11"/>
        <color theme="1"/>
        <rFont val="Calibri"/>
        <family val="2"/>
        <scheme val="minor"/>
      </rPr>
      <t>)</t>
    </r>
  </si>
  <si>
    <t>DE</t>
  </si>
  <si>
    <t>Default biogas production</t>
  </si>
  <si>
    <r>
      <t>Fraction of CH</t>
    </r>
    <r>
      <rPr>
        <vertAlign val="subscript"/>
        <sz val="11"/>
        <color theme="1"/>
        <rFont val="Calibri"/>
        <family val="2"/>
        <scheme val="minor"/>
      </rPr>
      <t>4</t>
    </r>
    <r>
      <rPr>
        <sz val="11"/>
        <color theme="1"/>
        <rFont val="Calibri"/>
        <family val="2"/>
        <scheme val="minor"/>
      </rPr>
      <t xml:space="preserve"> in Biogas (default)</t>
    </r>
  </si>
  <si>
    <t>F CH4 default</t>
  </si>
  <si>
    <r>
      <t>Maximum CH</t>
    </r>
    <r>
      <rPr>
        <vertAlign val="subscript"/>
        <sz val="11"/>
        <color theme="1"/>
        <rFont val="Calibri"/>
        <family val="2"/>
        <scheme val="minor"/>
      </rPr>
      <t>4</t>
    </r>
    <r>
      <rPr>
        <sz val="11"/>
        <color theme="1"/>
        <rFont val="Calibri"/>
        <family val="2"/>
        <scheme val="minor"/>
      </rPr>
      <t xml:space="preserve"> Production Capacity</t>
    </r>
  </si>
  <si>
    <t>Bo</t>
  </si>
  <si>
    <r>
      <t>Anaerobic CH</t>
    </r>
    <r>
      <rPr>
        <vertAlign val="subscript"/>
        <sz val="11"/>
        <color theme="1"/>
        <rFont val="Calibri"/>
        <family val="2"/>
        <scheme val="minor"/>
      </rPr>
      <t>4</t>
    </r>
    <r>
      <rPr>
        <sz val="11"/>
        <color theme="1"/>
        <rFont val="Calibri"/>
        <family val="2"/>
        <scheme val="minor"/>
      </rPr>
      <t xml:space="preserve"> Correction Factor</t>
    </r>
  </si>
  <si>
    <t>MCF anaerobic</t>
  </si>
  <si>
    <t>Industrial Discharge Factor</t>
  </si>
  <si>
    <t>F ind</t>
  </si>
  <si>
    <r>
      <t>Default fraction BOD</t>
    </r>
    <r>
      <rPr>
        <vertAlign val="subscript"/>
        <sz val="11"/>
        <color theme="1"/>
        <rFont val="Calibri"/>
        <family val="2"/>
        <scheme val="minor"/>
      </rPr>
      <t>5</t>
    </r>
    <r>
      <rPr>
        <sz val="11"/>
        <color theme="1"/>
        <rFont val="Calibri"/>
        <family val="2"/>
        <scheme val="minor"/>
      </rPr>
      <t xml:space="preserve"> removed in primary treatment</t>
    </r>
  </si>
  <si>
    <t>F p</t>
  </si>
  <si>
    <r>
      <t>Septic CH</t>
    </r>
    <r>
      <rPr>
        <vertAlign val="subscript"/>
        <sz val="11"/>
        <color theme="1"/>
        <rFont val="Calibri"/>
        <family val="2"/>
        <scheme val="minor"/>
      </rPr>
      <t>4</t>
    </r>
    <r>
      <rPr>
        <sz val="11"/>
        <color theme="1"/>
        <rFont val="Calibri"/>
        <family val="2"/>
        <scheme val="minor"/>
      </rPr>
      <t xml:space="preserve"> Correction Factor</t>
    </r>
  </si>
  <si>
    <t>MCF septic</t>
  </si>
  <si>
    <r>
      <t>Default BOD</t>
    </r>
    <r>
      <rPr>
        <vertAlign val="subscript"/>
        <sz val="11"/>
        <color theme="1"/>
        <rFont val="Calibri"/>
        <family val="2"/>
        <scheme val="minor"/>
      </rPr>
      <t>5</t>
    </r>
    <r>
      <rPr>
        <sz val="11"/>
        <color theme="1"/>
        <rFont val="Calibri"/>
        <family val="2"/>
        <scheme val="minor"/>
      </rPr>
      <t xml:space="preserve"> Load</t>
    </r>
  </si>
  <si>
    <r>
      <t>BOD</t>
    </r>
    <r>
      <rPr>
        <vertAlign val="subscript"/>
        <sz val="11"/>
        <color theme="1"/>
        <rFont val="Calibri"/>
        <family val="2"/>
        <scheme val="minor"/>
      </rPr>
      <t>5</t>
    </r>
    <r>
      <rPr>
        <sz val="11"/>
        <color theme="1"/>
        <rFont val="Calibri"/>
        <family val="2"/>
        <scheme val="minor"/>
      </rPr>
      <t xml:space="preserve"> load</t>
    </r>
  </si>
  <si>
    <t>Emissions Factor, Nitrification/Denitrification</t>
  </si>
  <si>
    <t>EF nit/denit</t>
  </si>
  <si>
    <t>Emissions Factor, no Nitrification/Denitrification</t>
  </si>
  <si>
    <t>EF no nit/denit</t>
  </si>
  <si>
    <t>Emissions Factor, Effluent</t>
  </si>
  <si>
    <t>EF effluent</t>
  </si>
  <si>
    <t>Molecular Weight Ratio of N2O to N2</t>
  </si>
  <si>
    <t>N2O/N2</t>
  </si>
  <si>
    <t>Total N Load</t>
  </si>
  <si>
    <t>N Load</t>
  </si>
  <si>
    <t>Nitrogen uptake in aerobic system</t>
  </si>
  <si>
    <t>N uptake aerobic</t>
  </si>
  <si>
    <t>Nitrogen uptake in anaerobic systems</t>
  </si>
  <si>
    <t>N uptake anaerobic</t>
  </si>
  <si>
    <t>Fraction of nitrogen removed with nitrification/denitrification</t>
  </si>
  <si>
    <t>Nit/denit default</t>
  </si>
  <si>
    <t>Fraction of nitrogen removed without nit/denit</t>
  </si>
  <si>
    <t>No Nit/denit default</t>
  </si>
  <si>
    <t>Source: CARB (California Air Resources Board). 2010. Local Government Operations Protocol, Version 1.1. California Air Resources Board, California Climate Action Registry, ICLEI – Local Governments for Sustainability, and The Climate Registry.</t>
  </si>
  <si>
    <t>Employee Commute Factors - For simplicity, assumes all modes use gasoline, and all alternative transportation options have effective emissions of zero.</t>
  </si>
  <si>
    <t>Old Table Rows</t>
  </si>
  <si>
    <t>Average mpg</t>
  </si>
  <si>
    <t>people/mode</t>
  </si>
  <si>
    <r>
      <t>kg CO</t>
    </r>
    <r>
      <rPr>
        <b/>
        <vertAlign val="subscript"/>
        <sz val="11"/>
        <color theme="1"/>
        <rFont val="Calibri"/>
        <family val="2"/>
        <scheme val="minor"/>
      </rPr>
      <t>2</t>
    </r>
    <r>
      <rPr>
        <b/>
        <sz val="11"/>
        <color theme="1"/>
        <rFont val="Calibri"/>
        <family val="2"/>
        <scheme val="minor"/>
      </rPr>
      <t>/gal</t>
    </r>
  </si>
  <si>
    <t>carpool calculation</t>
  </si>
  <si>
    <t>Weighted Average</t>
  </si>
  <si>
    <t xml:space="preserve">      In 2-person carpool</t>
  </si>
  <si>
    <t xml:space="preserve">      In 3-person carpool</t>
  </si>
  <si>
    <t xml:space="preserve">      In 4-person carpool</t>
  </si>
  <si>
    <t xml:space="preserve">      In 5- or 6-person carpool</t>
  </si>
  <si>
    <t xml:space="preserve">      In 7-or-more-person carpool</t>
  </si>
  <si>
    <t xml:space="preserve">Average Fuel Efficiency of each Mode: FHWA (Federal Highway Administration). 2012. Highway Statistics 2010. Federal Highway Administration, U.S. Department of Transportation. </t>
  </si>
  <si>
    <t xml:space="preserve">Average Number of Carpoolers: U.S. Census Bureau. 2008. American Community Survey: Table S0801 – Commuting Characteristics by Sex, San Bernardino County, California. U.S. Census Bureau. </t>
  </si>
  <si>
    <r>
      <t>CO</t>
    </r>
    <r>
      <rPr>
        <i/>
        <vertAlign val="subscript"/>
        <sz val="11"/>
        <color theme="1"/>
        <rFont val="Calibri"/>
        <family val="2"/>
        <scheme val="minor"/>
      </rPr>
      <t>2</t>
    </r>
    <r>
      <rPr>
        <i/>
        <sz val="11"/>
        <color theme="1"/>
        <rFont val="Calibri"/>
        <family val="2"/>
        <scheme val="minor"/>
      </rPr>
      <t xml:space="preserve"> per Gallon of Gasoline: CARB (California Air Resources Board). 2010. Local Government Operations Protocol, Version 1.1. California Air Resources Board, California Climate Action Registry, ICLEI, and The Climate Registry.</t>
    </r>
  </si>
  <si>
    <t>Electricity Use in Southern California Water Systems- Average used to develop calculations in the Water worksheet</t>
  </si>
  <si>
    <t>Table C‐4: Potential Adjustments to WER Table 1‐3, Electricity Use in Typical Urban Water Systems (CEC 2006)</t>
  </si>
  <si>
    <t xml:space="preserve">Southern California (kWh/MG) </t>
  </si>
  <si>
    <t>kWh/MG</t>
  </si>
  <si>
    <t>Adjusted</t>
  </si>
  <si>
    <t>w/ Losses</t>
  </si>
  <si>
    <t>SWP west branch</t>
  </si>
  <si>
    <t>SWP east branch</t>
  </si>
  <si>
    <t>MWD west branch</t>
  </si>
  <si>
    <t>MWD east branch</t>
  </si>
  <si>
    <t>Source: CEC (California Energy Commission). 2006. Refining Estimates of Water-Related Energy Use in California. California Energy Commission. CEC-500-2006-118.</t>
  </si>
  <si>
    <t>eGRID Electricity Emission Factors</t>
  </si>
  <si>
    <t>(lb/MWh)</t>
  </si>
  <si>
    <t>Gas</t>
  </si>
  <si>
    <t xml:space="preserve">Source: Emissions &amp; Generation Resource Integrated Database (eGRID). https://www.epa.gov/energy/emissions-generation-resource-integrated-database-egrid. </t>
  </si>
  <si>
    <t>Land Use Factors</t>
  </si>
  <si>
    <r>
      <t>Emission Factors For N</t>
    </r>
    <r>
      <rPr>
        <b/>
        <vertAlign val="subscript"/>
        <sz val="11"/>
        <color theme="1"/>
        <rFont val="Calibri"/>
        <family val="2"/>
        <scheme val="minor"/>
      </rPr>
      <t>2</t>
    </r>
    <r>
      <rPr>
        <b/>
        <sz val="11"/>
        <color theme="1"/>
        <rFont val="Calibri"/>
        <family val="2"/>
        <scheme val="minor"/>
      </rPr>
      <t>O</t>
    </r>
  </si>
  <si>
    <t>Fertilizer Type</t>
  </si>
  <si>
    <t>Percent N Content</t>
  </si>
  <si>
    <t>Percent N lost to Volatilization</t>
  </si>
  <si>
    <t>Percent N Leach and Runoff</t>
  </si>
  <si>
    <t>Percent from Applied N</t>
  </si>
  <si>
    <t>Percent from Volatized N</t>
  </si>
  <si>
    <t>Percent from Leached and Runoff N</t>
  </si>
  <si>
    <t>Synthetic</t>
  </si>
  <si>
    <t>Organic</t>
  </si>
  <si>
    <t>Manure</t>
  </si>
  <si>
    <t>Sources: Unless otherwise noted, all fertilizer emission factors are IPCC default values from the Revised 1996 Guidelines for National GHG Inventories.</t>
  </si>
  <si>
    <t xml:space="preserve">Fertilizer Emissions = </t>
  </si>
  <si>
    <t>((Fertilizer Consumption in the Park)*(Percent N Content)*(1-Percent N lost to Volatilization)*(Percent from Applied N)+(Fertilizer Consumption in the Park)*(Percent N Content)*(Percent N lost to Volatilization)*(Percent from Volatized N)+(Fertilizer Consumption in the Park)*(Percent N content)*(1-Percent N lost to Volatilization)*(Percent N Leach and Runoff)*(Percent from Leached and Runoff))</t>
  </si>
  <si>
    <t>N2O/N2O-N</t>
  </si>
  <si>
    <t>Carbon Sequestration Factor</t>
  </si>
  <si>
    <t>(metric ton C/hectare/year)</t>
  </si>
  <si>
    <t>Source: EPA State Inventory Tools, Land-Use Land Use Change and Forestry module.</t>
  </si>
  <si>
    <t>Lists</t>
  </si>
  <si>
    <t>Tool Name</t>
  </si>
  <si>
    <t>Landfills</t>
  </si>
  <si>
    <t>Stationary Fuels</t>
  </si>
  <si>
    <t>Facility Types</t>
  </si>
  <si>
    <t>Water Importers</t>
  </si>
  <si>
    <t>Comprehensive/Partial</t>
  </si>
  <si>
    <t>Yes/No</t>
  </si>
  <si>
    <t>Emission Factors Choice</t>
  </si>
  <si>
    <t>Residential: Single Family Units</t>
  </si>
  <si>
    <t>Comprehensive</t>
  </si>
  <si>
    <t>Yes</t>
  </si>
  <si>
    <t>Residential: Apartment Buildings</t>
  </si>
  <si>
    <t>Partial</t>
  </si>
  <si>
    <t>Residential: Mobile Homes</t>
  </si>
  <si>
    <t>Commercial/Institutional: Education</t>
  </si>
  <si>
    <t>Commercial/Institutional: Food Sales</t>
  </si>
  <si>
    <t>Commercial/Institutional: Food Service</t>
  </si>
  <si>
    <t>Mobile Entry Row</t>
  </si>
  <si>
    <t>Commercial/Institutional: Health Care</t>
  </si>
  <si>
    <t>Mobile Min Vehicle</t>
  </si>
  <si>
    <t>Commercial/Institutional: Lodging</t>
  </si>
  <si>
    <t>Mobile Max Vehicle</t>
  </si>
  <si>
    <t>Commercial/Institutional: Mercantile</t>
  </si>
  <si>
    <t>Commercial/Institutional: Office</t>
  </si>
  <si>
    <t>Electricity Entry Row</t>
  </si>
  <si>
    <t>Commercial/Institutional: Public Assembly</t>
  </si>
  <si>
    <t>Electricity Min Unit</t>
  </si>
  <si>
    <t>Commercial/Institutional: Public Order and Safety</t>
  </si>
  <si>
    <t>Electricity Max Unit</t>
  </si>
  <si>
    <t>Commercial/Institutional: Religious Worship</t>
  </si>
  <si>
    <t>Electricity Lookup Column</t>
  </si>
  <si>
    <t>Commercial/Institutional: Service</t>
  </si>
  <si>
    <t>Commercial/Institutional: Warehouse and Storage</t>
  </si>
  <si>
    <t>Stationary Entry Row</t>
  </si>
  <si>
    <t>Commercial/Institutional: Other</t>
  </si>
  <si>
    <t>Stationary Min Unit</t>
  </si>
  <si>
    <t>Commercial/Institutional: Vacant</t>
  </si>
  <si>
    <t>Stationary Max Unit</t>
  </si>
  <si>
    <t>Industrial: Food</t>
  </si>
  <si>
    <t>Industrial: Beverage and Tobacco Products</t>
  </si>
  <si>
    <t>Industrial: Textile Mills</t>
  </si>
  <si>
    <t>Fuels</t>
  </si>
  <si>
    <t>Industrial: Textile Product Mills</t>
  </si>
  <si>
    <t>Industrial: Apparel</t>
  </si>
  <si>
    <t>Industrial: Leather and Allied Products</t>
  </si>
  <si>
    <t>Industrial: Wood Products</t>
  </si>
  <si>
    <t>Industrial: Paper</t>
  </si>
  <si>
    <t>Industrial: Printing and Related Support</t>
  </si>
  <si>
    <t>Industrial: Petroleum and Coal Products</t>
  </si>
  <si>
    <t>Industrial: Chemicals</t>
  </si>
  <si>
    <t>Industrial: Plastics and Rubber Products</t>
  </si>
  <si>
    <t>Industrial: Nonmetallic Mineral Products</t>
  </si>
  <si>
    <t>Industrial: Primary Metals</t>
  </si>
  <si>
    <t>Industrial: Fabricated Metal Products</t>
  </si>
  <si>
    <t>Industrial: Machinery</t>
  </si>
  <si>
    <t>Industrial: Computer and Electronic Products</t>
  </si>
  <si>
    <t>Industrial: Electrical Equip., Appliances, and Components</t>
  </si>
  <si>
    <t>Industrial: Transportation Equipment</t>
  </si>
  <si>
    <t>Industrial: Furniture and Related Products</t>
  </si>
  <si>
    <t>Available Fuels</t>
  </si>
  <si>
    <t>Industrial: Miscellaneous</t>
  </si>
  <si>
    <t>Energy Generation: Electricity Generators</t>
  </si>
  <si>
    <t>List of Utilities</t>
  </si>
  <si>
    <t>Selected Utilities</t>
  </si>
  <si>
    <t>List of Contractual Instruments</t>
  </si>
  <si>
    <t>Contract Entry Row</t>
  </si>
  <si>
    <t>Contractual Instrument Descriptions</t>
  </si>
  <si>
    <t>M1</t>
  </si>
  <si>
    <t>RE by 2030</t>
  </si>
  <si>
    <t>Lighting EE</t>
  </si>
  <si>
    <t>reduction in lighting by 2018 (indoor and outdoor)</t>
  </si>
  <si>
    <t>Title 24</t>
  </si>
  <si>
    <t>increase in standards every 3 years (2008, 2011, 2014, 2017, 2020)</t>
  </si>
  <si>
    <t>M2</t>
  </si>
  <si>
    <t>LEED Silver</t>
  </si>
  <si>
    <t>decrease in energy use</t>
  </si>
  <si>
    <t>Retrocommissioning</t>
  </si>
  <si>
    <t>CHP</t>
  </si>
  <si>
    <t>emission reductions in 20% of buildings</t>
  </si>
  <si>
    <t>Office Equipment Procurement Standard</t>
  </si>
  <si>
    <t>electricity savings from office equipment</t>
  </si>
  <si>
    <t>Electricity Summary - All Commercial Buildings</t>
  </si>
  <si>
    <t>End Use</t>
  </si>
  <si>
    <t>End Use Floor Stock (kSqFt)</t>
  </si>
  <si>
    <t>Energy Use Indicse (kWh/EUFS/yr)</t>
  </si>
  <si>
    <t>End-use Floor Stock Distribution (%)</t>
  </si>
  <si>
    <t>Energy Intensity (kWh/Segment FS/yr)</t>
  </si>
  <si>
    <t>End-use energy distribution</t>
  </si>
  <si>
    <t>Non-coincident peak load (watts/SF)</t>
  </si>
  <si>
    <t>Connected load (watts/SF)</t>
  </si>
  <si>
    <t>Annual Energy Usage (GWh)</t>
  </si>
  <si>
    <t>(a)</t>
  </si>
  <si>
    <t>(b)</t>
  </si>
  <si>
    <t>(a*b)</t>
  </si>
  <si>
    <t>Heating</t>
  </si>
  <si>
    <t>417.06 SF/kB</t>
  </si>
  <si>
    <t>Cooling</t>
  </si>
  <si>
    <t>519.44 SF/ton</t>
  </si>
  <si>
    <t>Ventilation</t>
  </si>
  <si>
    <t>Water Heating</t>
  </si>
  <si>
    <t>Cooking</t>
  </si>
  <si>
    <t>Refrigeration</t>
  </si>
  <si>
    <t>Exterior Lighing</t>
  </si>
  <si>
    <t>Interior Lighting</t>
  </si>
  <si>
    <t>Office Equipment</t>
  </si>
  <si>
    <t>Process</t>
  </si>
  <si>
    <t>Motors</t>
  </si>
  <si>
    <t>Air Compressor</t>
  </si>
  <si>
    <t>Segment Total</t>
  </si>
  <si>
    <t>--</t>
  </si>
  <si>
    <t>Electricity Summary - All Office Buildings</t>
  </si>
  <si>
    <t>306.39 SF/kB</t>
  </si>
  <si>
    <t>353.84 SF/ton</t>
  </si>
  <si>
    <t>Electricity Summary - Large Office Buildings</t>
  </si>
  <si>
    <t>618.46 SF/kB</t>
  </si>
  <si>
    <t>360.25 SF/ton</t>
  </si>
  <si>
    <t>Electricity Summary - Small Office Buildings</t>
  </si>
  <si>
    <t>159.44 SF/kB</t>
  </si>
  <si>
    <t>342.69 SF/ton</t>
  </si>
  <si>
    <t>Electricity Summary - All Warehouses</t>
  </si>
  <si>
    <t>747.27 SF/kB</t>
  </si>
  <si>
    <t>2295.07 SF/ton</t>
  </si>
  <si>
    <t>Electricity Summary - Health Facilities</t>
  </si>
  <si>
    <t>572.92 SF/kB</t>
  </si>
  <si>
    <t>372.90 SF/ton</t>
  </si>
  <si>
    <t>Natural Gas Summary - All Commercial Buildings</t>
  </si>
  <si>
    <t>End-use Floor Stock (kSqFt)</t>
  </si>
  <si>
    <t>Energy-use Indices (kBtu/EUFS/Year)</t>
  </si>
  <si>
    <t>Energy Intensity (kBtu/Segment FS/Year)</t>
  </si>
  <si>
    <t>End-useEnergy Distribution (%)</t>
  </si>
  <si>
    <t>Non-coincident Peak Load (Btu/SF)</t>
  </si>
  <si>
    <t>Connected Load (Btu/SF)</t>
  </si>
  <si>
    <t>Annual Energy Usage (10,000 therms)</t>
  </si>
  <si>
    <t>39.68 SF/kB</t>
  </si>
  <si>
    <t>0.00 SF/ton</t>
  </si>
  <si>
    <t>Natural Gas Summary - All Office Buildings</t>
  </si>
  <si>
    <t>36.42 SF/kB</t>
  </si>
  <si>
    <t>Natural Gas Summary - Large Office Buildings</t>
  </si>
  <si>
    <t>38.89 SF/kB</t>
  </si>
  <si>
    <t>Natural Gas Summary - Small Office Buildings</t>
  </si>
  <si>
    <t>32.64 SF/kB</t>
  </si>
  <si>
    <t>Natural Gas Summary - All Warehouses</t>
  </si>
  <si>
    <t>143.30 SF/kB</t>
  </si>
  <si>
    <t>Natural Gas Summary - Health Facilities</t>
  </si>
  <si>
    <t>29.21 SF/kB</t>
  </si>
  <si>
    <t>Stationary Fuel Combustion Energy Use (MMBtu)</t>
  </si>
  <si>
    <t>Electricity Use (kWh) by Building Type</t>
  </si>
  <si>
    <t>Mobile Emissions by Vehicle Type</t>
  </si>
  <si>
    <t>Type</t>
  </si>
  <si>
    <t>Non-CO2</t>
  </si>
  <si>
    <t>Total Non-CO2</t>
  </si>
  <si>
    <t>% fuel type use by vehicle type</t>
  </si>
  <si>
    <t>Total Fuel Type Emissions</t>
  </si>
  <si>
    <r>
      <t>CO</t>
    </r>
    <r>
      <rPr>
        <vertAlign val="subscript"/>
        <sz val="9"/>
        <color theme="1"/>
        <rFont val="Calibri"/>
        <family val="2"/>
        <scheme val="minor"/>
      </rPr>
      <t>2</t>
    </r>
    <r>
      <rPr>
        <sz val="9"/>
        <color theme="1"/>
        <rFont val="Calibri"/>
        <family val="2"/>
        <scheme val="minor"/>
      </rPr>
      <t xml:space="preserve"> emissions</t>
    </r>
  </si>
  <si>
    <t>*Note: formulas are not drag-able*</t>
  </si>
  <si>
    <t>SUM</t>
  </si>
  <si>
    <r>
      <t>MT CO</t>
    </r>
    <r>
      <rPr>
        <vertAlign val="subscript"/>
        <sz val="10"/>
        <color indexed="8"/>
        <rFont val="Calibri"/>
        <family val="2"/>
      </rPr>
      <t>2</t>
    </r>
    <r>
      <rPr>
        <sz val="10"/>
        <color indexed="8"/>
        <rFont val="Calibri"/>
        <family val="2"/>
      </rPr>
      <t>e</t>
    </r>
  </si>
  <si>
    <t>Off-Road CO2 emissions</t>
  </si>
  <si>
    <t>% fuel use</t>
  </si>
  <si>
    <t>Fuel Type Emissions</t>
  </si>
  <si>
    <t>CO2</t>
  </si>
  <si>
    <t>Off-Road Inventory Year Emissions:</t>
  </si>
  <si>
    <t>(all)</t>
  </si>
  <si>
    <t>Therefore, On-Road Inventory Year Emissions =</t>
  </si>
  <si>
    <t>Non-Highway CO2 Emissions</t>
  </si>
  <si>
    <t>Off-Road Non-CO2 Emissions</t>
  </si>
  <si>
    <t>Non-Highway Non-CO2 Emissions</t>
  </si>
  <si>
    <t>Notes</t>
  </si>
  <si>
    <r>
      <t>Total Emissions (MT CO</t>
    </r>
    <r>
      <rPr>
        <vertAlign val="subscript"/>
        <sz val="11"/>
        <color theme="1"/>
        <rFont val="Calibri"/>
        <family val="2"/>
        <scheme val="minor"/>
      </rPr>
      <t>2</t>
    </r>
    <r>
      <rPr>
        <sz val="11"/>
        <color theme="1"/>
        <rFont val="Calibri"/>
        <family val="2"/>
        <scheme val="minor"/>
      </rPr>
      <t>e)</t>
    </r>
  </si>
  <si>
    <r>
      <t>Total Emissions (MT CO</t>
    </r>
    <r>
      <rPr>
        <b/>
        <vertAlign val="subscript"/>
        <sz val="12"/>
        <color theme="1"/>
        <rFont val="Calibri"/>
        <family val="2"/>
        <scheme val="minor"/>
      </rPr>
      <t>2</t>
    </r>
    <r>
      <rPr>
        <b/>
        <sz val="12"/>
        <color theme="1"/>
        <rFont val="Calibri"/>
        <family val="2"/>
        <scheme val="minor"/>
      </rPr>
      <t>e)</t>
    </r>
  </si>
  <si>
    <t>Emission Factor. The standard rate of emissions per unit of activity (e.g., grams of carbon dioxide emitted per barrel of fossil fuel consumed).</t>
  </si>
  <si>
    <r>
      <t>Total non-CO</t>
    </r>
    <r>
      <rPr>
        <u/>
        <vertAlign val="subscript"/>
        <sz val="11"/>
        <color rgb="FF0000FF"/>
        <rFont val="Calibri"/>
        <family val="2"/>
        <scheme val="minor"/>
      </rPr>
      <t>2</t>
    </r>
    <r>
      <rPr>
        <u/>
        <sz val="11"/>
        <color indexed="12"/>
        <rFont val="Calibri"/>
        <family val="2"/>
        <scheme val="minor"/>
      </rPr>
      <t xml:space="preserve"> emissions, current sector</t>
    </r>
  </si>
  <si>
    <r>
      <t>Non-CO</t>
    </r>
    <r>
      <rPr>
        <u/>
        <vertAlign val="subscript"/>
        <sz val="11"/>
        <color rgb="FF0000FF"/>
        <rFont val="Calibri"/>
        <family val="2"/>
        <scheme val="minor"/>
      </rPr>
      <t>2</t>
    </r>
    <r>
      <rPr>
        <u/>
        <sz val="11"/>
        <color indexed="12"/>
        <rFont val="Calibri"/>
        <family val="2"/>
        <scheme val="minor"/>
      </rPr>
      <t xml:space="preserve"> emissions summary, all sectors</t>
    </r>
  </si>
  <si>
    <t>Note: Values may not sum due to rounding.</t>
  </si>
  <si>
    <t>To calculate Scope 3 emissions from waste, please visit  EPA's Waste Reduction Model (WARM). WARM is available both as a web-based calculator and in an Excel spreadsheet.</t>
  </si>
  <si>
    <t>Source: The Climate Registry 2023 Default Emission Factors and Emissions Factors for Greenhouse Gas Inventories, U.S EPA September 2023</t>
  </si>
  <si>
    <t>https://ghgdata.epa.gov/ghgp/main.do</t>
  </si>
  <si>
    <r>
      <t>Landfills that release 25,000 MT of CO</t>
    </r>
    <r>
      <rPr>
        <vertAlign val="subscript"/>
        <sz val="11"/>
        <color theme="1"/>
        <rFont val="Calibri"/>
        <family val="2"/>
        <scheme val="minor"/>
      </rPr>
      <t>2</t>
    </r>
    <r>
      <rPr>
        <sz val="11"/>
        <color theme="1"/>
        <rFont val="Calibri"/>
        <family val="2"/>
        <scheme val="minor"/>
      </rPr>
      <t xml:space="preserve">e per year are required to report this data to the Greenhouse Gas Reporting Program. As an alternate resource to CARB, you may find relevant landfill data here: </t>
    </r>
  </si>
  <si>
    <t xml:space="preserve">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</si>
</sst>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4" formatCode="_(&quot;$&quot;* #,##0.00_);_(&quot;$&quot;* \(#,##0.00\);_(&quot;$&quot;* &quot;-&quot;??_);_(@_)"/>
    <numFmt numFmtId="43" formatCode="_(* #,##0.00_);_(* \(#,##0.00\);_(* &quot;-&quot;??_);_(@_)"/>
    <numFmt numFmtId="164" formatCode="_(* #,##0_);_(* \(#,##0\);_(* &quot;-&quot;??_);_(@_)"/>
    <numFmt numFmtId="165" formatCode="0.0000"/>
    <numFmt numFmtId="166" formatCode="0.000"/>
    <numFmt numFmtId="167" formatCode="0.00000"/>
    <numFmt numFmtId="168" formatCode="_(* #,##0.00_);_(* \(#,##0\);_(* &quot;-&quot;_);_(@_)"/>
    <numFmt numFmtId="169" formatCode="_(* #,##0.00000_);_(* \(#,##0\);_(* &quot;-&quot;_);_(@_)"/>
    <numFmt numFmtId="170" formatCode="_(* #,##0.000_);_(* \(#,##0.000\);_(* &quot;-&quot;??_);_(@_)"/>
    <numFmt numFmtId="171" formatCode="_(#,##0.00_);_(\(#,##0\);_(&quot;-&quot;_);_(@_)"/>
    <numFmt numFmtId="172" formatCode="_(#,##0\ &quot;mcf&quot;_);_(\(#,##0\);_(&quot;0 mcf&quot;_);_(@_)"/>
    <numFmt numFmtId="173" formatCode="_(#,##0\ &quot;gal&quot;_);_(\(#,##0\);_(&quot;0 gal&quot;_);_(@_)"/>
    <numFmt numFmtId="174" formatCode="_(#,##0\ &quot;tons&quot;_);_(\(#,##0\);_(&quot;0 tons&quot;_);_(@_)"/>
    <numFmt numFmtId="175" formatCode="_(#,##0.0_);_(\(#,##0\);_(&quot;-&quot;_);_(@_)"/>
    <numFmt numFmtId="176" formatCode="0.000000"/>
    <numFmt numFmtId="177" formatCode="0.0"/>
    <numFmt numFmtId="178" formatCode="_(#,##0_);_(\(#,##0\);_(&quot;-&quot;_);_(@_)"/>
    <numFmt numFmtId="179" formatCode="_(#,##0_);_(\(#,##0\);_(&quot;-&quot;??_);_(@_)"/>
    <numFmt numFmtId="180" formatCode="_(#,##0.00_);_(\(#,##0.00\);_(&quot;-&quot;_);_(@_)"/>
    <numFmt numFmtId="181" formatCode="_(#,##0.00_);_(\(#,##0.00\);_(&quot;-&quot;??_);_(@_)"/>
    <numFmt numFmtId="182" formatCode="_(#,##0.000_);_(\(#,##0.00\);_(&quot;-&quot;_);_(@_)"/>
    <numFmt numFmtId="183" formatCode="0.0%"/>
    <numFmt numFmtId="184" formatCode="#,##0.00_);\(#,##0.00\);&quot;-&quot;"/>
    <numFmt numFmtId="185" formatCode="_(* #,##0.0_);_(* \(#,##0.0\);_(* &quot;-&quot;??_);_(@_)"/>
    <numFmt numFmtId="186" formatCode="_(* #,##0.0000_);_(* \(#,##0.0000\);_(* &quot;-&quot;??_);_(@_)"/>
    <numFmt numFmtId="187" formatCode="_(* #,##0.00000_);_(* \(#,##0.00000\);_(* &quot;-&quot;?????_);_(@_)"/>
    <numFmt numFmtId="188" formatCode="0.000%"/>
    <numFmt numFmtId="189" formatCode="_(#,##0.00_);_(\(#,##0.00\);_ &quot;-&quot;_);_(@_)"/>
    <numFmt numFmtId="190" formatCode="#,##0.000"/>
    <numFmt numFmtId="191" formatCode="_(#,##0.00_);_(\(#,##0.0\);_(&quot;-&quot;_);_(@_)"/>
    <numFmt numFmtId="192" formatCode="_(#,##0.000_);_(\(#,##0.000\);_(&quot;-&quot;_);_(@_)"/>
    <numFmt numFmtId="193" formatCode="_(#,##0.0_);_(\(#,##0.0\);_(&quot;-&quot;_);_(@_)"/>
  </numFmts>
  <fonts count="119">
    <font>
      <sz val="11"/>
      <color theme="1"/>
      <name val="Calibri"/>
      <family val="2"/>
      <scheme val="minor"/>
    </font>
    <font>
      <sz val="11"/>
      <color theme="1"/>
      <name val="Calibri"/>
      <family val="2"/>
      <scheme val="minor"/>
    </font>
    <font>
      <b/>
      <sz val="11"/>
      <color theme="1"/>
      <name val="Calibri"/>
      <family val="2"/>
      <scheme val="minor"/>
    </font>
    <font>
      <sz val="28"/>
      <color theme="0"/>
      <name val="Calibri"/>
      <family val="2"/>
      <scheme val="minor"/>
    </font>
    <font>
      <sz val="11"/>
      <color indexed="8"/>
      <name val="Calibri"/>
      <family val="2"/>
    </font>
    <font>
      <b/>
      <sz val="12"/>
      <color indexed="8"/>
      <name val="Calibri"/>
      <family val="2"/>
    </font>
    <font>
      <b/>
      <sz val="11"/>
      <color indexed="8"/>
      <name val="Calibri"/>
      <family val="2"/>
    </font>
    <font>
      <u/>
      <sz val="10"/>
      <color indexed="12"/>
      <name val="MS Sans Serif"/>
      <family val="2"/>
    </font>
    <font>
      <sz val="12"/>
      <color indexed="8"/>
      <name val="Calibri"/>
      <family val="2"/>
    </font>
    <font>
      <sz val="11"/>
      <color indexed="22"/>
      <name val="Calibri"/>
      <family val="2"/>
    </font>
    <font>
      <i/>
      <sz val="12"/>
      <color indexed="8"/>
      <name val="Calibri"/>
      <family val="2"/>
    </font>
    <font>
      <b/>
      <i/>
      <sz val="11"/>
      <color indexed="10"/>
      <name val="Calibri"/>
      <family val="2"/>
    </font>
    <font>
      <b/>
      <sz val="11"/>
      <color rgb="FFFF0000"/>
      <name val="Calibri"/>
      <family val="2"/>
      <scheme val="minor"/>
    </font>
    <font>
      <i/>
      <sz val="11"/>
      <color theme="1"/>
      <name val="Calibri"/>
      <family val="2"/>
      <scheme val="minor"/>
    </font>
    <font>
      <sz val="11"/>
      <color rgb="FFFF0000"/>
      <name val="Calibri"/>
      <family val="2"/>
    </font>
    <font>
      <sz val="11"/>
      <color rgb="FF000000"/>
      <name val="Calibri"/>
      <family val="2"/>
      <scheme val="minor"/>
    </font>
    <font>
      <b/>
      <sz val="10"/>
      <color indexed="8"/>
      <name val="Calibri"/>
      <family val="2"/>
    </font>
    <font>
      <sz val="10"/>
      <color indexed="8"/>
      <name val="Calibri"/>
      <family val="2"/>
    </font>
    <font>
      <b/>
      <sz val="5"/>
      <color indexed="8"/>
      <name val="Calibri"/>
      <family val="2"/>
    </font>
    <font>
      <sz val="5"/>
      <color indexed="8"/>
      <name val="Calibri"/>
      <family val="2"/>
    </font>
    <font>
      <b/>
      <sz val="8"/>
      <color indexed="81"/>
      <name val="Tahoma"/>
      <family val="2"/>
    </font>
    <font>
      <sz val="8"/>
      <color indexed="81"/>
      <name val="Tahoma"/>
      <family val="2"/>
    </font>
    <font>
      <sz val="11"/>
      <name val="Calibri"/>
      <family val="2"/>
    </font>
    <font>
      <i/>
      <vertAlign val="subscript"/>
      <sz val="11"/>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i/>
      <sz val="11"/>
      <color theme="1"/>
      <name val="Calibri"/>
      <family val="2"/>
    </font>
    <font>
      <i/>
      <vertAlign val="subscript"/>
      <sz val="11"/>
      <color theme="1"/>
      <name val="Calibri"/>
      <family val="2"/>
    </font>
    <font>
      <sz val="11"/>
      <color rgb="FFFF0000"/>
      <name val="Calibri"/>
      <family val="2"/>
      <scheme val="minor"/>
    </font>
    <font>
      <sz val="11"/>
      <name val="Calibri"/>
      <family val="2"/>
      <scheme val="minor"/>
    </font>
    <font>
      <b/>
      <sz val="11"/>
      <name val="Calibri"/>
      <family val="2"/>
      <scheme val="minor"/>
    </font>
    <font>
      <u/>
      <sz val="11"/>
      <color indexed="12"/>
      <name val="Calibri"/>
      <family val="2"/>
      <scheme val="minor"/>
    </font>
    <font>
      <b/>
      <sz val="12"/>
      <color theme="1"/>
      <name val="Calibri"/>
      <family val="2"/>
      <scheme val="minor"/>
    </font>
    <font>
      <b/>
      <sz val="14"/>
      <color theme="1"/>
      <name val="Calibri"/>
      <family val="2"/>
      <scheme val="minor"/>
    </font>
    <font>
      <b/>
      <vertAlign val="subscript"/>
      <sz val="12"/>
      <color theme="1"/>
      <name val="Calibri"/>
      <family val="2"/>
      <scheme val="minor"/>
    </font>
    <font>
      <b/>
      <sz val="14"/>
      <name val="Calibri"/>
      <family val="2"/>
      <scheme val="minor"/>
    </font>
    <font>
      <b/>
      <sz val="11"/>
      <color theme="1"/>
      <name val="Calibri"/>
      <family val="2"/>
    </font>
    <font>
      <b/>
      <sz val="12"/>
      <name val="Calibri"/>
      <family val="2"/>
      <scheme val="minor"/>
    </font>
    <font>
      <b/>
      <i/>
      <sz val="11"/>
      <color theme="1"/>
      <name val="Calibri"/>
      <family val="2"/>
      <scheme val="minor"/>
    </font>
    <font>
      <sz val="11"/>
      <color theme="0"/>
      <name val="Calibri"/>
      <family val="2"/>
      <scheme val="minor"/>
    </font>
    <font>
      <sz val="11"/>
      <color theme="0" tint="-0.249977111117893"/>
      <name val="Calibri"/>
      <family val="2"/>
      <scheme val="minor"/>
    </font>
    <font>
      <u/>
      <vertAlign val="subscript"/>
      <sz val="11"/>
      <color indexed="12"/>
      <name val="Calibri"/>
      <family val="2"/>
      <scheme val="minor"/>
    </font>
    <font>
      <b/>
      <sz val="12"/>
      <name val="Calibri"/>
      <family val="2"/>
    </font>
    <font>
      <b/>
      <vertAlign val="subscript"/>
      <sz val="14"/>
      <color theme="1"/>
      <name val="Calibri"/>
      <family val="2"/>
      <scheme val="minor"/>
    </font>
    <font>
      <b/>
      <sz val="11"/>
      <name val="Calibri"/>
      <family val="2"/>
    </font>
    <font>
      <i/>
      <sz val="12"/>
      <name val="Calibri"/>
      <family val="2"/>
    </font>
    <font>
      <i/>
      <sz val="11"/>
      <name val="Calibri"/>
      <family val="2"/>
      <scheme val="minor"/>
    </font>
    <font>
      <i/>
      <u/>
      <sz val="11"/>
      <color indexed="12"/>
      <name val="Calibri"/>
      <family val="2"/>
      <scheme val="minor"/>
    </font>
    <font>
      <sz val="14"/>
      <color theme="1"/>
      <name val="Calibri"/>
      <family val="2"/>
      <scheme val="minor"/>
    </font>
    <font>
      <sz val="14"/>
      <name val="Calibri"/>
      <family val="2"/>
      <scheme val="minor"/>
    </font>
    <font>
      <b/>
      <i/>
      <sz val="15"/>
      <color theme="9"/>
      <name val="Calibri"/>
      <family val="2"/>
    </font>
    <font>
      <b/>
      <i/>
      <sz val="14"/>
      <color theme="7"/>
      <name val="Calibri"/>
      <family val="2"/>
    </font>
    <font>
      <b/>
      <i/>
      <sz val="14"/>
      <color theme="4"/>
      <name val="Calibri"/>
      <family val="2"/>
    </font>
    <font>
      <b/>
      <i/>
      <sz val="12"/>
      <color theme="6"/>
      <name val="Calibri"/>
      <family val="2"/>
    </font>
    <font>
      <i/>
      <sz val="11"/>
      <color rgb="FFFF0000"/>
      <name val="Calibri"/>
      <family val="2"/>
      <scheme val="minor"/>
    </font>
    <font>
      <sz val="14"/>
      <color theme="8" tint="0.79998168889431442"/>
      <name val="Calibri"/>
      <family val="2"/>
      <scheme val="minor"/>
    </font>
    <font>
      <b/>
      <vertAlign val="subscript"/>
      <sz val="11"/>
      <name val="Calibri"/>
      <family val="2"/>
      <scheme val="minor"/>
    </font>
    <font>
      <i/>
      <sz val="10"/>
      <color theme="1"/>
      <name val="Calibri"/>
      <family val="2"/>
      <scheme val="minor"/>
    </font>
    <font>
      <sz val="11"/>
      <color theme="8" tint="0.79998168889431442"/>
      <name val="Calibri"/>
      <family val="2"/>
      <scheme val="minor"/>
    </font>
    <font>
      <u/>
      <sz val="11"/>
      <color theme="1"/>
      <name val="Calibri"/>
      <family val="2"/>
      <scheme val="minor"/>
    </font>
    <font>
      <sz val="28"/>
      <color indexed="9"/>
      <name val="Calibri"/>
      <family val="2"/>
      <scheme val="minor"/>
    </font>
    <font>
      <sz val="9"/>
      <color theme="1"/>
      <name val="Calibri"/>
      <family val="2"/>
      <scheme val="minor"/>
    </font>
    <font>
      <sz val="10"/>
      <color theme="1"/>
      <name val="Calibri"/>
      <family val="2"/>
      <scheme val="minor"/>
    </font>
    <font>
      <vertAlign val="subscript"/>
      <sz val="10"/>
      <color indexed="8"/>
      <name val="Calibri"/>
      <family val="2"/>
    </font>
    <font>
      <sz val="11"/>
      <color theme="0"/>
      <name val="Calibri"/>
      <family val="2"/>
    </font>
    <font>
      <b/>
      <i/>
      <u/>
      <sz val="11"/>
      <color theme="1"/>
      <name val="Calibri"/>
      <family val="2"/>
      <scheme val="minor"/>
    </font>
    <font>
      <i/>
      <u/>
      <sz val="11"/>
      <color theme="1"/>
      <name val="Calibri"/>
      <family val="2"/>
      <scheme val="minor"/>
    </font>
    <font>
      <sz val="10"/>
      <color theme="1"/>
      <name val="Verdana"/>
      <family val="2"/>
    </font>
    <font>
      <b/>
      <vertAlign val="subscript"/>
      <sz val="11"/>
      <color indexed="8"/>
      <name val="Calibri"/>
      <family val="2"/>
    </font>
    <font>
      <b/>
      <i/>
      <sz val="11"/>
      <color indexed="8"/>
      <name val="Calibri"/>
      <family val="2"/>
    </font>
    <font>
      <b/>
      <i/>
      <vertAlign val="subscript"/>
      <sz val="11"/>
      <color indexed="8"/>
      <name val="Calibri"/>
      <family val="2"/>
    </font>
    <font>
      <sz val="7"/>
      <color indexed="8"/>
      <name val="Calibri"/>
      <family val="2"/>
    </font>
    <font>
      <b/>
      <i/>
      <vertAlign val="subscript"/>
      <sz val="11"/>
      <color theme="1"/>
      <name val="Calibri"/>
      <family val="2"/>
      <scheme val="minor"/>
    </font>
    <font>
      <sz val="11"/>
      <color theme="0" tint="-4.9989318521683403E-2"/>
      <name val="Calibri"/>
      <family val="2"/>
      <scheme val="minor"/>
    </font>
    <font>
      <vertAlign val="subscript"/>
      <sz val="9"/>
      <color theme="1"/>
      <name val="Calibri"/>
      <family val="2"/>
      <scheme val="minor"/>
    </font>
    <font>
      <u/>
      <vertAlign val="subscript"/>
      <sz val="11"/>
      <color theme="1"/>
      <name val="Calibri"/>
      <family val="2"/>
      <scheme val="minor"/>
    </font>
    <font>
      <b/>
      <sz val="11"/>
      <color theme="0" tint="-0.499984740745262"/>
      <name val="Calibri"/>
      <family val="2"/>
      <scheme val="minor"/>
    </font>
    <font>
      <sz val="11"/>
      <color theme="0" tint="-0.499984740745262"/>
      <name val="Calibri"/>
      <family val="2"/>
      <scheme val="minor"/>
    </font>
    <font>
      <vertAlign val="superscript"/>
      <sz val="11"/>
      <color theme="1"/>
      <name val="Calibri"/>
      <family val="2"/>
      <scheme val="minor"/>
    </font>
    <font>
      <sz val="22"/>
      <color theme="0"/>
      <name val="Calibri"/>
      <family val="2"/>
      <scheme val="minor"/>
    </font>
    <font>
      <sz val="20"/>
      <color theme="0"/>
      <name val="Calibri"/>
      <family val="2"/>
      <scheme val="minor"/>
    </font>
    <font>
      <b/>
      <sz val="22"/>
      <color theme="1"/>
      <name val="Calibri"/>
      <family val="2"/>
      <scheme val="minor"/>
    </font>
    <font>
      <sz val="11"/>
      <color rgb="FF22B7E6"/>
      <name val="Calibri"/>
      <family val="2"/>
      <scheme val="minor"/>
    </font>
    <font>
      <sz val="11"/>
      <color rgb="FF22B7E6"/>
      <name val="Calibri"/>
      <family val="2"/>
    </font>
    <font>
      <sz val="10.5"/>
      <color indexed="8"/>
      <name val="Calibri"/>
      <family val="2"/>
    </font>
    <font>
      <b/>
      <sz val="10.5"/>
      <color indexed="8"/>
      <name val="Calibri"/>
      <family val="2"/>
    </font>
    <font>
      <sz val="10.5"/>
      <color theme="0"/>
      <name val="Calibri"/>
      <family val="2"/>
      <scheme val="minor"/>
    </font>
    <font>
      <sz val="10.5"/>
      <color theme="0"/>
      <name val="Calibri"/>
      <family val="2"/>
    </font>
    <font>
      <b/>
      <sz val="10.5"/>
      <color theme="0"/>
      <name val="Calibri"/>
      <family val="2"/>
      <scheme val="minor"/>
    </font>
    <font>
      <sz val="10.5"/>
      <color theme="9" tint="-0.249977111117893"/>
      <name val="Calibri"/>
      <family val="2"/>
    </font>
    <font>
      <u/>
      <sz val="11"/>
      <color theme="11"/>
      <name val="Calibri"/>
      <family val="2"/>
      <scheme val="minor"/>
    </font>
    <font>
      <sz val="10"/>
      <name val="Arial"/>
      <family val="2"/>
    </font>
    <font>
      <sz val="10"/>
      <name val="MS Sans Serif"/>
      <family val="2"/>
    </font>
    <font>
      <sz val="10"/>
      <color indexed="8"/>
      <name val="SansSerif"/>
    </font>
    <font>
      <sz val="8"/>
      <name val="Tahoma"/>
      <family val="2"/>
    </font>
    <font>
      <b/>
      <vertAlign val="superscript"/>
      <sz val="11"/>
      <color theme="1"/>
      <name val="Calibri"/>
      <family val="2"/>
      <scheme val="minor"/>
    </font>
    <font>
      <b/>
      <u/>
      <sz val="11"/>
      <color indexed="12"/>
      <name val="Calibri"/>
      <family val="2"/>
      <scheme val="minor"/>
    </font>
    <font>
      <sz val="12"/>
      <color theme="1"/>
      <name val="Arial"/>
      <family val="2"/>
    </font>
    <font>
      <sz val="14"/>
      <color theme="0"/>
      <name val="Calibri"/>
      <family val="2"/>
      <scheme val="minor"/>
    </font>
    <font>
      <vertAlign val="subscript"/>
      <sz val="10"/>
      <color theme="1"/>
      <name val="Calibri"/>
      <family val="2"/>
      <scheme val="minor"/>
    </font>
    <font>
      <b/>
      <sz val="11"/>
      <color theme="0"/>
      <name val="Calibri"/>
      <family val="2"/>
      <scheme val="minor"/>
    </font>
    <font>
      <sz val="9"/>
      <color indexed="81"/>
      <name val="Tahoma"/>
      <family val="2"/>
    </font>
    <font>
      <vertAlign val="subscript"/>
      <sz val="9"/>
      <color indexed="81"/>
      <name val="Tahoma"/>
      <family val="2"/>
    </font>
    <font>
      <u/>
      <sz val="10"/>
      <color theme="10"/>
      <name val="Arial"/>
      <family val="2"/>
    </font>
    <font>
      <b/>
      <sz val="14"/>
      <color theme="3"/>
      <name val="Calibri"/>
      <family val="2"/>
      <scheme val="minor"/>
    </font>
    <font>
      <sz val="11"/>
      <color theme="5"/>
      <name val="Calibri"/>
      <family val="2"/>
      <scheme val="minor"/>
    </font>
    <font>
      <b/>
      <sz val="12"/>
      <color theme="0"/>
      <name val="Calibri"/>
      <family val="2"/>
    </font>
    <font>
      <i/>
      <sz val="11"/>
      <color rgb="FFFF0000"/>
      <name val="Calibri"/>
      <family val="2"/>
    </font>
    <font>
      <b/>
      <sz val="11"/>
      <color theme="0"/>
      <name val="Calibri"/>
      <family val="2"/>
    </font>
    <font>
      <b/>
      <sz val="12"/>
      <color theme="0"/>
      <name val="Calibri"/>
      <family val="2"/>
      <scheme val="minor"/>
    </font>
    <font>
      <b/>
      <vertAlign val="subscript"/>
      <sz val="11"/>
      <color theme="0"/>
      <name val="Calibri"/>
      <family val="2"/>
      <scheme val="minor"/>
    </font>
    <font>
      <b/>
      <vertAlign val="subscript"/>
      <sz val="12"/>
      <color theme="0"/>
      <name val="Calibri"/>
      <family val="2"/>
      <scheme val="minor"/>
    </font>
    <font>
      <b/>
      <sz val="11"/>
      <color theme="0" tint="-4.9989318521683403E-2"/>
      <name val="Calibri"/>
      <family val="2"/>
      <scheme val="minor"/>
    </font>
    <font>
      <b/>
      <sz val="9"/>
      <color indexed="81"/>
      <name val="Tahoma"/>
      <family val="2"/>
    </font>
    <font>
      <sz val="11"/>
      <color rgb="FF000000"/>
      <name val="Calibri"/>
      <family val="2"/>
    </font>
    <font>
      <sz val="8"/>
      <color rgb="FF000000"/>
      <name val="Tahoma"/>
      <family val="2"/>
    </font>
    <font>
      <b/>
      <sz val="11"/>
      <color rgb="FF000000"/>
      <name val="Calibri"/>
      <family val="2"/>
    </font>
    <font>
      <u/>
      <vertAlign val="subscript"/>
      <sz val="11"/>
      <color rgb="FF0000FF"/>
      <name val="Calibri"/>
      <family val="2"/>
      <scheme val="minor"/>
    </font>
  </fonts>
  <fills count="22">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tint="-0.249977111117893"/>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0"/>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C99"/>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249977111117893"/>
        <bgColor indexed="64"/>
      </patternFill>
    </fill>
    <fill>
      <patternFill patternType="solid">
        <fgColor rgb="FF0067AB"/>
        <bgColor indexed="64"/>
      </patternFill>
    </fill>
    <fill>
      <patternFill patternType="solid">
        <fgColor rgb="FF92D050"/>
        <bgColor indexed="64"/>
      </patternFill>
    </fill>
    <fill>
      <patternFill patternType="solid">
        <fgColor rgb="FF22B7E6"/>
        <bgColor indexed="64"/>
      </patternFill>
    </fill>
  </fills>
  <borders count="9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right/>
      <top/>
      <bottom style="double">
        <color auto="1"/>
      </bottom>
      <diagonal/>
    </border>
    <border>
      <left/>
      <right/>
      <top style="mediumDashed">
        <color auto="1"/>
      </top>
      <bottom/>
      <diagonal/>
    </border>
    <border>
      <left/>
      <right style="double">
        <color auto="1"/>
      </right>
      <top style="thin">
        <color auto="1"/>
      </top>
      <bottom style="thin">
        <color auto="1"/>
      </bottom>
      <diagonal/>
    </border>
    <border>
      <left style="thick">
        <color auto="1"/>
      </left>
      <right/>
      <top/>
      <bottom/>
      <diagonal/>
    </border>
    <border>
      <left/>
      <right style="thick">
        <color auto="1"/>
      </right>
      <top/>
      <bottom/>
      <diagonal/>
    </border>
    <border>
      <left style="thick">
        <color auto="1"/>
      </left>
      <right/>
      <top/>
      <bottom style="double">
        <color auto="1"/>
      </bottom>
      <diagonal/>
    </border>
    <border>
      <left style="thick">
        <color auto="1"/>
      </left>
      <right/>
      <top style="mediumDashed">
        <color auto="1"/>
      </top>
      <bottom/>
      <diagonal/>
    </border>
    <border>
      <left style="thick">
        <color auto="1"/>
      </left>
      <right/>
      <top style="mediumDashed">
        <color auto="1"/>
      </top>
      <bottom style="mediumDashed">
        <color auto="1"/>
      </bottom>
      <diagonal/>
    </border>
    <border>
      <left/>
      <right/>
      <top style="mediumDashed">
        <color auto="1"/>
      </top>
      <bottom style="mediumDashed">
        <color auto="1"/>
      </bottom>
      <diagonal/>
    </border>
    <border>
      <left/>
      <right style="thick">
        <color auto="1"/>
      </right>
      <top style="mediumDashed">
        <color auto="1"/>
      </top>
      <bottom style="mediumDashed">
        <color auto="1"/>
      </bottom>
      <diagonal/>
    </border>
    <border>
      <left style="thick">
        <color auto="1"/>
      </left>
      <right/>
      <top style="mediumDashed">
        <color theme="3"/>
      </top>
      <bottom style="mediumDashed">
        <color theme="3"/>
      </bottom>
      <diagonal/>
    </border>
    <border>
      <left/>
      <right/>
      <top style="mediumDashed">
        <color theme="3"/>
      </top>
      <bottom style="mediumDashed">
        <color theme="3"/>
      </bottom>
      <diagonal/>
    </border>
    <border>
      <left/>
      <right style="thick">
        <color auto="1"/>
      </right>
      <top style="mediumDashed">
        <color theme="3"/>
      </top>
      <bottom style="mediumDashed">
        <color theme="3"/>
      </bottom>
      <diagonal/>
    </border>
    <border>
      <left/>
      <right style="thick">
        <color auto="1"/>
      </right>
      <top/>
      <bottom style="double">
        <color auto="1"/>
      </bottom>
      <diagonal/>
    </border>
    <border>
      <left/>
      <right style="thick">
        <color auto="1"/>
      </right>
      <top style="mediumDashed">
        <color auto="1"/>
      </top>
      <bottom/>
      <diagonal/>
    </border>
    <border>
      <left/>
      <right/>
      <top style="dotted">
        <color auto="1"/>
      </top>
      <bottom/>
      <diagonal/>
    </border>
    <border>
      <left style="thick">
        <color auto="1"/>
      </left>
      <right/>
      <top/>
      <bottom style="mediumDashed">
        <color auto="1"/>
      </bottom>
      <diagonal/>
    </border>
    <border>
      <left/>
      <right/>
      <top/>
      <bottom style="mediumDashed">
        <color auto="1"/>
      </bottom>
      <diagonal/>
    </border>
    <border>
      <left style="thick">
        <color theme="3"/>
      </left>
      <right/>
      <top/>
      <bottom/>
      <diagonal/>
    </border>
    <border>
      <left/>
      <right style="thin">
        <color auto="1"/>
      </right>
      <top style="dotted">
        <color auto="1"/>
      </top>
      <bottom/>
      <diagonal/>
    </border>
    <border>
      <left style="thin">
        <color auto="1"/>
      </left>
      <right/>
      <top style="dotted">
        <color auto="1"/>
      </top>
      <bottom/>
      <diagonal/>
    </border>
    <border>
      <left style="thin">
        <color auto="1"/>
      </left>
      <right/>
      <top style="dotted">
        <color auto="1"/>
      </top>
      <bottom style="thin">
        <color auto="1"/>
      </bottom>
      <diagonal/>
    </border>
    <border>
      <left style="thick">
        <color auto="1"/>
      </left>
      <right/>
      <top style="thin">
        <color auto="1"/>
      </top>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thick">
        <color auto="1"/>
      </left>
      <right/>
      <top/>
      <bottom style="thin">
        <color auto="1"/>
      </bottom>
      <diagonal/>
    </border>
    <border>
      <left style="thin">
        <color auto="1"/>
      </left>
      <right style="thin">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thick">
        <color auto="1"/>
      </top>
      <bottom style="thin">
        <color auto="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style="dotted">
        <color auto="1"/>
      </bottom>
      <diagonal/>
    </border>
    <border>
      <left/>
      <right style="thin">
        <color auto="1"/>
      </right>
      <top/>
      <bottom style="dotted">
        <color auto="1"/>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style="thick">
        <color theme="3"/>
      </right>
      <top style="mediumDashed">
        <color theme="3"/>
      </top>
      <bottom style="mediumDashed">
        <color theme="3"/>
      </bottom>
      <diagonal/>
    </border>
    <border>
      <left/>
      <right style="thick">
        <color auto="1"/>
      </right>
      <top/>
      <bottom style="mediumDashed">
        <color auto="1"/>
      </bottom>
      <diagonal/>
    </border>
    <border>
      <left style="dashed">
        <color auto="1"/>
      </left>
      <right style="dashed">
        <color auto="1"/>
      </right>
      <top style="dashed">
        <color auto="1"/>
      </top>
      <bottom style="dashed">
        <color auto="1"/>
      </bottom>
      <diagonal/>
    </border>
    <border>
      <left/>
      <right style="thin">
        <color theme="0"/>
      </right>
      <top/>
      <bottom/>
      <diagonal/>
    </border>
    <border>
      <left/>
      <right/>
      <top style="thick">
        <color auto="1"/>
      </top>
      <bottom/>
      <diagonal/>
    </border>
    <border>
      <left style="thin">
        <color indexed="64"/>
      </left>
      <right/>
      <top/>
      <bottom style="mediumDashed">
        <color auto="1"/>
      </bottom>
      <diagonal/>
    </border>
    <border>
      <left style="thin">
        <color indexed="64"/>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bottom/>
      <diagonal/>
    </border>
    <border>
      <left style="thin">
        <color auto="1"/>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ck">
        <color auto="1"/>
      </bottom>
      <diagonal/>
    </border>
    <border>
      <left style="thin">
        <color auto="1"/>
      </left>
      <right/>
      <top style="thin">
        <color auto="1"/>
      </top>
      <bottom style="thick">
        <color auto="1"/>
      </bottom>
      <diagonal/>
    </border>
    <border>
      <left/>
      <right/>
      <top style="thin">
        <color auto="1"/>
      </top>
      <bottom style="thick">
        <color auto="1"/>
      </bottom>
      <diagonal/>
    </border>
    <border>
      <left/>
      <right style="thin">
        <color auto="1"/>
      </right>
      <top style="thin">
        <color auto="1"/>
      </top>
      <bottom style="thick">
        <color auto="1"/>
      </bottom>
      <diagonal/>
    </border>
    <border>
      <left style="thick">
        <color auto="1"/>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auto="1"/>
      </top>
      <bottom style="medium">
        <color indexed="64"/>
      </bottom>
      <diagonal/>
    </border>
    <border>
      <left style="thick">
        <color auto="1"/>
      </left>
      <right style="thin">
        <color auto="1"/>
      </right>
      <top style="thin">
        <color auto="1"/>
      </top>
      <bottom style="thin">
        <color auto="1"/>
      </bottom>
      <diagonal/>
    </border>
  </borders>
  <cellStyleXfs count="15">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xf numFmtId="0" fontId="7" fillId="0" borderId="0" applyNumberFormat="0" applyFill="0" applyBorder="0" applyAlignment="0" applyProtection="0"/>
    <xf numFmtId="0" fontId="4" fillId="0" borderId="0"/>
    <xf numFmtId="9" fontId="1" fillId="0" borderId="0" applyFont="0" applyFill="0" applyBorder="0" applyAlignment="0" applyProtection="0"/>
    <xf numFmtId="0" fontId="91" fillId="0" borderId="0" applyNumberFormat="0" applyFill="0" applyBorder="0" applyAlignment="0" applyProtection="0"/>
    <xf numFmtId="0" fontId="92" fillId="0" borderId="0"/>
    <xf numFmtId="43" fontId="1" fillId="0" borderId="0" applyFont="0" applyFill="0" applyBorder="0" applyAlignment="0" applyProtection="0"/>
    <xf numFmtId="0" fontId="92" fillId="0" borderId="0"/>
    <xf numFmtId="0" fontId="93" fillId="0" borderId="0"/>
    <xf numFmtId="0" fontId="1" fillId="0" borderId="0"/>
    <xf numFmtId="0" fontId="92" fillId="0" borderId="0"/>
    <xf numFmtId="0" fontId="104" fillId="0" borderId="0" applyNumberFormat="0" applyFill="0" applyBorder="0" applyAlignment="0" applyProtection="0"/>
  </cellStyleXfs>
  <cellXfs count="1152">
    <xf numFmtId="0" fontId="0" fillId="0" borderId="0" xfId="0"/>
    <xf numFmtId="0" fontId="2" fillId="0" borderId="0" xfId="0" applyFont="1"/>
    <xf numFmtId="0" fontId="4" fillId="0" borderId="0" xfId="3"/>
    <xf numFmtId="0" fontId="5" fillId="0" borderId="0" xfId="3" applyFont="1"/>
    <xf numFmtId="0" fontId="4" fillId="0" borderId="0" xfId="3" applyAlignment="1">
      <alignment wrapText="1"/>
    </xf>
    <xf numFmtId="0" fontId="6" fillId="0" borderId="0" xfId="3" applyFont="1"/>
    <xf numFmtId="0" fontId="7" fillId="0" borderId="0" xfId="4"/>
    <xf numFmtId="0" fontId="8" fillId="0" borderId="0" xfId="3" applyFont="1"/>
    <xf numFmtId="0" fontId="9" fillId="0" borderId="0" xfId="3" applyFont="1"/>
    <xf numFmtId="0" fontId="10" fillId="0" borderId="0" xfId="3" applyFont="1"/>
    <xf numFmtId="0" fontId="11" fillId="0" borderId="0" xfId="3" applyFont="1"/>
    <xf numFmtId="0" fontId="0" fillId="4" borderId="0" xfId="0" applyFill="1"/>
    <xf numFmtId="0" fontId="0" fillId="0" borderId="0" xfId="0" applyAlignment="1">
      <alignment horizontal="left"/>
    </xf>
    <xf numFmtId="0" fontId="14" fillId="0" borderId="0" xfId="3" applyFont="1"/>
    <xf numFmtId="0" fontId="4" fillId="0" borderId="0" xfId="5"/>
    <xf numFmtId="0" fontId="6" fillId="0" borderId="1" xfId="5" applyFont="1" applyBorder="1" applyAlignment="1">
      <alignment wrapText="1"/>
    </xf>
    <xf numFmtId="0" fontId="6" fillId="0" borderId="4" xfId="5" applyFont="1" applyBorder="1"/>
    <xf numFmtId="0" fontId="4" fillId="0" borderId="0" xfId="5" applyAlignment="1">
      <alignment wrapText="1"/>
    </xf>
    <xf numFmtId="0" fontId="17" fillId="0" borderId="0" xfId="5" applyFont="1" applyAlignment="1">
      <alignment horizontal="left" vertical="top" wrapText="1"/>
    </xf>
    <xf numFmtId="0" fontId="6" fillId="0" borderId="5" xfId="5" applyFont="1" applyBorder="1" applyAlignment="1">
      <alignment wrapText="1"/>
    </xf>
    <xf numFmtId="0" fontId="19" fillId="0" borderId="0" xfId="5" applyFont="1" applyAlignment="1">
      <alignment vertical="top" wrapText="1"/>
    </xf>
    <xf numFmtId="0" fontId="6" fillId="0" borderId="6" xfId="5" applyFont="1" applyBorder="1" applyAlignment="1">
      <alignment wrapText="1"/>
    </xf>
    <xf numFmtId="0" fontId="4" fillId="0" borderId="6" xfId="5" applyBorder="1"/>
    <xf numFmtId="0" fontId="17" fillId="0" borderId="4" xfId="5" applyFont="1" applyBorder="1" applyAlignment="1">
      <alignment horizontal="left" vertical="top" wrapText="1"/>
    </xf>
    <xf numFmtId="0" fontId="1" fillId="0" borderId="0" xfId="5" applyFont="1"/>
    <xf numFmtId="0" fontId="6" fillId="0" borderId="1" xfId="5" applyFont="1" applyBorder="1"/>
    <xf numFmtId="0" fontId="6" fillId="0" borderId="2" xfId="5" applyFont="1" applyBorder="1"/>
    <xf numFmtId="0" fontId="0" fillId="7" borderId="0" xfId="0" applyFill="1"/>
    <xf numFmtId="0" fontId="5" fillId="7" borderId="0" xfId="3" applyFont="1" applyFill="1"/>
    <xf numFmtId="0" fontId="4" fillId="7" borderId="0" xfId="3" applyFill="1"/>
    <xf numFmtId="0" fontId="6" fillId="7" borderId="0" xfId="3" applyFont="1" applyFill="1"/>
    <xf numFmtId="0" fontId="7" fillId="7" borderId="0" xfId="4" applyFill="1"/>
    <xf numFmtId="0" fontId="8" fillId="7" borderId="0" xfId="3" applyFont="1" applyFill="1"/>
    <xf numFmtId="0" fontId="0" fillId="0" borderId="7" xfId="0" applyBorder="1" applyAlignment="1">
      <alignment wrapText="1"/>
    </xf>
    <xf numFmtId="0" fontId="0" fillId="0" borderId="13" xfId="0" applyBorder="1" applyAlignment="1">
      <alignment wrapText="1"/>
    </xf>
    <xf numFmtId="0" fontId="0" fillId="0" borderId="8" xfId="0" applyBorder="1" applyAlignment="1">
      <alignment wrapText="1"/>
    </xf>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9" xfId="0" applyBorder="1"/>
    <xf numFmtId="0" fontId="0" fillId="0" borderId="13" xfId="0" applyBorder="1"/>
    <xf numFmtId="0" fontId="0" fillId="0" borderId="8" xfId="0" applyBorder="1"/>
    <xf numFmtId="0" fontId="0" fillId="0" borderId="10" xfId="0" applyBorder="1"/>
    <xf numFmtId="0" fontId="0" fillId="0" borderId="11" xfId="0" applyBorder="1"/>
    <xf numFmtId="0" fontId="0" fillId="0" borderId="14" xfId="0" applyBorder="1"/>
    <xf numFmtId="0" fontId="0" fillId="0" borderId="12" xfId="0" applyBorder="1"/>
    <xf numFmtId="0" fontId="0" fillId="0" borderId="9" xfId="0" applyBorder="1" applyAlignment="1">
      <alignment wrapText="1"/>
    </xf>
    <xf numFmtId="0" fontId="0" fillId="0" borderId="6" xfId="0" applyBorder="1"/>
    <xf numFmtId="0" fontId="0" fillId="0" borderId="5" xfId="0" applyBorder="1"/>
    <xf numFmtId="2" fontId="0" fillId="0" borderId="10" xfId="0" applyNumberFormat="1" applyBorder="1"/>
    <xf numFmtId="168" fontId="0" fillId="0" borderId="0" xfId="0" applyNumberFormat="1"/>
    <xf numFmtId="169" fontId="0" fillId="0" borderId="0" xfId="0" applyNumberFormat="1"/>
    <xf numFmtId="2" fontId="2" fillId="0" borderId="0" xfId="0" applyNumberFormat="1" applyFont="1"/>
    <xf numFmtId="0" fontId="14" fillId="7" borderId="0" xfId="3" applyFont="1" applyFill="1"/>
    <xf numFmtId="0" fontId="0" fillId="0" borderId="0" xfId="0" applyAlignment="1">
      <alignment horizontal="center"/>
    </xf>
    <xf numFmtId="0" fontId="0" fillId="8" borderId="0" xfId="0" applyFill="1"/>
    <xf numFmtId="0" fontId="0" fillId="0" borderId="0" xfId="0" applyAlignment="1">
      <alignment wrapText="1"/>
    </xf>
    <xf numFmtId="0" fontId="13" fillId="0" borderId="0" xfId="0" applyFont="1"/>
    <xf numFmtId="2" fontId="0" fillId="0" borderId="0" xfId="0" applyNumberFormat="1" applyAlignment="1">
      <alignment horizontal="center"/>
    </xf>
    <xf numFmtId="0" fontId="2" fillId="0" borderId="14" xfId="0" applyFont="1" applyBorder="1" applyAlignment="1">
      <alignment horizontal="center" wrapText="1"/>
    </xf>
    <xf numFmtId="0" fontId="2" fillId="0" borderId="14" xfId="0" applyFont="1" applyBorder="1" applyAlignment="1">
      <alignment horizontal="center"/>
    </xf>
    <xf numFmtId="166" fontId="0" fillId="0" borderId="0" xfId="0" applyNumberFormat="1" applyAlignment="1">
      <alignment horizontal="center"/>
    </xf>
    <xf numFmtId="0" fontId="2" fillId="0" borderId="0" xfId="0" applyFont="1" applyAlignment="1">
      <alignment horizontal="center"/>
    </xf>
    <xf numFmtId="0" fontId="2" fillId="0" borderId="0" xfId="0" applyFont="1" applyAlignment="1">
      <alignment wrapText="1"/>
    </xf>
    <xf numFmtId="166" fontId="2" fillId="0" borderId="0" xfId="0" applyNumberFormat="1" applyFont="1" applyAlignment="1">
      <alignment horizontal="center"/>
    </xf>
    <xf numFmtId="168" fontId="0" fillId="0" borderId="0" xfId="0" applyNumberFormat="1" applyAlignment="1">
      <alignment horizontal="center"/>
    </xf>
    <xf numFmtId="2" fontId="0" fillId="0" borderId="6" xfId="0" applyNumberFormat="1" applyBorder="1" applyAlignment="1">
      <alignment horizontal="center"/>
    </xf>
    <xf numFmtId="0" fontId="0" fillId="0" borderId="14" xfId="0" applyBorder="1" applyAlignment="1">
      <alignment horizontal="center"/>
    </xf>
    <xf numFmtId="0" fontId="29" fillId="0" borderId="0" xfId="0" applyFont="1"/>
    <xf numFmtId="2" fontId="0" fillId="9" borderId="0" xfId="0" applyNumberFormat="1" applyFill="1" applyAlignment="1">
      <alignment horizontal="center"/>
    </xf>
    <xf numFmtId="0" fontId="0" fillId="0" borderId="14" xfId="0" applyBorder="1" applyAlignment="1">
      <alignment horizontal="center" wrapText="1"/>
    </xf>
    <xf numFmtId="0" fontId="30" fillId="0" borderId="0" xfId="0" applyFont="1"/>
    <xf numFmtId="172" fontId="2" fillId="0" borderId="11" xfId="0" applyNumberFormat="1" applyFont="1" applyBorder="1" applyAlignment="1">
      <alignment horizontal="center" wrapText="1"/>
    </xf>
    <xf numFmtId="0" fontId="0" fillId="0" borderId="16" xfId="0" applyBorder="1"/>
    <xf numFmtId="172" fontId="0" fillId="0" borderId="16" xfId="0" applyNumberFormat="1" applyBorder="1" applyAlignment="1">
      <alignment horizontal="center"/>
    </xf>
    <xf numFmtId="173" fontId="0" fillId="0" borderId="16" xfId="0" applyNumberFormat="1" applyBorder="1" applyAlignment="1">
      <alignment horizontal="center"/>
    </xf>
    <xf numFmtId="174" fontId="0" fillId="0" borderId="16" xfId="0" applyNumberFormat="1" applyBorder="1" applyAlignment="1">
      <alignment horizontal="center"/>
    </xf>
    <xf numFmtId="0" fontId="0" fillId="0" borderId="16" xfId="0" applyBorder="1" applyAlignment="1">
      <alignment horizontal="center"/>
    </xf>
    <xf numFmtId="168" fontId="0" fillId="0" borderId="16" xfId="0" applyNumberFormat="1" applyBorder="1"/>
    <xf numFmtId="0" fontId="30" fillId="0" borderId="0" xfId="0" applyFont="1" applyAlignment="1">
      <alignment horizontal="center"/>
    </xf>
    <xf numFmtId="0" fontId="30" fillId="0" borderId="15" xfId="0" applyFont="1" applyBorder="1"/>
    <xf numFmtId="0" fontId="30" fillId="0" borderId="15" xfId="0" applyFont="1" applyBorder="1" applyAlignment="1">
      <alignment horizontal="center"/>
    </xf>
    <xf numFmtId="0" fontId="32" fillId="0" borderId="0" xfId="4" applyFont="1" applyFill="1"/>
    <xf numFmtId="0" fontId="32" fillId="0" borderId="0" xfId="4" applyFont="1" applyFill="1" applyAlignment="1">
      <alignment horizontal="center"/>
    </xf>
    <xf numFmtId="0" fontId="32" fillId="0" borderId="15" xfId="4" applyFont="1" applyFill="1" applyBorder="1"/>
    <xf numFmtId="0" fontId="32" fillId="0" borderId="15" xfId="4" applyFont="1" applyFill="1" applyBorder="1" applyAlignment="1">
      <alignment horizontal="center"/>
    </xf>
    <xf numFmtId="2" fontId="0" fillId="0" borderId="14" xfId="0" applyNumberFormat="1" applyBorder="1" applyAlignment="1">
      <alignment horizontal="center"/>
    </xf>
    <xf numFmtId="2" fontId="0" fillId="9" borderId="14" xfId="0" applyNumberFormat="1" applyFill="1" applyBorder="1" applyAlignment="1">
      <alignment horizontal="center"/>
    </xf>
    <xf numFmtId="167" fontId="0" fillId="0" borderId="0" xfId="0" applyNumberFormat="1" applyAlignment="1">
      <alignment horizontal="center"/>
    </xf>
    <xf numFmtId="167" fontId="0" fillId="0" borderId="14" xfId="0" applyNumberFormat="1" applyBorder="1" applyAlignment="1">
      <alignment horizontal="center"/>
    </xf>
    <xf numFmtId="11" fontId="0" fillId="9" borderId="0" xfId="0" applyNumberFormat="1" applyFill="1" applyAlignment="1">
      <alignment horizontal="center"/>
    </xf>
    <xf numFmtId="11" fontId="0" fillId="9" borderId="14" xfId="0" applyNumberFormat="1" applyFill="1" applyBorder="1" applyAlignment="1">
      <alignment horizontal="center"/>
    </xf>
    <xf numFmtId="165" fontId="0" fillId="0" borderId="0" xfId="0" applyNumberFormat="1" applyAlignment="1">
      <alignment horizontal="center"/>
    </xf>
    <xf numFmtId="0" fontId="0" fillId="9" borderId="0" xfId="0" applyFill="1" applyAlignment="1">
      <alignment horizontal="center"/>
    </xf>
    <xf numFmtId="0" fontId="0" fillId="9" borderId="14" xfId="0" applyFill="1" applyBorder="1" applyAlignment="1">
      <alignment horizontal="center"/>
    </xf>
    <xf numFmtId="171" fontId="2" fillId="0" borderId="0" xfId="0" applyNumberFormat="1" applyFont="1" applyAlignment="1">
      <alignment horizontal="center" vertical="center"/>
    </xf>
    <xf numFmtId="0" fontId="0" fillId="0" borderId="2" xfId="0" applyBorder="1" applyAlignment="1">
      <alignment horizontal="center" wrapText="1"/>
    </xf>
    <xf numFmtId="0" fontId="0" fillId="0" borderId="2" xfId="0" applyBorder="1" applyAlignment="1">
      <alignment horizontal="center"/>
    </xf>
    <xf numFmtId="0" fontId="0" fillId="0" borderId="2" xfId="0" applyBorder="1"/>
    <xf numFmtId="0" fontId="2" fillId="0" borderId="6" xfId="0" applyFont="1" applyBorder="1"/>
    <xf numFmtId="0" fontId="2" fillId="0" borderId="5" xfId="0" applyFont="1" applyBorder="1"/>
    <xf numFmtId="0" fontId="0" fillId="0" borderId="2" xfId="0" applyBorder="1" applyAlignment="1">
      <alignment horizontal="center" vertical="center" wrapText="1"/>
    </xf>
    <xf numFmtId="0" fontId="0" fillId="0" borderId="17" xfId="0" applyBorder="1" applyAlignment="1">
      <alignment horizontal="center" vertical="center" wrapText="1"/>
    </xf>
    <xf numFmtId="0" fontId="0" fillId="0" borderId="3" xfId="0" applyBorder="1" applyAlignment="1">
      <alignment horizontal="center" wrapText="1"/>
    </xf>
    <xf numFmtId="0" fontId="2" fillId="0" borderId="5" xfId="0" applyFont="1" applyBorder="1" applyAlignment="1">
      <alignment horizontal="center"/>
    </xf>
    <xf numFmtId="171" fontId="0" fillId="0" borderId="0" xfId="0" applyNumberFormat="1" applyAlignment="1">
      <alignment horizontal="center"/>
    </xf>
    <xf numFmtId="0" fontId="2" fillId="0" borderId="5" xfId="0" applyFont="1" applyBorder="1" applyAlignment="1">
      <alignment horizontal="center" wrapText="1"/>
    </xf>
    <xf numFmtId="0" fontId="0" fillId="0" borderId="4" xfId="0" applyBorder="1"/>
    <xf numFmtId="0" fontId="0" fillId="3" borderId="0" xfId="0" applyFill="1"/>
    <xf numFmtId="0" fontId="0" fillId="6" borderId="0" xfId="0" applyFill="1"/>
    <xf numFmtId="0" fontId="0" fillId="0" borderId="3" xfId="0" applyBorder="1"/>
    <xf numFmtId="0" fontId="2" fillId="0" borderId="1" xfId="0" applyFont="1" applyBorder="1"/>
    <xf numFmtId="0" fontId="40" fillId="0" borderId="0" xfId="0" applyFont="1"/>
    <xf numFmtId="2" fontId="2" fillId="0" borderId="14" xfId="0" applyNumberFormat="1" applyFont="1" applyBorder="1" applyAlignment="1">
      <alignment horizontal="center"/>
    </xf>
    <xf numFmtId="0" fontId="33" fillId="0" borderId="0" xfId="0" applyFont="1"/>
    <xf numFmtId="2" fontId="2" fillId="0" borderId="0" xfId="0" applyNumberFormat="1" applyFont="1" applyAlignment="1">
      <alignment horizontal="center" vertical="center"/>
    </xf>
    <xf numFmtId="2" fontId="2" fillId="0" borderId="12" xfId="0" applyNumberFormat="1" applyFont="1" applyBorder="1" applyAlignment="1">
      <alignment horizontal="center"/>
    </xf>
    <xf numFmtId="0" fontId="34" fillId="0" borderId="16" xfId="0" applyFont="1" applyBorder="1"/>
    <xf numFmtId="0" fontId="0" fillId="0" borderId="0" xfId="0" applyAlignment="1">
      <alignment horizontal="center" wrapText="1"/>
    </xf>
    <xf numFmtId="0" fontId="2" fillId="0" borderId="6" xfId="0" applyFont="1" applyBorder="1" applyAlignment="1">
      <alignment horizontal="left"/>
    </xf>
    <xf numFmtId="0" fontId="0" fillId="0" borderId="5" xfId="0" applyBorder="1" applyAlignment="1">
      <alignment wrapText="1"/>
    </xf>
    <xf numFmtId="0" fontId="2" fillId="0" borderId="12"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0" fillId="0" borderId="1" xfId="0" applyBorder="1"/>
    <xf numFmtId="2" fontId="0" fillId="0" borderId="6" xfId="0" applyNumberFormat="1" applyBorder="1" applyAlignment="1">
      <alignment horizontal="center" vertical="center"/>
    </xf>
    <xf numFmtId="171" fontId="0" fillId="0" borderId="6" xfId="0" quotePrefix="1" applyNumberFormat="1" applyBorder="1" applyAlignment="1">
      <alignment horizontal="center" vertical="center"/>
    </xf>
    <xf numFmtId="0" fontId="0" fillId="0" borderId="3" xfId="0" applyBorder="1" applyAlignment="1">
      <alignment horizontal="center"/>
    </xf>
    <xf numFmtId="2" fontId="0" fillId="0" borderId="2" xfId="0" applyNumberFormat="1" applyBorder="1" applyAlignment="1">
      <alignment horizontal="center" vertical="center"/>
    </xf>
    <xf numFmtId="0" fontId="43" fillId="0" borderId="0" xfId="3" applyFont="1" applyAlignment="1">
      <alignment horizontal="left" indent="1"/>
    </xf>
    <xf numFmtId="0" fontId="0" fillId="0" borderId="0" xfId="0" applyAlignment="1">
      <alignment horizontal="center" vertical="center"/>
    </xf>
    <xf numFmtId="43" fontId="0" fillId="4" borderId="0" xfId="1" applyFont="1" applyFill="1" applyBorder="1"/>
    <xf numFmtId="164" fontId="0" fillId="0" borderId="0" xfId="1" applyNumberFormat="1" applyFont="1" applyBorder="1"/>
    <xf numFmtId="0" fontId="0" fillId="4" borderId="6" xfId="0" applyFill="1" applyBorder="1"/>
    <xf numFmtId="164" fontId="2" fillId="0" borderId="2" xfId="1" applyNumberFormat="1" applyFont="1" applyBorder="1"/>
    <xf numFmtId="164" fontId="2" fillId="0" borderId="3" xfId="1" applyNumberFormat="1" applyFont="1" applyBorder="1"/>
    <xf numFmtId="164" fontId="0" fillId="0" borderId="6" xfId="0" applyNumberFormat="1" applyBorder="1"/>
    <xf numFmtId="164" fontId="0" fillId="0" borderId="0" xfId="1" applyNumberFormat="1" applyFont="1" applyBorder="1" applyAlignment="1">
      <alignment horizontal="center"/>
    </xf>
    <xf numFmtId="0" fontId="0" fillId="0" borderId="6" xfId="0" applyBorder="1" applyAlignment="1">
      <alignment horizontal="center"/>
    </xf>
    <xf numFmtId="164" fontId="0" fillId="0" borderId="6" xfId="1" applyNumberFormat="1" applyFont="1" applyBorder="1" applyAlignment="1">
      <alignment horizontal="center"/>
    </xf>
    <xf numFmtId="164" fontId="2" fillId="0" borderId="2" xfId="1" applyNumberFormat="1" applyFont="1" applyBorder="1" applyAlignment="1">
      <alignment horizontal="center"/>
    </xf>
    <xf numFmtId="164" fontId="0" fillId="0" borderId="0" xfId="1" applyNumberFormat="1" applyFont="1" applyBorder="1" applyAlignment="1"/>
    <xf numFmtId="2" fontId="0" fillId="4" borderId="0" xfId="0" applyNumberFormat="1" applyFill="1" applyAlignment="1">
      <alignment horizontal="center" vertical="center"/>
    </xf>
    <xf numFmtId="0" fontId="0" fillId="4" borderId="6" xfId="0" applyFill="1" applyBorder="1" applyAlignment="1">
      <alignment horizontal="center"/>
    </xf>
    <xf numFmtId="0" fontId="22" fillId="0" borderId="0" xfId="5" applyFont="1"/>
    <xf numFmtId="0" fontId="17" fillId="0" borderId="2" xfId="5" applyFont="1" applyBorder="1" applyAlignment="1">
      <alignment horizontal="left" vertical="top" wrapText="1"/>
    </xf>
    <xf numFmtId="170" fontId="22" fillId="0" borderId="0" xfId="1" applyNumberFormat="1" applyFont="1" applyBorder="1" applyAlignment="1"/>
    <xf numFmtId="0" fontId="17" fillId="0" borderId="2" xfId="5" applyFont="1" applyBorder="1" applyAlignment="1">
      <alignment horizontal="center" wrapText="1"/>
    </xf>
    <xf numFmtId="0" fontId="22" fillId="0" borderId="6" xfId="5" applyFont="1" applyBorder="1"/>
    <xf numFmtId="0" fontId="22" fillId="0" borderId="2" xfId="5" applyFont="1" applyBorder="1"/>
    <xf numFmtId="43" fontId="0" fillId="0" borderId="2" xfId="1" applyFont="1" applyBorder="1"/>
    <xf numFmtId="170" fontId="22" fillId="0" borderId="6" xfId="1" applyNumberFormat="1" applyFont="1" applyBorder="1" applyAlignment="1"/>
    <xf numFmtId="43" fontId="0" fillId="0" borderId="2" xfId="1" applyFont="1" applyBorder="1" applyAlignment="1"/>
    <xf numFmtId="170" fontId="0" fillId="0" borderId="6" xfId="0" applyNumberFormat="1" applyBorder="1"/>
    <xf numFmtId="0" fontId="4" fillId="0" borderId="0" xfId="5" applyAlignment="1">
      <alignment horizontal="center"/>
    </xf>
    <xf numFmtId="0" fontId="6" fillId="0" borderId="6" xfId="5" applyFont="1" applyBorder="1"/>
    <xf numFmtId="0" fontId="2" fillId="0" borderId="6" xfId="0" applyFont="1" applyBorder="1" applyAlignment="1">
      <alignment wrapText="1"/>
    </xf>
    <xf numFmtId="0" fontId="2" fillId="0" borderId="6" xfId="0" applyFont="1" applyBorder="1" applyAlignment="1">
      <alignment vertical="center" wrapText="1"/>
    </xf>
    <xf numFmtId="0" fontId="1" fillId="0" borderId="0" xfId="5" applyFont="1" applyAlignment="1">
      <alignment horizontal="center" vertical="center"/>
    </xf>
    <xf numFmtId="0" fontId="0" fillId="0" borderId="0" xfId="0" applyAlignment="1">
      <alignment vertical="center" wrapText="1"/>
    </xf>
    <xf numFmtId="0" fontId="0" fillId="0" borderId="10" xfId="0" applyBorder="1" applyAlignment="1">
      <alignment horizontal="center" vertical="center"/>
    </xf>
    <xf numFmtId="0" fontId="2" fillId="0" borderId="9" xfId="0" applyFont="1" applyBorder="1" applyAlignment="1">
      <alignment vertical="center" wrapText="1"/>
    </xf>
    <xf numFmtId="0" fontId="0" fillId="0" borderId="12" xfId="0" applyBorder="1" applyAlignment="1">
      <alignment horizontal="center" vertical="center"/>
    </xf>
    <xf numFmtId="0" fontId="0" fillId="0" borderId="1" xfId="0" applyBorder="1" applyAlignment="1">
      <alignment horizontal="center"/>
    </xf>
    <xf numFmtId="0" fontId="2" fillId="0" borderId="11" xfId="0" applyFont="1" applyBorder="1" applyAlignment="1">
      <alignment vertical="center" wrapText="1"/>
    </xf>
    <xf numFmtId="43" fontId="0" fillId="0" borderId="0" xfId="0" applyNumberFormat="1" applyAlignment="1">
      <alignment horizontal="center" vertical="center"/>
    </xf>
    <xf numFmtId="43" fontId="0" fillId="0" borderId="2" xfId="0" applyNumberFormat="1" applyBorder="1" applyAlignment="1">
      <alignment horizontal="center" vertical="center"/>
    </xf>
    <xf numFmtId="2" fontId="0" fillId="0" borderId="0" xfId="0" applyNumberFormat="1" applyAlignment="1">
      <alignment horizontal="center" vertical="center"/>
    </xf>
    <xf numFmtId="164" fontId="0" fillId="0" borderId="0" xfId="1" applyNumberFormat="1" applyFont="1" applyFill="1" applyBorder="1" applyAlignment="1">
      <alignment horizontal="center" vertical="center"/>
    </xf>
    <xf numFmtId="166" fontId="2" fillId="0" borderId="0" xfId="0" applyNumberFormat="1" applyFont="1" applyAlignment="1">
      <alignment horizontal="center" vertical="center"/>
    </xf>
    <xf numFmtId="0" fontId="0" fillId="0" borderId="0" xfId="0" applyAlignment="1">
      <alignment vertical="center"/>
    </xf>
    <xf numFmtId="165" fontId="0" fillId="0" borderId="0" xfId="0" applyNumberFormat="1" applyAlignment="1">
      <alignment horizontal="center" vertical="center"/>
    </xf>
    <xf numFmtId="164" fontId="0" fillId="0" borderId="10" xfId="1" applyNumberFormat="1" applyFont="1" applyBorder="1" applyAlignment="1">
      <alignment horizontal="center"/>
    </xf>
    <xf numFmtId="164" fontId="2" fillId="0" borderId="3" xfId="1" applyNumberFormat="1" applyFont="1" applyBorder="1" applyAlignment="1">
      <alignment horizontal="center"/>
    </xf>
    <xf numFmtId="0" fontId="2" fillId="0" borderId="4" xfId="0" applyFont="1" applyBorder="1" applyAlignment="1">
      <alignment horizontal="center" wrapText="1"/>
    </xf>
    <xf numFmtId="0" fontId="30" fillId="0" borderId="2" xfId="0" applyFont="1" applyBorder="1" applyAlignment="1">
      <alignment horizontal="center" wrapText="1"/>
    </xf>
    <xf numFmtId="164" fontId="30" fillId="0" borderId="0" xfId="1" applyNumberFormat="1" applyFont="1" applyFill="1" applyBorder="1" applyAlignment="1">
      <alignment horizontal="center"/>
    </xf>
    <xf numFmtId="0" fontId="0" fillId="0" borderId="15" xfId="0" applyBorder="1"/>
    <xf numFmtId="0" fontId="32" fillId="0" borderId="0" xfId="4" applyFont="1"/>
    <xf numFmtId="0" fontId="32" fillId="0" borderId="15" xfId="4" applyFont="1" applyBorder="1"/>
    <xf numFmtId="0" fontId="2" fillId="0" borderId="0" xfId="0" applyFont="1" applyAlignment="1">
      <alignment horizontal="center" wrapText="1"/>
    </xf>
    <xf numFmtId="0" fontId="2" fillId="0" borderId="2" xfId="0" applyFont="1" applyBorder="1" applyAlignment="1">
      <alignment horizontal="center" vertical="center" wrapText="1"/>
    </xf>
    <xf numFmtId="164" fontId="0" fillId="0" borderId="6" xfId="0" applyNumberFormat="1" applyBorder="1" applyAlignment="1">
      <alignment horizontal="center"/>
    </xf>
    <xf numFmtId="0" fontId="0" fillId="0" borderId="3" xfId="0" quotePrefix="1" applyBorder="1" applyAlignment="1">
      <alignment horizontal="center" vertical="center" wrapText="1"/>
    </xf>
    <xf numFmtId="0" fontId="46" fillId="0" borderId="0" xfId="3" applyFont="1" applyAlignment="1">
      <alignment horizontal="left"/>
    </xf>
    <xf numFmtId="0" fontId="47" fillId="0" borderId="0" xfId="0" applyFont="1"/>
    <xf numFmtId="0" fontId="46" fillId="9" borderId="0" xfId="3" applyFont="1" applyFill="1" applyAlignment="1">
      <alignment horizontal="left"/>
    </xf>
    <xf numFmtId="0" fontId="0" fillId="9" borderId="0" xfId="0" applyFill="1"/>
    <xf numFmtId="0" fontId="47" fillId="9" borderId="0" xfId="0" applyFont="1" applyFill="1"/>
    <xf numFmtId="0" fontId="2" fillId="0" borderId="0" xfId="0" applyFont="1" applyAlignment="1">
      <alignment horizontal="left"/>
    </xf>
    <xf numFmtId="0" fontId="2" fillId="0" borderId="0" xfId="0" applyFont="1" applyAlignment="1">
      <alignment horizontal="left" wrapText="1"/>
    </xf>
    <xf numFmtId="0" fontId="2" fillId="9" borderId="2" xfId="0" applyFont="1" applyFill="1" applyBorder="1" applyAlignment="1">
      <alignment horizontal="center"/>
    </xf>
    <xf numFmtId="0" fontId="2" fillId="9" borderId="3" xfId="0" applyFont="1" applyFill="1" applyBorder="1" applyAlignment="1">
      <alignment horizontal="center"/>
    </xf>
    <xf numFmtId="0" fontId="2" fillId="0" borderId="2" xfId="0" applyFont="1" applyBorder="1" applyAlignment="1">
      <alignment horizontal="center"/>
    </xf>
    <xf numFmtId="0" fontId="2" fillId="0" borderId="3" xfId="0" applyFont="1" applyBorder="1"/>
    <xf numFmtId="0" fontId="0" fillId="0" borderId="0" xfId="0" applyAlignment="1">
      <alignment horizontal="right"/>
    </xf>
    <xf numFmtId="0" fontId="2" fillId="0" borderId="2" xfId="0" applyFont="1" applyBorder="1"/>
    <xf numFmtId="0" fontId="0" fillId="0" borderId="14" xfId="0" applyBorder="1" applyAlignment="1">
      <alignment horizontal="left"/>
    </xf>
    <xf numFmtId="0" fontId="2" fillId="0" borderId="2" xfId="0" applyFont="1" applyBorder="1" applyAlignment="1">
      <alignment horizontal="left"/>
    </xf>
    <xf numFmtId="0" fontId="48" fillId="0" borderId="0" xfId="4" applyFont="1"/>
    <xf numFmtId="0" fontId="50" fillId="9" borderId="0" xfId="0" applyFont="1" applyFill="1"/>
    <xf numFmtId="0" fontId="49" fillId="9" borderId="0" xfId="0" applyFont="1" applyFill="1"/>
    <xf numFmtId="0" fontId="0" fillId="0" borderId="0" xfId="0" quotePrefix="1" applyAlignment="1">
      <alignment horizontal="left" indent="3"/>
    </xf>
    <xf numFmtId="0" fontId="55" fillId="0" borderId="0" xfId="0" applyFont="1"/>
    <xf numFmtId="0" fontId="0" fillId="0" borderId="6" xfId="0" applyBorder="1" applyAlignment="1">
      <alignment vertical="center" wrapText="1"/>
    </xf>
    <xf numFmtId="0" fontId="31" fillId="0" borderId="0" xfId="0" applyFont="1"/>
    <xf numFmtId="1" fontId="0" fillId="0" borderId="0" xfId="0" applyNumberFormat="1" applyAlignment="1">
      <alignment horizontal="center"/>
    </xf>
    <xf numFmtId="1" fontId="0" fillId="0" borderId="10" xfId="0" applyNumberFormat="1" applyBorder="1" applyAlignment="1">
      <alignment horizontal="center"/>
    </xf>
    <xf numFmtId="1" fontId="0" fillId="0" borderId="14" xfId="0" applyNumberFormat="1" applyBorder="1" applyAlignment="1">
      <alignment horizontal="center"/>
    </xf>
    <xf numFmtId="1" fontId="0" fillId="0" borderId="12" xfId="0" applyNumberFormat="1" applyBorder="1" applyAlignment="1">
      <alignment horizontal="center"/>
    </xf>
    <xf numFmtId="9" fontId="2" fillId="0" borderId="0" xfId="0" applyNumberFormat="1" applyFont="1"/>
    <xf numFmtId="2" fontId="0" fillId="0" borderId="0" xfId="0" applyNumberFormat="1"/>
    <xf numFmtId="0" fontId="0" fillId="10" borderId="6" xfId="0" applyFill="1" applyBorder="1" applyAlignment="1">
      <alignment wrapText="1"/>
    </xf>
    <xf numFmtId="0" fontId="2" fillId="10" borderId="10" xfId="0" applyFont="1" applyFill="1" applyBorder="1" applyAlignment="1">
      <alignment horizontal="center" wrapText="1"/>
    </xf>
    <xf numFmtId="0" fontId="0" fillId="0" borderId="4" xfId="0" applyBorder="1" applyAlignment="1">
      <alignment wrapText="1"/>
    </xf>
    <xf numFmtId="0" fontId="0" fillId="0" borderId="13" xfId="0" applyBorder="1" applyAlignment="1">
      <alignment horizontal="center" wrapText="1"/>
    </xf>
    <xf numFmtId="0" fontId="0" fillId="10" borderId="7" xfId="0" applyFill="1" applyBorder="1" applyAlignment="1">
      <alignment wrapText="1"/>
    </xf>
    <xf numFmtId="0" fontId="2" fillId="10" borderId="8" xfId="0" applyFont="1" applyFill="1" applyBorder="1" applyAlignment="1">
      <alignment horizontal="center" wrapText="1"/>
    </xf>
    <xf numFmtId="0" fontId="0" fillId="10" borderId="11" xfId="0" applyFill="1" applyBorder="1" applyAlignment="1">
      <alignment wrapText="1"/>
    </xf>
    <xf numFmtId="0" fontId="2" fillId="10" borderId="12" xfId="0" applyFont="1" applyFill="1" applyBorder="1" applyAlignment="1">
      <alignment horizontal="center" wrapText="1"/>
    </xf>
    <xf numFmtId="0" fontId="2" fillId="0" borderId="4" xfId="0" applyFont="1" applyBorder="1"/>
    <xf numFmtId="2" fontId="0" fillId="0" borderId="1" xfId="0" applyNumberFormat="1" applyBorder="1" applyAlignment="1">
      <alignment horizontal="center"/>
    </xf>
    <xf numFmtId="2" fontId="0" fillId="0" borderId="2" xfId="0" applyNumberFormat="1" applyBorder="1" applyAlignment="1">
      <alignment horizontal="center"/>
    </xf>
    <xf numFmtId="2" fontId="0" fillId="0" borderId="3" xfId="0" applyNumberFormat="1" applyBorder="1" applyAlignment="1">
      <alignment horizontal="center"/>
    </xf>
    <xf numFmtId="0" fontId="2" fillId="0" borderId="12" xfId="0" applyFont="1" applyBorder="1" applyAlignment="1">
      <alignment horizontal="center"/>
    </xf>
    <xf numFmtId="2" fontId="0" fillId="0" borderId="12" xfId="0" applyNumberFormat="1" applyBorder="1"/>
    <xf numFmtId="0" fontId="0" fillId="10" borderId="9" xfId="0" applyFill="1" applyBorder="1" applyAlignment="1">
      <alignment wrapText="1"/>
    </xf>
    <xf numFmtId="0" fontId="0" fillId="10" borderId="7" xfId="0" applyFill="1" applyBorder="1" applyAlignment="1">
      <alignment horizontal="center" vertical="center" wrapText="1"/>
    </xf>
    <xf numFmtId="0" fontId="0" fillId="10" borderId="9" xfId="0" applyFill="1" applyBorder="1" applyAlignment="1">
      <alignment horizontal="center" vertical="center" wrapText="1"/>
    </xf>
    <xf numFmtId="0" fontId="0" fillId="10" borderId="0" xfId="0" applyFill="1" applyAlignment="1">
      <alignment horizontal="center" vertical="center" wrapText="1"/>
    </xf>
    <xf numFmtId="171" fontId="0" fillId="10" borderId="0" xfId="0" applyNumberFormat="1" applyFill="1" applyAlignment="1">
      <alignment horizontal="center" vertical="center" wrapText="1"/>
    </xf>
    <xf numFmtId="171" fontId="0" fillId="10" borderId="10" xfId="0" applyNumberFormat="1" applyFill="1" applyBorder="1" applyAlignment="1">
      <alignment horizontal="center" vertical="center" wrapText="1"/>
    </xf>
    <xf numFmtId="0" fontId="0" fillId="10" borderId="13" xfId="0" applyFill="1" applyBorder="1" applyAlignment="1">
      <alignment horizontal="center" vertical="center" wrapText="1"/>
    </xf>
    <xf numFmtId="0" fontId="0" fillId="10" borderId="8" xfId="0" applyFill="1" applyBorder="1" applyAlignment="1">
      <alignment horizontal="center" vertical="center" wrapText="1"/>
    </xf>
    <xf numFmtId="0" fontId="32" fillId="0" borderId="0" xfId="4" applyFont="1" applyBorder="1"/>
    <xf numFmtId="0" fontId="1" fillId="0" borderId="0" xfId="0" applyFont="1"/>
    <xf numFmtId="9" fontId="0" fillId="0" borderId="10" xfId="6" applyFont="1" applyBorder="1" applyAlignment="1">
      <alignment horizontal="center"/>
    </xf>
    <xf numFmtId="1" fontId="0" fillId="0" borderId="0" xfId="0" applyNumberFormat="1"/>
    <xf numFmtId="0" fontId="13" fillId="0" borderId="0" xfId="0" applyFont="1" applyAlignment="1">
      <alignment horizontal="left" indent="5"/>
    </xf>
    <xf numFmtId="178" fontId="0" fillId="0" borderId="0" xfId="0" applyNumberFormat="1" applyAlignment="1">
      <alignment horizontal="center"/>
    </xf>
    <xf numFmtId="178" fontId="0" fillId="0" borderId="6" xfId="0" applyNumberFormat="1" applyBorder="1" applyAlignment="1">
      <alignment horizontal="center"/>
    </xf>
    <xf numFmtId="175" fontId="0" fillId="0" borderId="0" xfId="0" applyNumberFormat="1" applyAlignment="1">
      <alignment horizontal="center"/>
    </xf>
    <xf numFmtId="180" fontId="0" fillId="0" borderId="0" xfId="0" applyNumberFormat="1" applyAlignment="1">
      <alignment horizontal="center"/>
    </xf>
    <xf numFmtId="180" fontId="0" fillId="0" borderId="6" xfId="0" applyNumberFormat="1" applyBorder="1" applyAlignment="1">
      <alignment horizontal="center"/>
    </xf>
    <xf numFmtId="2" fontId="0" fillId="10" borderId="0" xfId="0" applyNumberFormat="1" applyFill="1" applyAlignment="1">
      <alignment horizontal="right"/>
    </xf>
    <xf numFmtId="166" fontId="0" fillId="10" borderId="0" xfId="0" applyNumberFormat="1" applyFill="1" applyAlignment="1">
      <alignment horizontal="right"/>
    </xf>
    <xf numFmtId="176" fontId="0" fillId="0" borderId="0" xfId="0" applyNumberFormat="1" applyAlignment="1">
      <alignment horizontal="center"/>
    </xf>
    <xf numFmtId="182" fontId="0" fillId="0" borderId="0" xfId="0" applyNumberFormat="1" applyAlignment="1">
      <alignment horizontal="center"/>
    </xf>
    <xf numFmtId="0" fontId="0" fillId="0" borderId="1" xfId="0" applyBorder="1" applyAlignment="1">
      <alignment horizontal="center" vertical="center" wrapText="1"/>
    </xf>
    <xf numFmtId="0" fontId="30" fillId="0" borderId="0" xfId="4" applyFont="1"/>
    <xf numFmtId="0" fontId="58" fillId="0" borderId="9" xfId="0" applyFont="1" applyBorder="1"/>
    <xf numFmtId="0" fontId="58" fillId="0" borderId="14" xfId="0" applyFont="1" applyBorder="1"/>
    <xf numFmtId="0" fontId="2" fillId="0" borderId="10" xfId="0" applyFont="1" applyBorder="1" applyAlignment="1">
      <alignment horizontal="center" vertical="center"/>
    </xf>
    <xf numFmtId="0" fontId="2" fillId="0" borderId="1" xfId="0" applyFont="1" applyBorder="1" applyAlignment="1">
      <alignment horizontal="center" wrapText="1"/>
    </xf>
    <xf numFmtId="0" fontId="0" fillId="0" borderId="11" xfId="0" applyBorder="1" applyAlignment="1">
      <alignment horizontal="center"/>
    </xf>
    <xf numFmtId="0" fontId="2" fillId="0" borderId="13" xfId="0" applyFont="1" applyBorder="1" applyAlignment="1">
      <alignment horizontal="center"/>
    </xf>
    <xf numFmtId="0" fontId="2" fillId="0" borderId="8" xfId="0" applyFont="1" applyBorder="1" applyAlignment="1">
      <alignment horizontal="center"/>
    </xf>
    <xf numFmtId="0" fontId="2" fillId="0" borderId="7" xfId="0" applyFont="1" applyBorder="1" applyAlignment="1">
      <alignment horizontal="center"/>
    </xf>
    <xf numFmtId="0" fontId="2" fillId="0" borderId="3" xfId="0" applyFont="1" applyBorder="1" applyAlignment="1">
      <alignment horizontal="center" vertical="center"/>
    </xf>
    <xf numFmtId="0" fontId="34" fillId="9" borderId="0" xfId="0" applyFont="1" applyFill="1"/>
    <xf numFmtId="0" fontId="60" fillId="0" borderId="0" xfId="0" applyFont="1"/>
    <xf numFmtId="1" fontId="0" fillId="0" borderId="2" xfId="0" applyNumberFormat="1" applyBorder="1" applyAlignment="1">
      <alignment horizontal="center"/>
    </xf>
    <xf numFmtId="1" fontId="0" fillId="0" borderId="3" xfId="0" applyNumberFormat="1" applyBorder="1" applyAlignment="1">
      <alignment horizontal="center"/>
    </xf>
    <xf numFmtId="0" fontId="58" fillId="0" borderId="0" xfId="0" applyFont="1"/>
    <xf numFmtId="0" fontId="0" fillId="0" borderId="18" xfId="0" quotePrefix="1" applyBorder="1"/>
    <xf numFmtId="0" fontId="0" fillId="0" borderId="18" xfId="0" applyBorder="1"/>
    <xf numFmtId="0" fontId="0" fillId="0" borderId="19" xfId="0" applyBorder="1"/>
    <xf numFmtId="0" fontId="2" fillId="4" borderId="18" xfId="0" applyFont="1" applyFill="1" applyBorder="1"/>
    <xf numFmtId="0" fontId="2" fillId="0" borderId="18" xfId="0" applyFont="1" applyBorder="1"/>
    <xf numFmtId="43" fontId="4" fillId="0" borderId="18" xfId="1" applyFont="1" applyBorder="1"/>
    <xf numFmtId="0" fontId="4" fillId="0" borderId="18" xfId="5" applyBorder="1"/>
    <xf numFmtId="0" fontId="0" fillId="0" borderId="18" xfId="0" applyBorder="1" applyAlignment="1">
      <alignment wrapText="1"/>
    </xf>
    <xf numFmtId="0" fontId="41" fillId="0" borderId="18" xfId="0" applyFont="1" applyBorder="1"/>
    <xf numFmtId="0" fontId="5" fillId="7" borderId="18" xfId="3" applyFont="1" applyFill="1" applyBorder="1" applyAlignment="1">
      <alignment horizontal="left" indent="1"/>
    </xf>
    <xf numFmtId="0" fontId="0" fillId="7" borderId="18" xfId="0" applyFill="1" applyBorder="1"/>
    <xf numFmtId="0" fontId="5" fillId="7" borderId="18" xfId="3" applyFont="1" applyFill="1" applyBorder="1" applyAlignment="1">
      <alignment horizontal="right"/>
    </xf>
    <xf numFmtId="0" fontId="4" fillId="7" borderId="18" xfId="3" applyFill="1" applyBorder="1" applyAlignment="1">
      <alignment horizontal="right"/>
    </xf>
    <xf numFmtId="0" fontId="4" fillId="7" borderId="18" xfId="3" applyFill="1" applyBorder="1"/>
    <xf numFmtId="0" fontId="9" fillId="7" borderId="18" xfId="3" applyFont="1" applyFill="1" applyBorder="1" applyAlignment="1">
      <alignment horizontal="left"/>
    </xf>
    <xf numFmtId="0" fontId="31" fillId="0" borderId="18" xfId="0" applyFont="1" applyBorder="1" applyAlignment="1">
      <alignment horizontal="left"/>
    </xf>
    <xf numFmtId="0" fontId="30" fillId="0" borderId="18" xfId="0" applyFont="1" applyBorder="1" applyAlignment="1">
      <alignment horizontal="left" indent="1"/>
    </xf>
    <xf numFmtId="0" fontId="32" fillId="0" borderId="18" xfId="4" applyFont="1" applyFill="1" applyBorder="1" applyAlignment="1">
      <alignment horizontal="left" indent="3"/>
    </xf>
    <xf numFmtId="0" fontId="30" fillId="0" borderId="18" xfId="0" applyFont="1" applyBorder="1"/>
    <xf numFmtId="0" fontId="34" fillId="0" borderId="18" xfId="0" applyFont="1" applyBorder="1"/>
    <xf numFmtId="0" fontId="40" fillId="0" borderId="18" xfId="0" applyFont="1" applyBorder="1"/>
    <xf numFmtId="0" fontId="29" fillId="0" borderId="18" xfId="0" applyFont="1" applyBorder="1"/>
    <xf numFmtId="0" fontId="13" fillId="0" borderId="18" xfId="0" applyFont="1" applyBorder="1"/>
    <xf numFmtId="0" fontId="0" fillId="0" borderId="18" xfId="0" applyBorder="1" applyAlignment="1">
      <alignment horizontal="center" wrapText="1"/>
    </xf>
    <xf numFmtId="0" fontId="5" fillId="0" borderId="18" xfId="3" applyFont="1" applyBorder="1" applyAlignment="1">
      <alignment horizontal="left" indent="1"/>
    </xf>
    <xf numFmtId="0" fontId="4" fillId="0" borderId="18" xfId="3" applyBorder="1"/>
    <xf numFmtId="0" fontId="5" fillId="0" borderId="18" xfId="3" applyFont="1" applyBorder="1" applyAlignment="1">
      <alignment horizontal="right"/>
    </xf>
    <xf numFmtId="0" fontId="9" fillId="0" borderId="18" xfId="3" applyFont="1" applyBorder="1" applyAlignment="1">
      <alignment horizontal="left"/>
    </xf>
    <xf numFmtId="0" fontId="32" fillId="0" borderId="18" xfId="4" applyFont="1" applyBorder="1" applyAlignment="1">
      <alignment horizontal="left" indent="1"/>
    </xf>
    <xf numFmtId="0" fontId="32" fillId="0" borderId="18" xfId="4" applyFont="1" applyBorder="1" applyAlignment="1">
      <alignment horizontal="left" indent="3"/>
    </xf>
    <xf numFmtId="0" fontId="0" fillId="8" borderId="18" xfId="0" applyFill="1" applyBorder="1"/>
    <xf numFmtId="0" fontId="59" fillId="9" borderId="18" xfId="0" applyFont="1" applyFill="1" applyBorder="1"/>
    <xf numFmtId="0" fontId="56" fillId="9" borderId="18" xfId="0" applyFont="1" applyFill="1" applyBorder="1"/>
    <xf numFmtId="0" fontId="15" fillId="0" borderId="18" xfId="0" applyFont="1" applyBorder="1"/>
    <xf numFmtId="0" fontId="32" fillId="0" borderId="18" xfId="4" applyFont="1" applyBorder="1" applyAlignment="1">
      <alignment horizontal="left" indent="2"/>
    </xf>
    <xf numFmtId="0" fontId="32" fillId="0" borderId="20" xfId="4" applyFont="1" applyBorder="1" applyAlignment="1">
      <alignment horizontal="left" indent="2"/>
    </xf>
    <xf numFmtId="0" fontId="36" fillId="0" borderId="18" xfId="0" applyFont="1" applyBorder="1"/>
    <xf numFmtId="0" fontId="34" fillId="0" borderId="21" xfId="0" applyFont="1" applyBorder="1"/>
    <xf numFmtId="0" fontId="40" fillId="0" borderId="18" xfId="0" applyFont="1" applyBorder="1" applyAlignment="1">
      <alignment horizontal="center"/>
    </xf>
    <xf numFmtId="0" fontId="0" fillId="2" borderId="26" xfId="0" applyFill="1" applyBorder="1"/>
    <xf numFmtId="0" fontId="0" fillId="7" borderId="19" xfId="0" applyFill="1" applyBorder="1"/>
    <xf numFmtId="0" fontId="32" fillId="0" borderId="20" xfId="4" applyFont="1" applyFill="1" applyBorder="1" applyAlignment="1">
      <alignment horizontal="left" indent="3"/>
    </xf>
    <xf numFmtId="0" fontId="32" fillId="0" borderId="20" xfId="4" applyFont="1" applyBorder="1" applyAlignment="1">
      <alignment horizontal="left" indent="3"/>
    </xf>
    <xf numFmtId="0" fontId="40" fillId="7" borderId="18" xfId="0" applyFont="1" applyFill="1" applyBorder="1"/>
    <xf numFmtId="0" fontId="0" fillId="6" borderId="18" xfId="0" applyFill="1" applyBorder="1"/>
    <xf numFmtId="0" fontId="30" fillId="6" borderId="0" xfId="0" applyFont="1" applyFill="1"/>
    <xf numFmtId="0" fontId="0" fillId="6" borderId="8" xfId="0" applyFill="1" applyBorder="1"/>
    <xf numFmtId="0" fontId="0" fillId="6" borderId="10" xfId="0" applyFill="1" applyBorder="1"/>
    <xf numFmtId="0" fontId="30" fillId="6" borderId="18" xfId="0" applyFont="1" applyFill="1" applyBorder="1"/>
    <xf numFmtId="0" fontId="0" fillId="6" borderId="13" xfId="0" applyFill="1" applyBorder="1" applyAlignment="1">
      <alignment horizontal="right"/>
    </xf>
    <xf numFmtId="0" fontId="0" fillId="6" borderId="0" xfId="0" applyFill="1" applyAlignment="1">
      <alignment horizontal="right"/>
    </xf>
    <xf numFmtId="0" fontId="0" fillId="6" borderId="14" xfId="0" applyFill="1" applyBorder="1"/>
    <xf numFmtId="0" fontId="30" fillId="0" borderId="19" xfId="0" applyFont="1" applyBorder="1"/>
    <xf numFmtId="0" fontId="30" fillId="0" borderId="28" xfId="0" applyFont="1" applyBorder="1"/>
    <xf numFmtId="0" fontId="2" fillId="0" borderId="19" xfId="0" applyFont="1" applyBorder="1" applyAlignment="1">
      <alignment horizontal="center"/>
    </xf>
    <xf numFmtId="0" fontId="0" fillId="0" borderId="29" xfId="0" applyBorder="1"/>
    <xf numFmtId="0" fontId="43" fillId="7" borderId="0" xfId="3" applyFont="1" applyFill="1"/>
    <xf numFmtId="0" fontId="2" fillId="7" borderId="0" xfId="0" applyFont="1" applyFill="1"/>
    <xf numFmtId="3" fontId="0" fillId="0" borderId="0" xfId="0" applyNumberFormat="1" applyAlignment="1">
      <alignment horizontal="right" wrapText="1"/>
    </xf>
    <xf numFmtId="0" fontId="0" fillId="0" borderId="0" xfId="0" applyAlignment="1">
      <alignment horizontal="right" wrapText="1"/>
    </xf>
    <xf numFmtId="0" fontId="2" fillId="0" borderId="0" xfId="0" applyFont="1" applyAlignment="1">
      <alignment horizontal="right"/>
    </xf>
    <xf numFmtId="3" fontId="0" fillId="0" borderId="0" xfId="0" applyNumberFormat="1" applyAlignment="1">
      <alignment horizontal="right"/>
    </xf>
    <xf numFmtId="9" fontId="0" fillId="0" borderId="0" xfId="6" applyFont="1"/>
    <xf numFmtId="0" fontId="0" fillId="3" borderId="0" xfId="0" applyFill="1" applyAlignment="1">
      <alignment horizontal="right"/>
    </xf>
    <xf numFmtId="9" fontId="0" fillId="0" borderId="0" xfId="0" applyNumberFormat="1"/>
    <xf numFmtId="0" fontId="0" fillId="15" borderId="0" xfId="0" applyFill="1" applyAlignment="1">
      <alignment horizontal="right"/>
    </xf>
    <xf numFmtId="0" fontId="0" fillId="15" borderId="0" xfId="0" applyFill="1"/>
    <xf numFmtId="164" fontId="2" fillId="0" borderId="3" xfId="1" applyNumberFormat="1" applyFont="1" applyBorder="1" applyAlignment="1">
      <alignment horizontal="center" vertical="center"/>
    </xf>
    <xf numFmtId="164" fontId="0" fillId="0" borderId="14" xfId="1" applyNumberFormat="1" applyFont="1" applyBorder="1" applyAlignment="1">
      <alignment horizontal="center"/>
    </xf>
    <xf numFmtId="164" fontId="0" fillId="0" borderId="6" xfId="1" applyNumberFormat="1" applyFont="1" applyFill="1" applyBorder="1" applyAlignment="1">
      <alignment horizontal="center"/>
    </xf>
    <xf numFmtId="181" fontId="0" fillId="9" borderId="10" xfId="1" applyNumberFormat="1" applyFont="1" applyFill="1" applyBorder="1" applyAlignment="1">
      <alignment horizontal="center"/>
    </xf>
    <xf numFmtId="181" fontId="0" fillId="9" borderId="12" xfId="1" applyNumberFormat="1" applyFont="1" applyFill="1" applyBorder="1" applyAlignment="1">
      <alignment horizontal="center"/>
    </xf>
    <xf numFmtId="43" fontId="0" fillId="0" borderId="6" xfId="1" applyFont="1" applyBorder="1" applyAlignment="1">
      <alignment horizontal="center"/>
    </xf>
    <xf numFmtId="43" fontId="0" fillId="0" borderId="0" xfId="1" applyFont="1" applyFill="1" applyBorder="1"/>
    <xf numFmtId="43" fontId="0" fillId="0" borderId="0" xfId="1" applyFont="1"/>
    <xf numFmtId="184" fontId="0" fillId="0" borderId="10" xfId="1" applyNumberFormat="1" applyFont="1" applyBorder="1" applyAlignment="1">
      <alignment horizontal="center"/>
    </xf>
    <xf numFmtId="164" fontId="0" fillId="0" borderId="0" xfId="1" applyNumberFormat="1" applyFont="1"/>
    <xf numFmtId="181" fontId="0" fillId="0" borderId="14" xfId="0" applyNumberFormat="1" applyBorder="1" applyAlignment="1">
      <alignment horizontal="center" vertical="center"/>
    </xf>
    <xf numFmtId="181" fontId="0" fillId="0" borderId="0" xfId="1" applyNumberFormat="1" applyFont="1"/>
    <xf numFmtId="0" fontId="40" fillId="0" borderId="18" xfId="0" applyFont="1" applyBorder="1" applyAlignment="1">
      <alignment horizontal="right" indent="1"/>
    </xf>
    <xf numFmtId="9" fontId="0" fillId="3" borderId="0" xfId="6" applyFont="1" applyFill="1"/>
    <xf numFmtId="178" fontId="0" fillId="9" borderId="0" xfId="0" applyNumberFormat="1" applyFill="1" applyAlignment="1">
      <alignment horizontal="center"/>
    </xf>
    <xf numFmtId="178" fontId="0" fillId="9" borderId="14" xfId="0" applyNumberFormat="1" applyFill="1" applyBorder="1" applyAlignment="1">
      <alignment horizontal="center"/>
    </xf>
    <xf numFmtId="164" fontId="0" fillId="9" borderId="10" xfId="1" applyNumberFormat="1" applyFont="1" applyFill="1" applyBorder="1" applyAlignment="1">
      <alignment horizontal="center"/>
    </xf>
    <xf numFmtId="185" fontId="0" fillId="9" borderId="12" xfId="1" applyNumberFormat="1" applyFont="1" applyFill="1" applyBorder="1" applyAlignment="1">
      <alignment horizontal="center"/>
    </xf>
    <xf numFmtId="188" fontId="0" fillId="0" borderId="0" xfId="6" applyNumberFormat="1" applyFont="1"/>
    <xf numFmtId="187" fontId="0" fillId="0" borderId="0" xfId="0" applyNumberFormat="1"/>
    <xf numFmtId="43" fontId="0" fillId="0" borderId="0" xfId="1" applyFont="1" applyBorder="1" applyAlignment="1">
      <alignment horizontal="center"/>
    </xf>
    <xf numFmtId="43" fontId="0" fillId="0" borderId="2" xfId="1" applyFont="1" applyBorder="1" applyAlignment="1">
      <alignment horizontal="center"/>
    </xf>
    <xf numFmtId="186" fontId="0" fillId="0" borderId="0" xfId="0" applyNumberFormat="1"/>
    <xf numFmtId="175" fontId="0" fillId="0" borderId="6" xfId="1" applyNumberFormat="1" applyFont="1" applyBorder="1" applyAlignment="1">
      <alignment horizontal="center"/>
    </xf>
    <xf numFmtId="175" fontId="2" fillId="0" borderId="2" xfId="0" applyNumberFormat="1" applyFont="1" applyBorder="1" applyAlignment="1">
      <alignment horizontal="center" vertical="center"/>
    </xf>
    <xf numFmtId="188" fontId="0" fillId="0" borderId="0" xfId="6" applyNumberFormat="1" applyFont="1" applyFill="1" applyBorder="1" applyAlignment="1">
      <alignment horizontal="center"/>
    </xf>
    <xf numFmtId="0" fontId="0" fillId="0" borderId="0" xfId="0" applyAlignment="1">
      <alignment horizontal="left" wrapText="1"/>
    </xf>
    <xf numFmtId="0" fontId="65" fillId="7" borderId="18" xfId="3" applyFont="1" applyFill="1" applyBorder="1"/>
    <xf numFmtId="0" fontId="0" fillId="0" borderId="0" xfId="0" applyAlignment="1">
      <alignment horizontal="left" vertical="top"/>
    </xf>
    <xf numFmtId="0" fontId="0" fillId="0" borderId="0" xfId="0" applyAlignment="1">
      <alignment horizontal="left" indent="1"/>
    </xf>
    <xf numFmtId="0" fontId="0" fillId="0" borderId="0" xfId="0" applyAlignment="1">
      <alignment horizontal="left" wrapText="1" indent="1"/>
    </xf>
    <xf numFmtId="0" fontId="2" fillId="0" borderId="7" xfId="0" applyFont="1"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6" fillId="0" borderId="7" xfId="3" applyFont="1" applyBorder="1" applyAlignment="1">
      <alignment horizontal="left" vertical="top" wrapText="1"/>
    </xf>
    <xf numFmtId="0" fontId="2" fillId="0" borderId="9" xfId="0" applyFont="1" applyBorder="1" applyAlignment="1">
      <alignment horizontal="left" vertical="top"/>
    </xf>
    <xf numFmtId="0" fontId="13" fillId="0" borderId="0" xfId="0" applyFont="1" applyAlignment="1">
      <alignment wrapText="1"/>
    </xf>
    <xf numFmtId="0" fontId="13" fillId="0" borderId="10" xfId="0" applyFont="1" applyBorder="1" applyAlignment="1">
      <alignment wrapText="1"/>
    </xf>
    <xf numFmtId="0" fontId="6" fillId="0" borderId="7" xfId="3" applyFont="1" applyBorder="1" applyAlignment="1">
      <alignment horizontal="left" vertical="top"/>
    </xf>
    <xf numFmtId="178" fontId="0" fillId="0" borderId="10" xfId="0" applyNumberFormat="1" applyBorder="1" applyAlignment="1">
      <alignment horizontal="center" vertical="center"/>
    </xf>
    <xf numFmtId="178" fontId="2" fillId="0" borderId="3" xfId="0" applyNumberFormat="1" applyFont="1" applyBorder="1" applyAlignment="1">
      <alignment horizontal="center" vertical="center"/>
    </xf>
    <xf numFmtId="0" fontId="0" fillId="2" borderId="32" xfId="0" applyFill="1" applyBorder="1"/>
    <xf numFmtId="0" fontId="3" fillId="2" borderId="31" xfId="0" applyFont="1" applyFill="1" applyBorder="1" applyAlignment="1">
      <alignment horizontal="left" indent="1"/>
    </xf>
    <xf numFmtId="0" fontId="0" fillId="6" borderId="18" xfId="0" applyFill="1" applyBorder="1" applyAlignment="1">
      <alignment wrapText="1"/>
    </xf>
    <xf numFmtId="0" fontId="0" fillId="6" borderId="18" xfId="0" applyFill="1" applyBorder="1" applyAlignment="1">
      <alignment horizontal="center" wrapText="1"/>
    </xf>
    <xf numFmtId="0" fontId="0" fillId="6" borderId="0" xfId="0" applyFill="1" applyAlignment="1">
      <alignment wrapText="1"/>
    </xf>
    <xf numFmtId="0" fontId="0" fillId="6" borderId="0" xfId="0" applyFill="1" applyAlignment="1">
      <alignment horizontal="center" wrapText="1"/>
    </xf>
    <xf numFmtId="0" fontId="4" fillId="6" borderId="0" xfId="3" applyFill="1"/>
    <xf numFmtId="44" fontId="4" fillId="6" borderId="0" xfId="2" applyFont="1" applyFill="1" applyBorder="1"/>
    <xf numFmtId="0" fontId="4" fillId="6" borderId="18" xfId="3" applyFill="1" applyBorder="1"/>
    <xf numFmtId="0" fontId="2" fillId="6" borderId="0" xfId="0" applyFont="1" applyFill="1" applyAlignment="1">
      <alignment horizontal="center"/>
    </xf>
    <xf numFmtId="0" fontId="0" fillId="6" borderId="33" xfId="0" applyFill="1" applyBorder="1"/>
    <xf numFmtId="0" fontId="50" fillId="6" borderId="0" xfId="0" applyFont="1" applyFill="1"/>
    <xf numFmtId="0" fontId="49" fillId="6" borderId="0" xfId="0" applyFont="1" applyFill="1"/>
    <xf numFmtId="0" fontId="49" fillId="6" borderId="18" xfId="0" applyFont="1" applyFill="1" applyBorder="1"/>
    <xf numFmtId="0" fontId="0" fillId="6" borderId="18" xfId="0" applyFill="1" applyBorder="1" applyAlignment="1">
      <alignment horizontal="center"/>
    </xf>
    <xf numFmtId="2" fontId="2" fillId="0" borderId="2" xfId="0" applyNumberFormat="1" applyFont="1" applyBorder="1" applyAlignment="1">
      <alignment horizontal="center"/>
    </xf>
    <xf numFmtId="180" fontId="2" fillId="0" borderId="2" xfId="0" applyNumberFormat="1" applyFont="1" applyBorder="1" applyAlignment="1">
      <alignment horizontal="center"/>
    </xf>
    <xf numFmtId="2" fontId="2" fillId="0" borderId="2" xfId="0" applyNumberFormat="1" applyFont="1" applyBorder="1" applyAlignment="1">
      <alignment horizontal="center" wrapText="1"/>
    </xf>
    <xf numFmtId="0" fontId="32" fillId="0" borderId="0" xfId="4" quotePrefix="1" applyFont="1"/>
    <xf numFmtId="0" fontId="0" fillId="0" borderId="10" xfId="0" applyBorder="1" applyAlignment="1">
      <alignment horizontal="left" wrapText="1"/>
    </xf>
    <xf numFmtId="0" fontId="0" fillId="6" borderId="0" xfId="0" applyFill="1" applyAlignment="1">
      <alignment horizontal="center"/>
    </xf>
    <xf numFmtId="0" fontId="13" fillId="0" borderId="0" xfId="0" applyFont="1" applyAlignment="1">
      <alignment horizontal="left" vertical="top" wrapText="1"/>
    </xf>
    <xf numFmtId="0" fontId="0" fillId="0" borderId="0" xfId="0" applyAlignment="1">
      <alignment horizontal="left" vertical="top" wrapText="1"/>
    </xf>
    <xf numFmtId="0" fontId="3" fillId="0" borderId="18" xfId="0" applyFont="1" applyBorder="1" applyAlignment="1">
      <alignment horizontal="left" indent="1"/>
    </xf>
    <xf numFmtId="0" fontId="2" fillId="7" borderId="3" xfId="0" applyFont="1" applyFill="1" applyBorder="1" applyAlignment="1">
      <alignment horizontal="center" wrapText="1"/>
    </xf>
    <xf numFmtId="0" fontId="0" fillId="14" borderId="9" xfId="0" applyFill="1" applyBorder="1"/>
    <xf numFmtId="0" fontId="0" fillId="12" borderId="10" xfId="0" applyFill="1" applyBorder="1"/>
    <xf numFmtId="0" fontId="0" fillId="13" borderId="9" xfId="0" applyFill="1" applyBorder="1"/>
    <xf numFmtId="0" fontId="0" fillId="13" borderId="10" xfId="0" applyFill="1" applyBorder="1"/>
    <xf numFmtId="0" fontId="0" fillId="11" borderId="9" xfId="0" applyFill="1" applyBorder="1"/>
    <xf numFmtId="0" fontId="0" fillId="11" borderId="10" xfId="0" applyFill="1" applyBorder="1"/>
    <xf numFmtId="0" fontId="0" fillId="3" borderId="11" xfId="0" applyFill="1" applyBorder="1"/>
    <xf numFmtId="0" fontId="0" fillId="3" borderId="12" xfId="0" applyFill="1" applyBorder="1"/>
    <xf numFmtId="0" fontId="0" fillId="0" borderId="14" xfId="0" applyBorder="1" applyAlignment="1">
      <alignment horizontal="left" vertical="top" wrapText="1"/>
    </xf>
    <xf numFmtId="0" fontId="0" fillId="0" borderId="12" xfId="0" applyBorder="1" applyAlignment="1">
      <alignment horizontal="left" vertical="top" wrapText="1"/>
    </xf>
    <xf numFmtId="0" fontId="6" fillId="0" borderId="1" xfId="3" applyFont="1" applyBorder="1" applyAlignment="1">
      <alignment horizontal="left" vertical="top" wrapText="1"/>
    </xf>
    <xf numFmtId="0" fontId="0" fillId="0" borderId="10" xfId="0" applyBorder="1" applyAlignment="1">
      <alignment horizontal="left" vertical="top" wrapText="1"/>
    </xf>
    <xf numFmtId="0" fontId="6" fillId="0" borderId="9" xfId="3" applyFont="1" applyBorder="1" applyAlignment="1">
      <alignment horizontal="left" vertical="top" wrapText="1"/>
    </xf>
    <xf numFmtId="0" fontId="6" fillId="0" borderId="11" xfId="3" applyFont="1" applyBorder="1" applyAlignment="1">
      <alignment horizontal="left" vertical="top" wrapText="1"/>
    </xf>
    <xf numFmtId="0" fontId="6" fillId="0" borderId="1" xfId="3" applyFont="1" applyBorder="1" applyAlignment="1">
      <alignment horizontal="left" vertical="top"/>
    </xf>
    <xf numFmtId="0" fontId="39" fillId="0" borderId="9" xfId="0" applyFont="1" applyBorder="1" applyAlignment="1">
      <alignment horizontal="right" vertical="top"/>
    </xf>
    <xf numFmtId="0" fontId="0" fillId="0" borderId="30" xfId="0" applyBorder="1" applyAlignment="1">
      <alignment horizontal="left" indent="1"/>
    </xf>
    <xf numFmtId="0" fontId="0" fillId="0" borderId="34" xfId="0" applyBorder="1"/>
    <xf numFmtId="0" fontId="39" fillId="0" borderId="35" xfId="0" applyFont="1" applyBorder="1" applyAlignment="1">
      <alignment horizontal="right" vertical="top"/>
    </xf>
    <xf numFmtId="0" fontId="6" fillId="0" borderId="9" xfId="3" applyFont="1" applyBorder="1" applyAlignment="1">
      <alignment horizontal="left" vertical="top"/>
    </xf>
    <xf numFmtId="0" fontId="39" fillId="0" borderId="36" xfId="0" applyFont="1" applyBorder="1" applyAlignment="1">
      <alignment horizontal="right" vertical="top"/>
    </xf>
    <xf numFmtId="0" fontId="66" fillId="0" borderId="9" xfId="0" applyFont="1" applyBorder="1" applyAlignment="1">
      <alignment horizontal="left" vertical="top" indent="2"/>
    </xf>
    <xf numFmtId="0" fontId="67" fillId="0" borderId="0" xfId="0" applyFont="1" applyAlignment="1">
      <alignment wrapText="1"/>
    </xf>
    <xf numFmtId="0" fontId="67" fillId="0" borderId="10" xfId="0" applyFont="1" applyBorder="1" applyAlignment="1">
      <alignment wrapText="1"/>
    </xf>
    <xf numFmtId="178" fontId="0" fillId="0" borderId="0" xfId="1" applyNumberFormat="1" applyFont="1" applyBorder="1" applyAlignment="1">
      <alignment horizontal="center"/>
    </xf>
    <xf numFmtId="178" fontId="0" fillId="0" borderId="6" xfId="0" applyNumberFormat="1" applyBorder="1"/>
    <xf numFmtId="178" fontId="1" fillId="0" borderId="2" xfId="1" applyNumberFormat="1" applyFont="1" applyBorder="1" applyAlignment="1">
      <alignment horizontal="center"/>
    </xf>
    <xf numFmtId="178" fontId="0" fillId="0" borderId="9" xfId="0" applyNumberFormat="1" applyBorder="1" applyAlignment="1">
      <alignment horizontal="center"/>
    </xf>
    <xf numFmtId="178" fontId="0" fillId="0" borderId="10" xfId="0" applyNumberFormat="1" applyBorder="1" applyAlignment="1">
      <alignment horizontal="center"/>
    </xf>
    <xf numFmtId="178" fontId="0" fillId="0" borderId="1" xfId="0" applyNumberFormat="1" applyBorder="1" applyAlignment="1">
      <alignment horizontal="center"/>
    </xf>
    <xf numFmtId="178" fontId="0" fillId="0" borderId="3" xfId="0" applyNumberFormat="1" applyBorder="1" applyAlignment="1">
      <alignment horizontal="center"/>
    </xf>
    <xf numFmtId="2" fontId="4" fillId="0" borderId="0" xfId="5" applyNumberFormat="1" applyAlignment="1">
      <alignment horizontal="center"/>
    </xf>
    <xf numFmtId="1" fontId="0" fillId="0" borderId="0" xfId="0" applyNumberFormat="1" applyAlignment="1">
      <alignment horizontal="center" vertical="center"/>
    </xf>
    <xf numFmtId="1" fontId="1" fillId="0" borderId="0" xfId="5" applyNumberFormat="1" applyFont="1" applyAlignment="1">
      <alignment horizontal="center" vertical="center"/>
    </xf>
    <xf numFmtId="1" fontId="0" fillId="0" borderId="14" xfId="0" applyNumberFormat="1" applyBorder="1" applyAlignment="1">
      <alignment horizontal="center" vertical="center"/>
    </xf>
    <xf numFmtId="1" fontId="1" fillId="0" borderId="14" xfId="5" applyNumberFormat="1" applyFont="1" applyBorder="1" applyAlignment="1">
      <alignment horizontal="center" vertical="center"/>
    </xf>
    <xf numFmtId="2" fontId="0" fillId="0" borderId="2" xfId="1" applyNumberFormat="1" applyFont="1" applyBorder="1" applyAlignment="1">
      <alignment horizontal="center" vertical="center"/>
    </xf>
    <xf numFmtId="0" fontId="68" fillId="0" borderId="0" xfId="0" applyFont="1"/>
    <xf numFmtId="0" fontId="13" fillId="0" borderId="0" xfId="0" applyFont="1" applyAlignment="1">
      <alignment horizontal="left" wrapText="1"/>
    </xf>
    <xf numFmtId="0" fontId="39" fillId="0" borderId="18" xfId="0" applyFont="1" applyBorder="1"/>
    <xf numFmtId="167" fontId="0" fillId="7" borderId="0" xfId="0" applyNumberFormat="1" applyFill="1"/>
    <xf numFmtId="0" fontId="2" fillId="0" borderId="38" xfId="0" applyFont="1" applyBorder="1"/>
    <xf numFmtId="0" fontId="0" fillId="0" borderId="38" xfId="0" applyBorder="1" applyAlignment="1">
      <alignment horizontal="left" wrapText="1"/>
    </xf>
    <xf numFmtId="0" fontId="0" fillId="0" borderId="38" xfId="0" applyBorder="1" applyAlignment="1">
      <alignment horizontal="left"/>
    </xf>
    <xf numFmtId="0" fontId="0" fillId="0" borderId="38" xfId="0" applyBorder="1"/>
    <xf numFmtId="0" fontId="0" fillId="0" borderId="39" xfId="0" applyBorder="1" applyAlignment="1">
      <alignment horizontal="right"/>
    </xf>
    <xf numFmtId="166" fontId="0" fillId="0" borderId="0" xfId="0" applyNumberFormat="1"/>
    <xf numFmtId="0" fontId="70" fillId="0" borderId="18" xfId="5" applyFont="1" applyBorder="1"/>
    <xf numFmtId="0" fontId="72" fillId="0" borderId="4" xfId="5" applyFont="1" applyBorder="1" applyAlignment="1">
      <alignment vertical="top" wrapText="1"/>
    </xf>
    <xf numFmtId="0" fontId="6" fillId="0" borderId="3" xfId="5" applyFont="1" applyBorder="1"/>
    <xf numFmtId="0" fontId="4" fillId="0" borderId="18" xfId="5" applyBorder="1" applyAlignment="1">
      <alignment wrapText="1"/>
    </xf>
    <xf numFmtId="0" fontId="16" fillId="0" borderId="5" xfId="5" applyFont="1" applyBorder="1" applyAlignment="1">
      <alignment horizontal="left" vertical="top" wrapText="1"/>
    </xf>
    <xf numFmtId="0" fontId="13" fillId="0" borderId="18" xfId="0" applyFont="1" applyBorder="1" applyAlignment="1">
      <alignment horizontal="left"/>
    </xf>
    <xf numFmtId="0" fontId="2" fillId="0" borderId="42" xfId="0" applyFont="1" applyBorder="1"/>
    <xf numFmtId="0" fontId="74" fillId="6" borderId="18" xfId="0" applyFont="1" applyFill="1" applyBorder="1"/>
    <xf numFmtId="175" fontId="0" fillId="0" borderId="0" xfId="0" applyNumberFormat="1"/>
    <xf numFmtId="0" fontId="0" fillId="0" borderId="44" xfId="0" applyBorder="1" applyAlignment="1">
      <alignment horizontal="left" vertical="top" wrapText="1" indent="1"/>
    </xf>
    <xf numFmtId="0" fontId="0" fillId="0" borderId="45" xfId="0" applyBorder="1" applyAlignment="1">
      <alignment horizontal="left" vertical="top" wrapText="1" indent="1"/>
    </xf>
    <xf numFmtId="0" fontId="2" fillId="0" borderId="43" xfId="0" applyFont="1" applyBorder="1" applyAlignment="1">
      <alignment horizontal="left" vertical="top" wrapText="1" indent="1"/>
    </xf>
    <xf numFmtId="0" fontId="2" fillId="0" borderId="45" xfId="0" applyFont="1" applyBorder="1" applyAlignment="1">
      <alignment horizontal="left" vertical="top" wrapText="1" indent="1"/>
    </xf>
    <xf numFmtId="0" fontId="0" fillId="0" borderId="0" xfId="0" quotePrefix="1"/>
    <xf numFmtId="177" fontId="0" fillId="0" borderId="0" xfId="0" applyNumberFormat="1" applyAlignment="1">
      <alignment horizontal="center"/>
    </xf>
    <xf numFmtId="177" fontId="0" fillId="0" borderId="14" xfId="0" applyNumberFormat="1" applyBorder="1" applyAlignment="1">
      <alignment horizontal="center"/>
    </xf>
    <xf numFmtId="178" fontId="2" fillId="0" borderId="2" xfId="0" applyNumberFormat="1" applyFont="1" applyBorder="1" applyAlignment="1">
      <alignment horizontal="center" vertical="center"/>
    </xf>
    <xf numFmtId="178" fontId="0" fillId="0" borderId="6" xfId="1" applyNumberFormat="1" applyFont="1" applyBorder="1" applyAlignment="1">
      <alignment horizontal="center"/>
    </xf>
    <xf numFmtId="178" fontId="0" fillId="0" borderId="2" xfId="0" applyNumberFormat="1" applyBorder="1" applyAlignment="1">
      <alignment horizontal="center" vertical="center"/>
    </xf>
    <xf numFmtId="164" fontId="0" fillId="0" borderId="0" xfId="1" applyNumberFormat="1" applyFont="1" applyFill="1" applyBorder="1" applyAlignment="1">
      <alignment horizontal="center"/>
    </xf>
    <xf numFmtId="164" fontId="2" fillId="0" borderId="2" xfId="0" applyNumberFormat="1" applyFont="1" applyBorder="1" applyAlignment="1">
      <alignment horizontal="center" vertical="center"/>
    </xf>
    <xf numFmtId="180" fontId="0" fillId="0" borderId="2" xfId="0" applyNumberFormat="1" applyBorder="1" applyAlignment="1">
      <alignment horizontal="center" vertical="center"/>
    </xf>
    <xf numFmtId="0" fontId="60" fillId="0" borderId="48" xfId="0" applyFont="1" applyBorder="1"/>
    <xf numFmtId="0" fontId="0" fillId="0" borderId="49" xfId="0" applyBorder="1"/>
    <xf numFmtId="0" fontId="83" fillId="0" borderId="50" xfId="0" applyFont="1" applyBorder="1"/>
    <xf numFmtId="0" fontId="2" fillId="0" borderId="51" xfId="0" applyFont="1" applyBorder="1" applyAlignment="1">
      <alignment horizontal="left" vertical="top" wrapText="1" indent="1"/>
    </xf>
    <xf numFmtId="0" fontId="0" fillId="0" borderId="52" xfId="0" applyBorder="1" applyAlignment="1">
      <alignment horizontal="left" vertical="top" wrapText="1" indent="1"/>
    </xf>
    <xf numFmtId="0" fontId="2" fillId="0" borderId="21" xfId="0" applyFont="1" applyBorder="1"/>
    <xf numFmtId="0" fontId="88" fillId="18" borderId="53" xfId="3" applyFont="1" applyFill="1" applyBorder="1" applyAlignment="1">
      <alignment horizontal="center"/>
    </xf>
    <xf numFmtId="0" fontId="87" fillId="18" borderId="53" xfId="0" applyFont="1" applyFill="1" applyBorder="1" applyAlignment="1">
      <alignment horizontal="center"/>
    </xf>
    <xf numFmtId="0" fontId="87" fillId="18" borderId="53" xfId="0" applyFont="1" applyFill="1" applyBorder="1" applyAlignment="1">
      <alignment horizontal="left" indent="2"/>
    </xf>
    <xf numFmtId="0" fontId="0" fillId="6" borderId="7" xfId="0" applyFill="1" applyBorder="1"/>
    <xf numFmtId="183" fontId="0" fillId="15" borderId="0" xfId="6" applyNumberFormat="1" applyFont="1" applyFill="1"/>
    <xf numFmtId="0" fontId="65" fillId="0" borderId="18" xfId="3" applyFont="1" applyBorder="1"/>
    <xf numFmtId="0" fontId="0" fillId="0" borderId="23" xfId="0" applyBorder="1"/>
    <xf numFmtId="0" fontId="3" fillId="19" borderId="25" xfId="0" applyFont="1" applyFill="1" applyBorder="1" applyAlignment="1">
      <alignment horizontal="left" indent="1"/>
    </xf>
    <xf numFmtId="0" fontId="0" fillId="19" borderId="26" xfId="0" applyFill="1" applyBorder="1"/>
    <xf numFmtId="0" fontId="0" fillId="19" borderId="27" xfId="0" applyFill="1" applyBorder="1"/>
    <xf numFmtId="0" fontId="61" fillId="19" borderId="31" xfId="0" applyFont="1" applyFill="1" applyBorder="1" applyAlignment="1">
      <alignment horizontal="left" indent="1"/>
    </xf>
    <xf numFmtId="0" fontId="0" fillId="19" borderId="32" xfId="0" applyFill="1" applyBorder="1"/>
    <xf numFmtId="0" fontId="0" fillId="19" borderId="26" xfId="0" applyFill="1" applyBorder="1" applyAlignment="1">
      <alignment horizontal="center"/>
    </xf>
    <xf numFmtId="0" fontId="3" fillId="19" borderId="22" xfId="0" applyFont="1" applyFill="1" applyBorder="1" applyAlignment="1">
      <alignment horizontal="left" indent="1"/>
    </xf>
    <xf numFmtId="0" fontId="0" fillId="19" borderId="23" xfId="0" applyFill="1" applyBorder="1"/>
    <xf numFmtId="0" fontId="0" fillId="19" borderId="24" xfId="0" applyFill="1" applyBorder="1"/>
    <xf numFmtId="0" fontId="3" fillId="19" borderId="31" xfId="0" applyFont="1" applyFill="1" applyBorder="1" applyAlignment="1">
      <alignment horizontal="left" indent="1"/>
    </xf>
    <xf numFmtId="0" fontId="3" fillId="19" borderId="32" xfId="0" applyFont="1" applyFill="1" applyBorder="1" applyAlignment="1">
      <alignment horizontal="left" indent="1"/>
    </xf>
    <xf numFmtId="0" fontId="40" fillId="19" borderId="32" xfId="0" applyFont="1" applyFill="1" applyBorder="1"/>
    <xf numFmtId="0" fontId="0" fillId="19" borderId="57" xfId="0" applyFill="1" applyBorder="1"/>
    <xf numFmtId="0" fontId="0" fillId="6" borderId="19" xfId="0" applyFill="1" applyBorder="1"/>
    <xf numFmtId="0" fontId="82" fillId="0" borderId="18" xfId="0" applyFont="1" applyBorder="1"/>
    <xf numFmtId="0" fontId="82" fillId="0" borderId="0" xfId="0" applyFont="1"/>
    <xf numFmtId="0" fontId="82" fillId="0" borderId="19" xfId="0" applyFont="1" applyBorder="1"/>
    <xf numFmtId="0" fontId="61" fillId="19" borderId="22" xfId="0" applyFont="1" applyFill="1" applyBorder="1" applyAlignment="1">
      <alignment horizontal="left" indent="1"/>
    </xf>
    <xf numFmtId="165" fontId="83" fillId="6" borderId="0" xfId="0" applyNumberFormat="1" applyFont="1" applyFill="1"/>
    <xf numFmtId="0" fontId="0" fillId="0" borderId="58" xfId="0" applyBorder="1"/>
    <xf numFmtId="2" fontId="30" fillId="0" borderId="58" xfId="0" applyNumberFormat="1" applyFont="1" applyBorder="1"/>
    <xf numFmtId="2" fontId="30" fillId="6" borderId="58" xfId="0" applyNumberFormat="1" applyFont="1" applyFill="1" applyBorder="1"/>
    <xf numFmtId="0" fontId="6" fillId="0" borderId="14" xfId="3" applyFont="1" applyBorder="1"/>
    <xf numFmtId="0" fontId="6" fillId="0" borderId="18" xfId="3" applyFont="1" applyBorder="1"/>
    <xf numFmtId="43" fontId="4" fillId="0" borderId="18" xfId="1" applyFont="1" applyFill="1" applyBorder="1"/>
    <xf numFmtId="178" fontId="0" fillId="9" borderId="8" xfId="0" applyNumberFormat="1" applyFill="1" applyBorder="1" applyAlignment="1">
      <alignment horizontal="center"/>
    </xf>
    <xf numFmtId="178" fontId="0" fillId="9" borderId="10" xfId="0" applyNumberFormat="1" applyFill="1" applyBorder="1" applyAlignment="1">
      <alignment horizontal="center"/>
    </xf>
    <xf numFmtId="0" fontId="13" fillId="7" borderId="18" xfId="0" applyFont="1" applyFill="1" applyBorder="1"/>
    <xf numFmtId="0" fontId="29" fillId="7" borderId="0" xfId="0" applyFont="1" applyFill="1"/>
    <xf numFmtId="0" fontId="13" fillId="7" borderId="0" xfId="0" applyFont="1" applyFill="1"/>
    <xf numFmtId="0" fontId="0" fillId="7" borderId="18" xfId="0" applyFill="1" applyBorder="1" applyAlignment="1">
      <alignment wrapText="1"/>
    </xf>
    <xf numFmtId="0" fontId="47" fillId="0" borderId="18" xfId="0" applyFont="1" applyBorder="1"/>
    <xf numFmtId="164" fontId="0" fillId="0" borderId="0" xfId="1" applyNumberFormat="1" applyFont="1" applyBorder="1" applyAlignment="1">
      <alignment horizontal="right"/>
    </xf>
    <xf numFmtId="178" fontId="0" fillId="0" borderId="2" xfId="0" applyNumberFormat="1" applyBorder="1" applyAlignment="1">
      <alignment horizontal="right"/>
    </xf>
    <xf numFmtId="178" fontId="0" fillId="0" borderId="0" xfId="0" applyNumberFormat="1" applyAlignment="1">
      <alignment horizontal="right"/>
    </xf>
    <xf numFmtId="0" fontId="87" fillId="0" borderId="0" xfId="0" applyFont="1" applyAlignment="1">
      <alignment horizontal="left" indent="2"/>
    </xf>
    <xf numFmtId="0" fontId="87" fillId="0" borderId="0" xfId="0" applyFont="1" applyAlignment="1">
      <alignment horizontal="center"/>
    </xf>
    <xf numFmtId="0" fontId="65" fillId="7" borderId="18" xfId="3" applyFont="1" applyFill="1" applyBorder="1" applyAlignment="1">
      <alignment horizontal="right"/>
    </xf>
    <xf numFmtId="0" fontId="31" fillId="0" borderId="0" xfId="0" applyFont="1" applyAlignment="1">
      <alignment wrapText="1"/>
    </xf>
    <xf numFmtId="0" fontId="80" fillId="6" borderId="0" xfId="0" applyFont="1" applyFill="1" applyAlignment="1">
      <alignment vertical="center"/>
    </xf>
    <xf numFmtId="0" fontId="0" fillId="6" borderId="60" xfId="0" applyFill="1" applyBorder="1"/>
    <xf numFmtId="0" fontId="61" fillId="19" borderId="61" xfId="0" applyFont="1" applyFill="1" applyBorder="1" applyAlignment="1">
      <alignment horizontal="left" indent="1"/>
    </xf>
    <xf numFmtId="0" fontId="2" fillId="0" borderId="3" xfId="0" applyFont="1" applyBorder="1" applyAlignment="1">
      <alignment horizontal="center"/>
    </xf>
    <xf numFmtId="0" fontId="95" fillId="0" borderId="9" xfId="0" applyFont="1" applyBorder="1"/>
    <xf numFmtId="0" fontId="2" fillId="0" borderId="9" xfId="0" applyFont="1" applyBorder="1" applyAlignment="1">
      <alignment horizontal="center" wrapText="1"/>
    </xf>
    <xf numFmtId="164" fontId="0" fillId="0" borderId="9" xfId="1" applyNumberFormat="1" applyFont="1" applyFill="1" applyBorder="1"/>
    <xf numFmtId="180" fontId="2" fillId="0" borderId="1" xfId="0" applyNumberFormat="1" applyFont="1" applyBorder="1" applyAlignment="1">
      <alignment horizontal="center" vertical="center"/>
    </xf>
    <xf numFmtId="180" fontId="2" fillId="0" borderId="0" xfId="0" applyNumberFormat="1" applyFont="1" applyAlignment="1">
      <alignment horizontal="center" vertical="center"/>
    </xf>
    <xf numFmtId="0" fontId="97" fillId="0" borderId="18" xfId="4" applyFont="1" applyBorder="1"/>
    <xf numFmtId="0" fontId="97" fillId="0" borderId="18" xfId="4" applyFont="1" applyBorder="1" applyAlignment="1">
      <alignment horizontal="left"/>
    </xf>
    <xf numFmtId="0" fontId="2" fillId="0" borderId="1" xfId="0" applyFont="1" applyBorder="1" applyAlignment="1">
      <alignment horizontal="center"/>
    </xf>
    <xf numFmtId="164" fontId="0" fillId="10" borderId="0" xfId="1" applyNumberFormat="1" applyFont="1" applyFill="1" applyBorder="1" applyAlignment="1">
      <alignment horizontal="right"/>
    </xf>
    <xf numFmtId="0" fontId="0" fillId="0" borderId="9" xfId="0" applyBorder="1" applyAlignment="1">
      <alignment horizontal="center"/>
    </xf>
    <xf numFmtId="181" fontId="0" fillId="0" borderId="9" xfId="0" applyNumberFormat="1" applyBorder="1" applyAlignment="1">
      <alignment horizontal="center" vertical="center"/>
    </xf>
    <xf numFmtId="181" fontId="0" fillId="0" borderId="0" xfId="0" applyNumberFormat="1" applyAlignment="1">
      <alignment horizontal="center" vertical="center"/>
    </xf>
    <xf numFmtId="0" fontId="2" fillId="0" borderId="9" xfId="0" applyFont="1" applyBorder="1"/>
    <xf numFmtId="1" fontId="0" fillId="0" borderId="9" xfId="0" applyNumberFormat="1" applyBorder="1" applyAlignment="1">
      <alignment horizontal="right" vertical="center"/>
    </xf>
    <xf numFmtId="1" fontId="0" fillId="0" borderId="0" xfId="0" applyNumberFormat="1" applyAlignment="1">
      <alignment horizontal="right" vertical="center"/>
    </xf>
    <xf numFmtId="2" fontId="0" fillId="0" borderId="9" xfId="0" applyNumberFormat="1" applyBorder="1" applyAlignment="1">
      <alignment horizontal="right"/>
    </xf>
    <xf numFmtId="2" fontId="0" fillId="0" borderId="0" xfId="0" applyNumberFormat="1" applyAlignment="1">
      <alignment horizontal="right"/>
    </xf>
    <xf numFmtId="43" fontId="0" fillId="0" borderId="9" xfId="1" applyFont="1" applyFill="1" applyBorder="1" applyAlignment="1">
      <alignment horizontal="center"/>
    </xf>
    <xf numFmtId="43" fontId="0" fillId="0" borderId="0" xfId="1" applyFont="1" applyFill="1" applyBorder="1" applyAlignment="1">
      <alignment horizontal="center"/>
    </xf>
    <xf numFmtId="179" fontId="0" fillId="0" borderId="9" xfId="1" applyNumberFormat="1" applyFont="1" applyFill="1" applyBorder="1" applyAlignment="1">
      <alignment horizontal="center"/>
    </xf>
    <xf numFmtId="179" fontId="0" fillId="0" borderId="0" xfId="1" applyNumberFormat="1" applyFont="1" applyFill="1" applyBorder="1" applyAlignment="1">
      <alignment horizontal="center"/>
    </xf>
    <xf numFmtId="164" fontId="0" fillId="0" borderId="9" xfId="1" applyNumberFormat="1" applyFont="1" applyFill="1" applyBorder="1" applyAlignment="1">
      <alignment horizontal="right" vertical="center"/>
    </xf>
    <xf numFmtId="164" fontId="0" fillId="0" borderId="0" xfId="1" applyNumberFormat="1" applyFont="1" applyFill="1" applyBorder="1" applyAlignment="1">
      <alignment horizontal="right" vertical="center"/>
    </xf>
    <xf numFmtId="1" fontId="0" fillId="0" borderId="9" xfId="0" applyNumberFormat="1" applyBorder="1" applyAlignment="1">
      <alignment horizontal="right"/>
    </xf>
    <xf numFmtId="1" fontId="0" fillId="0" borderId="0" xfId="0" applyNumberFormat="1" applyAlignment="1">
      <alignment horizontal="right"/>
    </xf>
    <xf numFmtId="185" fontId="0" fillId="0" borderId="9" xfId="1" applyNumberFormat="1" applyFont="1" applyFill="1" applyBorder="1" applyAlignment="1">
      <alignment horizontal="center"/>
    </xf>
    <xf numFmtId="185" fontId="0" fillId="0" borderId="0" xfId="1" applyNumberFormat="1" applyFont="1" applyFill="1" applyBorder="1" applyAlignment="1">
      <alignment horizontal="center"/>
    </xf>
    <xf numFmtId="166" fontId="0" fillId="0" borderId="9" xfId="0" applyNumberFormat="1" applyBorder="1" applyAlignment="1">
      <alignment horizontal="right"/>
    </xf>
    <xf numFmtId="166" fontId="0" fillId="0" borderId="0" xfId="0" applyNumberFormat="1" applyAlignment="1">
      <alignment horizontal="right"/>
    </xf>
    <xf numFmtId="0" fontId="2" fillId="0" borderId="9" xfId="0" applyFont="1" applyBorder="1" applyAlignment="1">
      <alignment horizontal="center"/>
    </xf>
    <xf numFmtId="164" fontId="0" fillId="0" borderId="9" xfId="1" applyNumberFormat="1" applyFont="1" applyBorder="1"/>
    <xf numFmtId="176" fontId="0" fillId="0" borderId="14" xfId="0" applyNumberFormat="1" applyBorder="1" applyAlignment="1">
      <alignment horizontal="center"/>
    </xf>
    <xf numFmtId="165" fontId="0" fillId="0" borderId="14" xfId="0" applyNumberFormat="1" applyBorder="1" applyAlignment="1">
      <alignment horizontal="center"/>
    </xf>
    <xf numFmtId="180" fontId="0" fillId="9" borderId="8" xfId="0" applyNumberFormat="1" applyFill="1" applyBorder="1" applyAlignment="1">
      <alignment horizontal="center"/>
    </xf>
    <xf numFmtId="180" fontId="0" fillId="9" borderId="10" xfId="0" applyNumberFormat="1" applyFill="1" applyBorder="1" applyAlignment="1">
      <alignment horizontal="center"/>
    </xf>
    <xf numFmtId="180" fontId="0" fillId="9" borderId="10" xfId="1" applyNumberFormat="1" applyFont="1" applyFill="1" applyBorder="1" applyAlignment="1">
      <alignment horizontal="center"/>
    </xf>
    <xf numFmtId="180" fontId="0" fillId="9" borderId="12" xfId="1" applyNumberFormat="1" applyFont="1" applyFill="1" applyBorder="1" applyAlignment="1">
      <alignment horizontal="center"/>
    </xf>
    <xf numFmtId="43" fontId="0" fillId="0" borderId="0" xfId="1" applyFont="1" applyBorder="1" applyAlignment="1">
      <alignment horizontal="right"/>
    </xf>
    <xf numFmtId="43" fontId="0" fillId="0" borderId="2" xfId="1" applyFont="1" applyBorder="1" applyAlignment="1">
      <alignment horizontal="right"/>
    </xf>
    <xf numFmtId="1" fontId="0" fillId="10" borderId="14" xfId="0" applyNumberFormat="1" applyFill="1" applyBorder="1" applyAlignment="1">
      <alignment horizontal="center" vertical="center" wrapText="1"/>
    </xf>
    <xf numFmtId="1" fontId="0" fillId="10" borderId="11" xfId="0" applyNumberFormat="1" applyFill="1" applyBorder="1" applyAlignment="1">
      <alignment horizontal="center" vertical="center" wrapText="1"/>
    </xf>
    <xf numFmtId="1" fontId="0" fillId="10" borderId="12" xfId="0" applyNumberFormat="1" applyFill="1" applyBorder="1" applyAlignment="1">
      <alignment horizontal="center" vertical="center" wrapText="1"/>
    </xf>
    <xf numFmtId="171" fontId="0" fillId="0" borderId="1" xfId="0" applyNumberFormat="1" applyBorder="1" applyAlignment="1">
      <alignment horizontal="center"/>
    </xf>
    <xf numFmtId="164" fontId="0" fillId="0" borderId="1" xfId="1" applyNumberFormat="1" applyFont="1" applyBorder="1" applyAlignment="1">
      <alignment horizontal="center"/>
    </xf>
    <xf numFmtId="164" fontId="0" fillId="0" borderId="2" xfId="1" applyNumberFormat="1" applyFont="1" applyBorder="1" applyAlignment="1">
      <alignment horizontal="center"/>
    </xf>
    <xf numFmtId="164" fontId="0" fillId="0" borderId="10" xfId="1" applyNumberFormat="1" applyFont="1" applyBorder="1"/>
    <xf numFmtId="164" fontId="0" fillId="0" borderId="14" xfId="1" applyNumberFormat="1" applyFont="1" applyFill="1" applyBorder="1" applyAlignment="1">
      <alignment horizontal="center"/>
    </xf>
    <xf numFmtId="164" fontId="0" fillId="0" borderId="2" xfId="1" applyNumberFormat="1" applyFont="1" applyFill="1" applyBorder="1" applyAlignment="1">
      <alignment horizontal="center"/>
    </xf>
    <xf numFmtId="170" fontId="0" fillId="0" borderId="0" xfId="1" applyNumberFormat="1" applyFont="1" applyBorder="1" applyAlignment="1">
      <alignment horizontal="center"/>
    </xf>
    <xf numFmtId="170" fontId="0" fillId="0" borderId="6" xfId="1" applyNumberFormat="1" applyFont="1" applyBorder="1" applyAlignment="1">
      <alignment horizontal="center"/>
    </xf>
    <xf numFmtId="170" fontId="0" fillId="0" borderId="2" xfId="1" applyNumberFormat="1" applyFont="1" applyBorder="1" applyAlignment="1">
      <alignment horizontal="center"/>
    </xf>
    <xf numFmtId="165" fontId="0" fillId="9" borderId="0" xfId="0" applyNumberFormat="1" applyFill="1" applyAlignment="1">
      <alignment horizontal="center"/>
    </xf>
    <xf numFmtId="0" fontId="5" fillId="7" borderId="21" xfId="3" applyFont="1" applyFill="1" applyBorder="1" applyAlignment="1">
      <alignment horizontal="left" indent="1"/>
    </xf>
    <xf numFmtId="0" fontId="0" fillId="0" borderId="21" xfId="0" applyBorder="1"/>
    <xf numFmtId="0" fontId="0" fillId="0" borderId="0" xfId="0" applyProtection="1">
      <protection locked="0"/>
    </xf>
    <xf numFmtId="0" fontId="0" fillId="0" borderId="14" xfId="0" applyBorder="1" applyAlignment="1">
      <alignment horizontal="left" vertical="top"/>
    </xf>
    <xf numFmtId="0" fontId="2" fillId="0" borderId="8" xfId="0" applyFont="1" applyBorder="1" applyAlignment="1">
      <alignment horizontal="left" vertical="top"/>
    </xf>
    <xf numFmtId="0" fontId="0" fillId="0" borderId="14" xfId="0" applyBorder="1" applyAlignment="1">
      <alignment wrapText="1"/>
    </xf>
    <xf numFmtId="0" fontId="13" fillId="0" borderId="0" xfId="0" applyFont="1" applyAlignment="1">
      <alignment vertical="top"/>
    </xf>
    <xf numFmtId="180" fontId="2" fillId="0" borderId="2" xfId="0" applyNumberFormat="1" applyFont="1" applyBorder="1" applyAlignment="1">
      <alignment horizontal="center" vertical="center"/>
    </xf>
    <xf numFmtId="180" fontId="2" fillId="0" borderId="3" xfId="0" applyNumberFormat="1" applyFont="1" applyBorder="1" applyAlignment="1">
      <alignment horizontal="center" vertical="center"/>
    </xf>
    <xf numFmtId="0" fontId="99" fillId="9" borderId="18" xfId="0" applyFont="1" applyFill="1" applyBorder="1"/>
    <xf numFmtId="0" fontId="0" fillId="6" borderId="18" xfId="0" applyFill="1" applyBorder="1" applyProtection="1">
      <protection locked="0"/>
    </xf>
    <xf numFmtId="0" fontId="0" fillId="6" borderId="0" xfId="0" applyFill="1" applyProtection="1">
      <protection locked="0"/>
    </xf>
    <xf numFmtId="0" fontId="0" fillId="0" borderId="18" xfId="0" applyBorder="1" applyProtection="1">
      <protection locked="0"/>
    </xf>
    <xf numFmtId="0" fontId="13" fillId="4" borderId="18" xfId="0" applyFont="1" applyFill="1" applyBorder="1" applyProtection="1">
      <protection locked="0"/>
    </xf>
    <xf numFmtId="0" fontId="0" fillId="4" borderId="0" xfId="0" applyFill="1" applyProtection="1">
      <protection locked="0"/>
    </xf>
    <xf numFmtId="0" fontId="2" fillId="0" borderId="0" xfId="0" applyFont="1" applyProtection="1">
      <protection locked="0"/>
    </xf>
    <xf numFmtId="0" fontId="0" fillId="0" borderId="18" xfId="0" applyBorder="1" applyAlignment="1" applyProtection="1">
      <alignment horizontal="left"/>
      <protection locked="0"/>
    </xf>
    <xf numFmtId="0" fontId="0" fillId="0" borderId="0" xfId="0" applyAlignment="1" applyProtection="1">
      <alignment horizontal="left"/>
      <protection locked="0"/>
    </xf>
    <xf numFmtId="0" fontId="0" fillId="19" borderId="32" xfId="0" applyFill="1" applyBorder="1" applyProtection="1">
      <protection locked="0"/>
    </xf>
    <xf numFmtId="164" fontId="1" fillId="0" borderId="0" xfId="1" applyNumberFormat="1" applyFont="1" applyProtection="1">
      <protection locked="0"/>
    </xf>
    <xf numFmtId="0" fontId="3" fillId="19" borderId="32" xfId="0" applyFont="1" applyFill="1" applyBorder="1" applyAlignment="1" applyProtection="1">
      <alignment horizontal="left" indent="1"/>
      <protection locked="0"/>
    </xf>
    <xf numFmtId="0" fontId="12" fillId="0" borderId="0" xfId="0" applyFont="1" applyProtection="1">
      <protection locked="0"/>
    </xf>
    <xf numFmtId="0" fontId="0" fillId="0" borderId="7" xfId="0" applyBorder="1" applyProtection="1">
      <protection locked="0"/>
    </xf>
    <xf numFmtId="0" fontId="0" fillId="0" borderId="4" xfId="0" applyBorder="1" applyProtection="1">
      <protection locked="0"/>
    </xf>
    <xf numFmtId="0" fontId="0" fillId="0" borderId="9" xfId="0" applyBorder="1" applyProtection="1">
      <protection locked="0"/>
    </xf>
    <xf numFmtId="0" fontId="0" fillId="0" borderId="6" xfId="0" applyBorder="1" applyProtection="1">
      <protection locked="0"/>
    </xf>
    <xf numFmtId="0" fontId="0" fillId="0" borderId="5" xfId="0" applyBorder="1" applyProtection="1">
      <protection locked="0"/>
    </xf>
    <xf numFmtId="0" fontId="0" fillId="0" borderId="1" xfId="0" applyBorder="1" applyAlignment="1" applyProtection="1">
      <alignment wrapText="1"/>
      <protection locked="0"/>
    </xf>
    <xf numFmtId="0" fontId="0" fillId="0" borderId="2" xfId="0" applyBorder="1" applyAlignment="1" applyProtection="1">
      <alignment wrapText="1"/>
      <protection locked="0"/>
    </xf>
    <xf numFmtId="0" fontId="0" fillId="0" borderId="3" xfId="0" applyBorder="1" applyAlignment="1" applyProtection="1">
      <alignment wrapText="1"/>
      <protection locked="0"/>
    </xf>
    <xf numFmtId="0" fontId="98" fillId="0" borderId="0" xfId="0" applyFont="1" applyAlignment="1" applyProtection="1">
      <alignment vertical="center"/>
      <protection locked="0"/>
    </xf>
    <xf numFmtId="0" fontId="0" fillId="4" borderId="1" xfId="0" applyFill="1" applyBorder="1" applyAlignment="1" applyProtection="1">
      <alignment wrapText="1"/>
      <protection locked="0"/>
    </xf>
    <xf numFmtId="0" fontId="0" fillId="0" borderId="10" xfId="0" applyBorder="1" applyProtection="1">
      <protection locked="0"/>
    </xf>
    <xf numFmtId="0" fontId="0" fillId="0" borderId="11" xfId="0" applyBorder="1" applyProtection="1">
      <protection locked="0"/>
    </xf>
    <xf numFmtId="0" fontId="0" fillId="0" borderId="14" xfId="0" applyBorder="1" applyProtection="1">
      <protection locked="0"/>
    </xf>
    <xf numFmtId="0" fontId="0" fillId="0" borderId="12" xfId="0" applyBorder="1" applyProtection="1">
      <protection locked="0"/>
    </xf>
    <xf numFmtId="0" fontId="30" fillId="0" borderId="0" xfId="0" applyFont="1" applyProtection="1">
      <protection locked="0"/>
    </xf>
    <xf numFmtId="0" fontId="0" fillId="0" borderId="13" xfId="0" applyBorder="1" applyProtection="1">
      <protection locked="0"/>
    </xf>
    <xf numFmtId="0" fontId="62" fillId="0" borderId="2" xfId="0" applyFont="1" applyBorder="1" applyAlignment="1" applyProtection="1">
      <alignment wrapText="1"/>
      <protection locked="0"/>
    </xf>
    <xf numFmtId="0" fontId="62" fillId="0" borderId="3" xfId="0" applyFont="1" applyBorder="1" applyAlignment="1" applyProtection="1">
      <alignment wrapText="1"/>
      <protection locked="0"/>
    </xf>
    <xf numFmtId="0" fontId="62" fillId="0" borderId="0" xfId="0" applyFont="1" applyAlignment="1" applyProtection="1">
      <alignment wrapText="1"/>
      <protection locked="0"/>
    </xf>
    <xf numFmtId="0" fontId="62" fillId="10" borderId="2" xfId="0" applyFont="1" applyFill="1" applyBorder="1" applyAlignment="1" applyProtection="1">
      <alignment wrapText="1"/>
      <protection locked="0"/>
    </xf>
    <xf numFmtId="0" fontId="62" fillId="10" borderId="3" xfId="0" applyFont="1" applyFill="1" applyBorder="1" applyAlignment="1" applyProtection="1">
      <alignment wrapText="1"/>
      <protection locked="0"/>
    </xf>
    <xf numFmtId="0" fontId="63" fillId="0" borderId="4" xfId="0" applyFont="1" applyBorder="1" applyProtection="1">
      <protection locked="0"/>
    </xf>
    <xf numFmtId="0" fontId="63" fillId="0" borderId="6" xfId="0" applyFont="1" applyBorder="1" applyProtection="1">
      <protection locked="0"/>
    </xf>
    <xf numFmtId="0" fontId="63" fillId="0" borderId="5" xfId="0" applyFont="1" applyBorder="1" applyProtection="1">
      <protection locked="0"/>
    </xf>
    <xf numFmtId="0" fontId="63" fillId="0" borderId="13" xfId="0" applyFont="1" applyBorder="1" applyProtection="1">
      <protection locked="0"/>
    </xf>
    <xf numFmtId="0" fontId="63" fillId="0" borderId="0" xfId="0" applyFont="1" applyProtection="1">
      <protection locked="0"/>
    </xf>
    <xf numFmtId="0" fontId="0" fillId="0" borderId="3" xfId="0" applyBorder="1" applyAlignment="1" applyProtection="1">
      <alignment horizontal="center"/>
      <protection locked="0"/>
    </xf>
    <xf numFmtId="0" fontId="0" fillId="3" borderId="0" xfId="0" applyFill="1" applyProtection="1">
      <protection locked="0"/>
    </xf>
    <xf numFmtId="0" fontId="77" fillId="0" borderId="47" xfId="0" applyFont="1" applyBorder="1" applyProtection="1">
      <protection locked="0"/>
    </xf>
    <xf numFmtId="170" fontId="2" fillId="16" borderId="3" xfId="1" applyNumberFormat="1" applyFont="1" applyFill="1" applyBorder="1" applyAlignment="1" applyProtection="1">
      <alignment horizontal="center"/>
      <protection locked="0"/>
    </xf>
    <xf numFmtId="0" fontId="17" fillId="0" borderId="5" xfId="5" applyFont="1" applyBorder="1" applyAlignment="1" applyProtection="1">
      <alignment horizontal="left" wrapText="1"/>
      <protection locked="0"/>
    </xf>
    <xf numFmtId="0" fontId="17" fillId="0" borderId="5" xfId="5" applyFont="1" applyBorder="1" applyAlignment="1" applyProtection="1">
      <alignment horizontal="left" vertical="top" wrapText="1"/>
      <protection locked="0"/>
    </xf>
    <xf numFmtId="2" fontId="0" fillId="6" borderId="5" xfId="0" applyNumberFormat="1" applyFill="1" applyBorder="1" applyProtection="1">
      <protection locked="0"/>
    </xf>
    <xf numFmtId="43" fontId="0" fillId="0" borderId="5" xfId="0" applyNumberFormat="1" applyBorder="1" applyProtection="1">
      <protection locked="0"/>
    </xf>
    <xf numFmtId="43" fontId="0" fillId="0" borderId="0" xfId="0" applyNumberFormat="1" applyProtection="1">
      <protection locked="0"/>
    </xf>
    <xf numFmtId="0" fontId="78" fillId="0" borderId="47" xfId="0" applyFont="1" applyBorder="1" applyProtection="1">
      <protection locked="0"/>
    </xf>
    <xf numFmtId="43" fontId="0" fillId="0" borderId="6" xfId="0" applyNumberFormat="1" applyBorder="1" applyProtection="1">
      <protection locked="0"/>
    </xf>
    <xf numFmtId="0" fontId="0" fillId="0" borderId="46" xfId="0" applyBorder="1" applyProtection="1">
      <protection locked="0"/>
    </xf>
    <xf numFmtId="43" fontId="0" fillId="0" borderId="46" xfId="0" applyNumberFormat="1" applyBorder="1" applyProtection="1">
      <protection locked="0"/>
    </xf>
    <xf numFmtId="0" fontId="17" fillId="0" borderId="46" xfId="5" applyFont="1" applyBorder="1" applyAlignment="1" applyProtection="1">
      <alignment horizontal="left" wrapText="1"/>
      <protection locked="0"/>
    </xf>
    <xf numFmtId="0" fontId="17" fillId="0" borderId="4" xfId="5" applyFont="1" applyBorder="1" applyAlignment="1" applyProtection="1">
      <alignment horizontal="left" wrapText="1"/>
      <protection locked="0"/>
    </xf>
    <xf numFmtId="0" fontId="17" fillId="0" borderId="4" xfId="5" applyFont="1" applyBorder="1" applyAlignment="1" applyProtection="1">
      <alignment horizontal="left" vertical="top" wrapText="1"/>
      <protection locked="0"/>
    </xf>
    <xf numFmtId="43" fontId="0" fillId="0" borderId="4" xfId="0" applyNumberFormat="1" applyBorder="1" applyProtection="1">
      <protection locked="0"/>
    </xf>
    <xf numFmtId="0" fontId="17" fillId="0" borderId="46" xfId="5" applyFont="1" applyBorder="1" applyAlignment="1" applyProtection="1">
      <alignment horizontal="left" vertical="top" wrapText="1"/>
      <protection locked="0"/>
    </xf>
    <xf numFmtId="2" fontId="0" fillId="0" borderId="46" xfId="0" applyNumberFormat="1" applyBorder="1" applyProtection="1">
      <protection locked="0"/>
    </xf>
    <xf numFmtId="2" fontId="0" fillId="0" borderId="4" xfId="0" applyNumberFormat="1" applyBorder="1" applyProtection="1">
      <protection locked="0"/>
    </xf>
    <xf numFmtId="43" fontId="0" fillId="0" borderId="46" xfId="0" quotePrefix="1" applyNumberFormat="1" applyBorder="1" applyProtection="1">
      <protection locked="0"/>
    </xf>
    <xf numFmtId="2" fontId="0" fillId="0" borderId="46" xfId="0" quotePrefix="1" applyNumberFormat="1" applyBorder="1" applyProtection="1">
      <protection locked="0"/>
    </xf>
    <xf numFmtId="0" fontId="17" fillId="0" borderId="0" xfId="5" applyFont="1" applyAlignment="1" applyProtection="1">
      <alignment horizontal="center" vertical="top" wrapText="1"/>
      <protection locked="0"/>
    </xf>
    <xf numFmtId="0" fontId="16" fillId="0" borderId="37" xfId="5" applyFont="1" applyBorder="1" applyAlignment="1" applyProtection="1">
      <alignment horizontal="left"/>
      <protection locked="0"/>
    </xf>
    <xf numFmtId="0" fontId="0" fillId="0" borderId="8" xfId="0" applyBorder="1" applyProtection="1">
      <protection locked="0"/>
    </xf>
    <xf numFmtId="0" fontId="0" fillId="10" borderId="0" xfId="0" applyFill="1" applyProtection="1">
      <protection locked="0"/>
    </xf>
    <xf numFmtId="0" fontId="17" fillId="0" borderId="18" xfId="5" applyFont="1" applyBorder="1" applyAlignment="1" applyProtection="1">
      <alignment horizontal="left" wrapText="1"/>
      <protection locked="0"/>
    </xf>
    <xf numFmtId="0" fontId="17" fillId="0" borderId="0" xfId="5" applyFont="1" applyAlignment="1" applyProtection="1">
      <alignment horizontal="left" wrapText="1"/>
      <protection locked="0"/>
    </xf>
    <xf numFmtId="2" fontId="0" fillId="0" borderId="0" xfId="0" applyNumberFormat="1" applyProtection="1">
      <protection locked="0"/>
    </xf>
    <xf numFmtId="166" fontId="0" fillId="10" borderId="0" xfId="0" applyNumberFormat="1" applyFill="1" applyProtection="1">
      <protection locked="0"/>
    </xf>
    <xf numFmtId="165" fontId="0" fillId="0" borderId="0" xfId="0" applyNumberFormat="1" applyProtection="1">
      <protection locked="0"/>
    </xf>
    <xf numFmtId="0" fontId="2" fillId="10" borderId="0" xfId="0" applyFont="1" applyFill="1" applyProtection="1">
      <protection locked="0"/>
    </xf>
    <xf numFmtId="0" fontId="17" fillId="0" borderId="2" xfId="5" applyFont="1" applyBorder="1" applyAlignment="1" applyProtection="1">
      <alignment horizontal="left" wrapText="1"/>
      <protection locked="0"/>
    </xf>
    <xf numFmtId="165" fontId="0" fillId="0" borderId="2" xfId="0" applyNumberFormat="1" applyBorder="1" applyProtection="1">
      <protection locked="0"/>
    </xf>
    <xf numFmtId="2" fontId="0" fillId="0" borderId="3" xfId="0" applyNumberFormat="1" applyBorder="1" applyProtection="1">
      <protection locked="0"/>
    </xf>
    <xf numFmtId="0" fontId="2" fillId="0" borderId="37" xfId="0" applyFont="1" applyBorder="1" applyProtection="1">
      <protection locked="0"/>
    </xf>
    <xf numFmtId="0" fontId="40" fillId="0" borderId="0" xfId="0" applyFont="1" applyProtection="1">
      <protection locked="0"/>
    </xf>
    <xf numFmtId="0" fontId="61" fillId="2" borderId="18" xfId="0" applyFont="1" applyFill="1" applyBorder="1" applyAlignment="1" applyProtection="1">
      <alignment horizontal="left" indent="1"/>
      <protection locked="0"/>
    </xf>
    <xf numFmtId="0" fontId="40" fillId="0" borderId="18" xfId="0" applyFont="1" applyBorder="1" applyProtection="1">
      <protection locked="0"/>
    </xf>
    <xf numFmtId="0" fontId="2" fillId="0" borderId="18" xfId="0" quotePrefix="1" applyFont="1" applyBorder="1"/>
    <xf numFmtId="0" fontId="61" fillId="19" borderId="22" xfId="0" applyFont="1" applyFill="1" applyBorder="1" applyAlignment="1" applyProtection="1">
      <alignment horizontal="left" indent="1"/>
      <protection locked="0"/>
    </xf>
    <xf numFmtId="0" fontId="0" fillId="19" borderId="23" xfId="0" applyFill="1" applyBorder="1" applyProtection="1">
      <protection locked="0"/>
    </xf>
    <xf numFmtId="0" fontId="0" fillId="0" borderId="18" xfId="0" quotePrefix="1" applyBorder="1" applyProtection="1">
      <protection locked="0"/>
    </xf>
    <xf numFmtId="184" fontId="0" fillId="0" borderId="9" xfId="0" applyNumberFormat="1" applyBorder="1" applyAlignment="1">
      <alignment horizontal="center"/>
    </xf>
    <xf numFmtId="184" fontId="0" fillId="0" borderId="9" xfId="0" quotePrefix="1" applyNumberFormat="1" applyBorder="1" applyAlignment="1">
      <alignment horizontal="center"/>
    </xf>
    <xf numFmtId="184" fontId="2" fillId="0" borderId="2" xfId="0" quotePrefix="1" applyNumberFormat="1" applyFont="1" applyBorder="1" applyAlignment="1">
      <alignment horizontal="center"/>
    </xf>
    <xf numFmtId="184" fontId="0" fillId="0" borderId="7" xfId="1" applyNumberFormat="1" applyFont="1" applyBorder="1" applyAlignment="1">
      <alignment horizontal="center"/>
    </xf>
    <xf numFmtId="184" fontId="0" fillId="0" borderId="13" xfId="1" applyNumberFormat="1" applyFont="1" applyBorder="1" applyAlignment="1">
      <alignment horizontal="center"/>
    </xf>
    <xf numFmtId="184" fontId="0" fillId="0" borderId="8" xfId="1" applyNumberFormat="1" applyFont="1" applyBorder="1" applyAlignment="1">
      <alignment horizontal="center"/>
    </xf>
    <xf numFmtId="184" fontId="0" fillId="0" borderId="9" xfId="1" applyNumberFormat="1" applyFont="1" applyBorder="1" applyAlignment="1">
      <alignment horizontal="center"/>
    </xf>
    <xf numFmtId="184" fontId="0" fillId="0" borderId="0" xfId="1" applyNumberFormat="1" applyFont="1" applyBorder="1" applyAlignment="1">
      <alignment horizontal="center"/>
    </xf>
    <xf numFmtId="184" fontId="0" fillId="0" borderId="11" xfId="1" applyNumberFormat="1" applyFont="1" applyBorder="1" applyAlignment="1">
      <alignment horizontal="center"/>
    </xf>
    <xf numFmtId="184" fontId="0" fillId="0" borderId="14" xfId="1" applyNumberFormat="1" applyFont="1" applyBorder="1" applyAlignment="1">
      <alignment horizontal="center"/>
    </xf>
    <xf numFmtId="184" fontId="2" fillId="0" borderId="1" xfId="1" applyNumberFormat="1" applyFont="1" applyBorder="1" applyAlignment="1">
      <alignment horizontal="center" vertical="center"/>
    </xf>
    <xf numFmtId="189" fontId="0" fillId="0" borderId="0" xfId="1" quotePrefix="1" applyNumberFormat="1" applyFont="1" applyBorder="1" applyAlignment="1">
      <alignment horizontal="right"/>
    </xf>
    <xf numFmtId="189" fontId="0" fillId="0" borderId="6" xfId="1" applyNumberFormat="1" applyFont="1" applyBorder="1" applyAlignment="1">
      <alignment horizontal="right"/>
    </xf>
    <xf numFmtId="191" fontId="0" fillId="0" borderId="0" xfId="0" applyNumberFormat="1" applyAlignment="1">
      <alignment horizontal="center"/>
    </xf>
    <xf numFmtId="191" fontId="0" fillId="0" borderId="6" xfId="1" applyNumberFormat="1" applyFont="1" applyFill="1" applyBorder="1" applyAlignment="1">
      <alignment horizontal="center"/>
    </xf>
    <xf numFmtId="191" fontId="2" fillId="0" borderId="2" xfId="0" applyNumberFormat="1" applyFont="1" applyBorder="1" applyAlignment="1">
      <alignment horizontal="center" vertical="center"/>
    </xf>
    <xf numFmtId="164" fontId="0" fillId="0" borderId="10" xfId="1" applyNumberFormat="1" applyFont="1" applyFill="1" applyBorder="1" applyAlignment="1">
      <alignment horizontal="center"/>
    </xf>
    <xf numFmtId="0" fontId="105" fillId="0" borderId="18" xfId="0" applyFont="1" applyBorder="1"/>
    <xf numFmtId="0" fontId="0" fillId="0" borderId="9" xfId="0" applyBorder="1" applyAlignment="1">
      <alignment horizontal="left"/>
    </xf>
    <xf numFmtId="164" fontId="0" fillId="0" borderId="0" xfId="1" applyNumberFormat="1" applyFont="1" applyFill="1" applyBorder="1" applyAlignment="1">
      <alignment vertical="center"/>
    </xf>
    <xf numFmtId="185" fontId="0" fillId="0" borderId="0" xfId="1" applyNumberFormat="1" applyFont="1" applyFill="1" applyBorder="1" applyAlignment="1">
      <alignment horizontal="left"/>
    </xf>
    <xf numFmtId="192" fontId="0" fillId="9" borderId="8" xfId="0" applyNumberFormat="1" applyFill="1" applyBorder="1" applyAlignment="1">
      <alignment horizontal="center"/>
    </xf>
    <xf numFmtId="164" fontId="0" fillId="0" borderId="14" xfId="1" applyNumberFormat="1" applyFont="1" applyFill="1" applyBorder="1" applyAlignment="1">
      <alignment vertical="center"/>
    </xf>
    <xf numFmtId="178" fontId="0" fillId="0" borderId="7" xfId="0" applyNumberFormat="1" applyBorder="1" applyAlignment="1">
      <alignment horizontal="right"/>
    </xf>
    <xf numFmtId="178" fontId="0" fillId="0" borderId="13" xfId="0" applyNumberFormat="1" applyBorder="1" applyAlignment="1">
      <alignment horizontal="right"/>
    </xf>
    <xf numFmtId="178" fontId="0" fillId="0" borderId="8" xfId="0" applyNumberFormat="1" applyBorder="1" applyAlignment="1">
      <alignment horizontal="right"/>
    </xf>
    <xf numFmtId="178" fontId="0" fillId="0" borderId="9" xfId="0" applyNumberFormat="1" applyBorder="1" applyAlignment="1">
      <alignment horizontal="right"/>
    </xf>
    <xf numFmtId="178" fontId="0" fillId="0" borderId="10" xfId="0" applyNumberFormat="1" applyBorder="1" applyAlignment="1">
      <alignment horizontal="right"/>
    </xf>
    <xf numFmtId="178" fontId="0" fillId="0" borderId="2" xfId="0" applyNumberFormat="1" applyBorder="1" applyAlignment="1">
      <alignment horizontal="left"/>
    </xf>
    <xf numFmtId="164" fontId="0" fillId="0" borderId="1" xfId="1" applyNumberFormat="1" applyFont="1" applyBorder="1" applyAlignment="1">
      <alignment horizontal="right" indent="1"/>
    </xf>
    <xf numFmtId="164" fontId="0" fillId="0" borderId="2" xfId="1" applyNumberFormat="1" applyFont="1" applyBorder="1" applyAlignment="1">
      <alignment horizontal="right"/>
    </xf>
    <xf numFmtId="193" fontId="0" fillId="0" borderId="6" xfId="0" applyNumberFormat="1" applyBorder="1"/>
    <xf numFmtId="170" fontId="0" fillId="0" borderId="0" xfId="1" applyNumberFormat="1" applyFont="1" applyBorder="1" applyAlignment="1">
      <alignment horizontal="right"/>
    </xf>
    <xf numFmtId="43" fontId="0" fillId="0" borderId="2" xfId="0" applyNumberFormat="1" applyBorder="1" applyAlignment="1">
      <alignment horizontal="right"/>
    </xf>
    <xf numFmtId="0" fontId="40" fillId="7" borderId="0" xfId="0" applyFont="1" applyFill="1"/>
    <xf numFmtId="0" fontId="106" fillId="7" borderId="18" xfId="0" applyFont="1" applyFill="1" applyBorder="1"/>
    <xf numFmtId="0" fontId="107" fillId="7" borderId="18" xfId="3" applyFont="1" applyFill="1" applyBorder="1" applyAlignment="1">
      <alignment horizontal="right"/>
    </xf>
    <xf numFmtId="0" fontId="6" fillId="7" borderId="0" xfId="3" applyFont="1" applyFill="1" applyAlignment="1">
      <alignment wrapText="1"/>
    </xf>
    <xf numFmtId="0" fontId="108" fillId="7" borderId="0" xfId="3" applyFont="1" applyFill="1"/>
    <xf numFmtId="164" fontId="4" fillId="7" borderId="0" xfId="3" applyNumberFormat="1" applyFill="1"/>
    <xf numFmtId="0" fontId="40" fillId="7" borderId="0" xfId="0" applyFont="1" applyFill="1" applyAlignment="1">
      <alignment horizontal="left"/>
    </xf>
    <xf numFmtId="0" fontId="0" fillId="0" borderId="9" xfId="0" applyBorder="1" applyAlignment="1">
      <alignment horizontal="center" vertical="center"/>
    </xf>
    <xf numFmtId="0" fontId="0" fillId="19" borderId="0" xfId="0" applyFill="1"/>
    <xf numFmtId="0" fontId="33" fillId="9" borderId="65" xfId="0" applyFont="1" applyFill="1" applyBorder="1" applyAlignment="1">
      <alignment horizontal="left" vertical="center" wrapText="1"/>
    </xf>
    <xf numFmtId="0" fontId="33" fillId="5" borderId="66" xfId="0" applyFont="1" applyFill="1" applyBorder="1" applyAlignment="1" applyProtection="1">
      <alignment horizontal="center" vertical="center"/>
      <protection locked="0"/>
    </xf>
    <xf numFmtId="43" fontId="0" fillId="0" borderId="5" xfId="1" applyFont="1" applyBorder="1"/>
    <xf numFmtId="0" fontId="40" fillId="0" borderId="0" xfId="0" applyFont="1" applyAlignment="1">
      <alignment horizontal="center" wrapText="1"/>
    </xf>
    <xf numFmtId="0" fontId="101" fillId="0" borderId="0" xfId="0" applyFont="1" applyAlignment="1">
      <alignment horizontal="center" wrapText="1"/>
    </xf>
    <xf numFmtId="0" fontId="40" fillId="0" borderId="0" xfId="0" applyFont="1" applyAlignment="1">
      <alignment horizontal="center" vertical="center" wrapText="1"/>
    </xf>
    <xf numFmtId="184" fontId="40" fillId="0" borderId="0" xfId="1" applyNumberFormat="1" applyFont="1" applyFill="1" applyBorder="1" applyAlignment="1">
      <alignment horizontal="center" wrapText="1"/>
    </xf>
    <xf numFmtId="0" fontId="0" fillId="0" borderId="9" xfId="0" applyBorder="1" applyAlignment="1">
      <alignment horizontal="center" vertical="center" wrapText="1"/>
    </xf>
    <xf numFmtId="184" fontId="0" fillId="0" borderId="0" xfId="1" applyNumberFormat="1" applyFont="1" applyFill="1" applyBorder="1" applyAlignment="1">
      <alignment horizontal="center"/>
    </xf>
    <xf numFmtId="184" fontId="0" fillId="0" borderId="10" xfId="1" applyNumberFormat="1" applyFont="1" applyFill="1" applyBorder="1" applyAlignment="1">
      <alignment horizontal="center"/>
    </xf>
    <xf numFmtId="0" fontId="101" fillId="0" borderId="0" xfId="0" applyFont="1" applyAlignment="1">
      <alignment horizontal="center" vertical="center" wrapText="1"/>
    </xf>
    <xf numFmtId="184" fontId="40" fillId="0" borderId="0" xfId="1" applyNumberFormat="1" applyFont="1" applyFill="1" applyBorder="1" applyAlignment="1">
      <alignment horizontal="center" vertical="center" wrapText="1"/>
    </xf>
    <xf numFmtId="184" fontId="2" fillId="0" borderId="14" xfId="1" applyNumberFormat="1" applyFont="1" applyBorder="1" applyAlignment="1">
      <alignment horizontal="center" vertical="center"/>
    </xf>
    <xf numFmtId="9" fontId="2" fillId="0" borderId="3" xfId="6" applyFont="1" applyBorder="1" applyAlignment="1">
      <alignment horizontal="center" vertical="center"/>
    </xf>
    <xf numFmtId="2" fontId="40" fillId="0" borderId="0" xfId="0" applyNumberFormat="1" applyFont="1" applyAlignment="1">
      <alignment horizontal="center" vertical="center" wrapText="1"/>
    </xf>
    <xf numFmtId="2" fontId="101" fillId="0" borderId="0" xfId="0" applyNumberFormat="1" applyFont="1" applyAlignment="1">
      <alignment horizontal="center" vertical="center" wrapText="1"/>
    </xf>
    <xf numFmtId="0" fontId="2" fillId="0" borderId="0" xfId="0" applyFont="1" applyAlignment="1">
      <alignment horizontal="center" vertical="center" wrapText="1"/>
    </xf>
    <xf numFmtId="0" fontId="101" fillId="0" borderId="0" xfId="0" applyFont="1" applyAlignment="1">
      <alignment wrapText="1"/>
    </xf>
    <xf numFmtId="184" fontId="40" fillId="0" borderId="0" xfId="0" applyNumberFormat="1" applyFont="1" applyAlignment="1">
      <alignment horizontal="center" wrapText="1"/>
    </xf>
    <xf numFmtId="184" fontId="0" fillId="0" borderId="0" xfId="0" applyNumberFormat="1" applyAlignment="1">
      <alignment horizontal="center"/>
    </xf>
    <xf numFmtId="184" fontId="0" fillId="0" borderId="0" xfId="0" quotePrefix="1" applyNumberFormat="1" applyAlignment="1">
      <alignment horizontal="center"/>
    </xf>
    <xf numFmtId="0" fontId="13" fillId="0" borderId="6" xfId="0" applyFont="1" applyBorder="1" applyAlignment="1">
      <alignment horizontal="left" wrapText="1" indent="1"/>
    </xf>
    <xf numFmtId="0" fontId="101" fillId="0" borderId="0" xfId="0" applyFont="1"/>
    <xf numFmtId="184" fontId="40" fillId="0" borderId="0" xfId="0" quotePrefix="1" applyNumberFormat="1" applyFont="1" applyAlignment="1">
      <alignment horizontal="center" wrapText="1"/>
    </xf>
    <xf numFmtId="184" fontId="101" fillId="0" borderId="0" xfId="0" applyNumberFormat="1" applyFont="1" applyAlignment="1">
      <alignment horizontal="center" wrapText="1"/>
    </xf>
    <xf numFmtId="9" fontId="40" fillId="0" borderId="0" xfId="6" applyFont="1" applyFill="1" applyBorder="1" applyAlignment="1">
      <alignment horizontal="center" vertical="center" wrapText="1"/>
    </xf>
    <xf numFmtId="0" fontId="29" fillId="0" borderId="0" xfId="0" applyFont="1" applyAlignment="1">
      <alignment horizontal="center" wrapText="1"/>
    </xf>
    <xf numFmtId="43" fontId="2" fillId="0" borderId="1" xfId="1" applyFont="1" applyBorder="1" applyAlignment="1">
      <alignment horizontal="center"/>
    </xf>
    <xf numFmtId="2" fontId="0" fillId="0" borderId="0" xfId="0" quotePrefix="1" applyNumberFormat="1" applyAlignment="1">
      <alignment horizontal="center"/>
    </xf>
    <xf numFmtId="184" fontId="2" fillId="0" borderId="14" xfId="0" quotePrefix="1" applyNumberFormat="1" applyFont="1" applyBorder="1" applyAlignment="1">
      <alignment horizontal="center"/>
    </xf>
    <xf numFmtId="184" fontId="0" fillId="0" borderId="14" xfId="1" applyNumberFormat="1" applyFont="1" applyFill="1" applyBorder="1" applyAlignment="1">
      <alignment horizontal="center"/>
    </xf>
    <xf numFmtId="184" fontId="0" fillId="0" borderId="12" xfId="1" applyNumberFormat="1" applyFont="1" applyFill="1" applyBorder="1" applyAlignment="1">
      <alignment horizontal="center"/>
    </xf>
    <xf numFmtId="0" fontId="106" fillId="0" borderId="0" xfId="0" applyFont="1"/>
    <xf numFmtId="0" fontId="106" fillId="0" borderId="0" xfId="0" applyFont="1" applyAlignment="1">
      <alignment wrapText="1"/>
    </xf>
    <xf numFmtId="0" fontId="2" fillId="0" borderId="70" xfId="0" applyFont="1" applyBorder="1"/>
    <xf numFmtId="189" fontId="0" fillId="0" borderId="71" xfId="1" applyNumberFormat="1" applyFont="1" applyBorder="1" applyAlignment="1">
      <alignment horizontal="right"/>
    </xf>
    <xf numFmtId="0" fontId="2" fillId="0" borderId="72" xfId="0" applyFont="1" applyBorder="1" applyAlignment="1">
      <alignment vertical="center"/>
    </xf>
    <xf numFmtId="0" fontId="2" fillId="0" borderId="11" xfId="0" applyFont="1" applyBorder="1"/>
    <xf numFmtId="43" fontId="0" fillId="0" borderId="4" xfId="1" applyFont="1" applyBorder="1" applyAlignment="1">
      <alignment horizontal="center"/>
    </xf>
    <xf numFmtId="43" fontId="0" fillId="0" borderId="5" xfId="1" applyFont="1" applyBorder="1" applyAlignment="1">
      <alignment horizontal="center"/>
    </xf>
    <xf numFmtId="185" fontId="0" fillId="0" borderId="0" xfId="1" applyNumberFormat="1" applyFont="1" applyBorder="1" applyAlignment="1">
      <alignment horizontal="right"/>
    </xf>
    <xf numFmtId="185" fontId="0" fillId="0" borderId="2" xfId="0" applyNumberFormat="1" applyBorder="1" applyAlignment="1">
      <alignment horizontal="right"/>
    </xf>
    <xf numFmtId="170" fontId="0" fillId="0" borderId="1" xfId="1" applyNumberFormat="1" applyFont="1" applyBorder="1" applyAlignment="1">
      <alignment horizontal="left"/>
    </xf>
    <xf numFmtId="170" fontId="0" fillId="0" borderId="2" xfId="1" applyNumberFormat="1" applyFont="1" applyBorder="1" applyAlignment="1">
      <alignment horizontal="left"/>
    </xf>
    <xf numFmtId="170" fontId="0" fillId="0" borderId="3" xfId="1" applyNumberFormat="1" applyFont="1" applyBorder="1" applyAlignment="1">
      <alignment horizontal="left"/>
    </xf>
    <xf numFmtId="0" fontId="74" fillId="6" borderId="0" xfId="0" applyFont="1" applyFill="1" applyProtection="1">
      <protection locked="0"/>
    </xf>
    <xf numFmtId="0" fontId="74" fillId="6" borderId="0" xfId="0" applyFont="1" applyFill="1"/>
    <xf numFmtId="0" fontId="74" fillId="6" borderId="0" xfId="0" applyFont="1" applyFill="1" applyAlignment="1" applyProtection="1">
      <alignment horizontal="right"/>
      <protection locked="0"/>
    </xf>
    <xf numFmtId="0" fontId="113" fillId="6" borderId="0" xfId="0" applyFont="1" applyFill="1" applyAlignment="1" applyProtection="1">
      <alignment horizontal="center"/>
      <protection locked="0"/>
    </xf>
    <xf numFmtId="0" fontId="74" fillId="6" borderId="0" xfId="0" applyFont="1" applyFill="1" applyAlignment="1">
      <alignment horizontal="right"/>
    </xf>
    <xf numFmtId="0" fontId="113" fillId="6" borderId="0" xfId="0" applyFont="1" applyFill="1" applyAlignment="1">
      <alignment horizontal="center"/>
    </xf>
    <xf numFmtId="184" fontId="2" fillId="0" borderId="1" xfId="0" applyNumberFormat="1" applyFont="1" applyBorder="1" applyAlignment="1">
      <alignment horizontal="center"/>
    </xf>
    <xf numFmtId="184" fontId="2" fillId="0" borderId="2" xfId="0" applyNumberFormat="1" applyFont="1" applyBorder="1" applyAlignment="1">
      <alignment horizontal="center"/>
    </xf>
    <xf numFmtId="2" fontId="40" fillId="0" borderId="0" xfId="0" applyNumberFormat="1" applyFont="1"/>
    <xf numFmtId="0" fontId="63" fillId="0" borderId="0" xfId="0" applyFont="1" applyAlignment="1">
      <alignment horizontal="left" wrapText="1"/>
    </xf>
    <xf numFmtId="0" fontId="0" fillId="20" borderId="18" xfId="0" applyFill="1" applyBorder="1"/>
    <xf numFmtId="0" fontId="0" fillId="21" borderId="18" xfId="0" applyFill="1" applyBorder="1"/>
    <xf numFmtId="167" fontId="13" fillId="0" borderId="0" xfId="0" applyNumberFormat="1" applyFont="1"/>
    <xf numFmtId="2" fontId="13" fillId="20" borderId="38" xfId="0" applyNumberFormat="1" applyFont="1" applyFill="1" applyBorder="1"/>
    <xf numFmtId="0" fontId="13" fillId="7" borderId="38" xfId="0" applyFont="1" applyFill="1" applyBorder="1"/>
    <xf numFmtId="0" fontId="13" fillId="7" borderId="39" xfId="0" applyFont="1" applyFill="1" applyBorder="1"/>
    <xf numFmtId="178" fontId="0" fillId="0" borderId="0" xfId="1" applyNumberFormat="1" applyFont="1" applyBorder="1" applyAlignment="1">
      <alignment horizontal="center" vertical="top"/>
    </xf>
    <xf numFmtId="178" fontId="2" fillId="0" borderId="0" xfId="0" applyNumberFormat="1" applyFont="1" applyAlignment="1">
      <alignment horizontal="center" vertical="center"/>
    </xf>
    <xf numFmtId="164" fontId="0" fillId="0" borderId="8" xfId="1" applyNumberFormat="1" applyFont="1" applyFill="1" applyBorder="1" applyAlignment="1">
      <alignment horizontal="center"/>
    </xf>
    <xf numFmtId="0" fontId="0" fillId="0" borderId="7" xfId="0" applyBorder="1"/>
    <xf numFmtId="37" fontId="0" fillId="0" borderId="7" xfId="0" applyNumberFormat="1" applyBorder="1" applyAlignment="1">
      <alignment horizontal="center"/>
    </xf>
    <xf numFmtId="37" fontId="0" fillId="0" borderId="9" xfId="0" applyNumberFormat="1" applyBorder="1" applyAlignment="1">
      <alignment horizontal="center"/>
    </xf>
    <xf numFmtId="164" fontId="0" fillId="0" borderId="3" xfId="1" applyNumberFormat="1" applyFont="1" applyFill="1" applyBorder="1" applyAlignment="1">
      <alignment horizontal="center"/>
    </xf>
    <xf numFmtId="173" fontId="2" fillId="0" borderId="0" xfId="0" applyNumberFormat="1" applyFont="1" applyAlignment="1">
      <alignment horizontal="center" wrapText="1"/>
    </xf>
    <xf numFmtId="43" fontId="2" fillId="0" borderId="0" xfId="1" applyFont="1" applyBorder="1" applyAlignment="1">
      <alignment horizontal="center" vertical="center"/>
    </xf>
    <xf numFmtId="0" fontId="38" fillId="7" borderId="0" xfId="0" applyFont="1" applyFill="1" applyAlignment="1">
      <alignment horizontal="center"/>
    </xf>
    <xf numFmtId="0" fontId="33" fillId="7" borderId="0" xfId="0" applyFont="1" applyFill="1" applyAlignment="1">
      <alignment horizontal="center"/>
    </xf>
    <xf numFmtId="43" fontId="0" fillId="6" borderId="0" xfId="0" applyNumberFormat="1" applyFill="1"/>
    <xf numFmtId="43" fontId="0" fillId="0" borderId="0" xfId="0" applyNumberFormat="1"/>
    <xf numFmtId="181" fontId="0" fillId="0" borderId="0" xfId="0" applyNumberFormat="1"/>
    <xf numFmtId="0" fontId="0" fillId="7" borderId="0" xfId="0" applyFill="1" applyAlignment="1">
      <alignment horizontal="center"/>
    </xf>
    <xf numFmtId="2" fontId="29" fillId="0" borderId="0" xfId="0" applyNumberFormat="1" applyFont="1"/>
    <xf numFmtId="176" fontId="0" fillId="0" borderId="0" xfId="0" applyNumberFormat="1"/>
    <xf numFmtId="2" fontId="47" fillId="20" borderId="38" xfId="0" applyNumberFormat="1" applyFont="1" applyFill="1" applyBorder="1"/>
    <xf numFmtId="0" fontId="47" fillId="7" borderId="38" xfId="0" applyFont="1" applyFill="1" applyBorder="1"/>
    <xf numFmtId="0" fontId="47" fillId="21" borderId="39" xfId="0" applyFont="1" applyFill="1" applyBorder="1"/>
    <xf numFmtId="0" fontId="47" fillId="7" borderId="39" xfId="0" applyFont="1" applyFill="1" applyBorder="1"/>
    <xf numFmtId="180" fontId="0" fillId="0" borderId="2" xfId="0" applyNumberFormat="1" applyBorder="1" applyAlignment="1">
      <alignment horizontal="center"/>
    </xf>
    <xf numFmtId="180" fontId="0" fillId="0" borderId="0" xfId="1" applyNumberFormat="1" applyFont="1" applyBorder="1" applyAlignment="1">
      <alignment horizontal="center"/>
    </xf>
    <xf numFmtId="2" fontId="30" fillId="0" borderId="0" xfId="0" applyNumberFormat="1" applyFont="1"/>
    <xf numFmtId="0" fontId="40" fillId="0" borderId="0" xfId="12" applyFont="1"/>
    <xf numFmtId="0" fontId="40" fillId="0" borderId="0" xfId="0" applyFont="1" applyAlignment="1">
      <alignment wrapText="1"/>
    </xf>
    <xf numFmtId="0" fontId="29" fillId="0" borderId="18" xfId="0" applyFont="1" applyBorder="1" applyAlignment="1">
      <alignment horizontal="right" indent="1"/>
    </xf>
    <xf numFmtId="0" fontId="40" fillId="0" borderId="18" xfId="0" applyFont="1" applyBorder="1" applyAlignment="1">
      <alignment wrapText="1"/>
    </xf>
    <xf numFmtId="0" fontId="13" fillId="10" borderId="18" xfId="0" applyFont="1" applyFill="1" applyBorder="1" applyProtection="1">
      <protection locked="0"/>
    </xf>
    <xf numFmtId="0" fontId="13" fillId="4" borderId="18" xfId="0" applyFont="1" applyFill="1" applyBorder="1"/>
    <xf numFmtId="0" fontId="5" fillId="0" borderId="18" xfId="3" applyFont="1" applyBorder="1"/>
    <xf numFmtId="0" fontId="2" fillId="7" borderId="0" xfId="0" applyFont="1" applyFill="1" applyAlignment="1">
      <alignment wrapText="1"/>
    </xf>
    <xf numFmtId="0" fontId="109" fillId="7" borderId="0" xfId="3" applyFont="1" applyFill="1"/>
    <xf numFmtId="43" fontId="84" fillId="0" borderId="0" xfId="1" applyFont="1" applyBorder="1"/>
    <xf numFmtId="43" fontId="4" fillId="0" borderId="0" xfId="1" applyFont="1" applyFill="1" applyBorder="1"/>
    <xf numFmtId="189" fontId="2" fillId="9" borderId="73" xfId="1" applyNumberFormat="1" applyFont="1" applyFill="1" applyBorder="1" applyAlignment="1">
      <alignment horizontal="right" vertical="center"/>
    </xf>
    <xf numFmtId="189" fontId="2" fillId="9" borderId="74" xfId="1" applyNumberFormat="1" applyFont="1" applyFill="1" applyBorder="1" applyAlignment="1">
      <alignment horizontal="right" vertical="center"/>
    </xf>
    <xf numFmtId="3" fontId="94" fillId="0" borderId="76" xfId="0" applyNumberFormat="1" applyFont="1" applyBorder="1" applyAlignment="1">
      <alignment horizontal="left" vertical="top" wrapText="1"/>
    </xf>
    <xf numFmtId="3" fontId="94" fillId="0" borderId="75" xfId="0" applyNumberFormat="1" applyFont="1" applyBorder="1" applyAlignment="1">
      <alignment horizontal="left" vertical="top" wrapText="1"/>
    </xf>
    <xf numFmtId="0" fontId="2" fillId="0" borderId="80" xfId="0" applyFont="1" applyBorder="1" applyAlignment="1">
      <alignment horizontal="center"/>
    </xf>
    <xf numFmtId="1" fontId="0" fillId="0" borderId="80" xfId="0" applyNumberFormat="1" applyBorder="1"/>
    <xf numFmtId="0" fontId="0" fillId="5" borderId="80" xfId="0" applyFill="1" applyBorder="1"/>
    <xf numFmtId="0" fontId="2" fillId="0" borderId="79" xfId="0" applyFont="1" applyBorder="1"/>
    <xf numFmtId="2" fontId="83" fillId="0" borderId="80" xfId="0" applyNumberFormat="1" applyFont="1" applyBorder="1"/>
    <xf numFmtId="165" fontId="0" fillId="0" borderId="80" xfId="0" applyNumberFormat="1" applyBorder="1"/>
    <xf numFmtId="165" fontId="83" fillId="0" borderId="80" xfId="0" applyNumberFormat="1" applyFont="1" applyBorder="1"/>
    <xf numFmtId="166" fontId="0" fillId="0" borderId="80" xfId="0" applyNumberFormat="1" applyBorder="1"/>
    <xf numFmtId="166" fontId="83" fillId="0" borderId="80" xfId="0" applyNumberFormat="1" applyFont="1" applyBorder="1"/>
    <xf numFmtId="0" fontId="95" fillId="0" borderId="80" xfId="0" applyFont="1" applyBorder="1"/>
    <xf numFmtId="0" fontId="0" fillId="0" borderId="80" xfId="0" applyBorder="1" applyProtection="1">
      <protection locked="0"/>
    </xf>
    <xf numFmtId="0" fontId="2" fillId="0" borderId="80" xfId="0" applyFont="1" applyBorder="1" applyProtection="1">
      <protection locked="0"/>
    </xf>
    <xf numFmtId="0" fontId="2" fillId="4" borderId="80" xfId="0" applyFont="1" applyFill="1" applyBorder="1" applyProtection="1">
      <protection locked="0"/>
    </xf>
    <xf numFmtId="0" fontId="62" fillId="0" borderId="80" xfId="0" applyFont="1" applyBorder="1" applyAlignment="1" applyProtection="1">
      <alignment wrapText="1"/>
      <protection locked="0"/>
    </xf>
    <xf numFmtId="0" fontId="0" fillId="10" borderId="80" xfId="0" applyFill="1" applyBorder="1" applyProtection="1">
      <protection locked="0"/>
    </xf>
    <xf numFmtId="0" fontId="2" fillId="0" borderId="80" xfId="0" applyFont="1" applyBorder="1" applyAlignment="1" applyProtection="1">
      <alignment horizontal="center"/>
      <protection locked="0"/>
    </xf>
    <xf numFmtId="0" fontId="0" fillId="0" borderId="81" xfId="0" applyBorder="1" applyProtection="1">
      <protection locked="0"/>
    </xf>
    <xf numFmtId="0" fontId="62" fillId="0" borderId="81" xfId="0" applyFont="1" applyBorder="1" applyAlignment="1" applyProtection="1">
      <alignment horizontal="center" wrapText="1"/>
      <protection locked="0"/>
    </xf>
    <xf numFmtId="0" fontId="12" fillId="0" borderId="80" xfId="0" applyFont="1" applyBorder="1" applyAlignment="1" applyProtection="1">
      <alignment horizontal="center"/>
      <protection locked="0"/>
    </xf>
    <xf numFmtId="0" fontId="17" fillId="0" borderId="80" xfId="5" applyFont="1" applyBorder="1" applyAlignment="1" applyProtection="1">
      <alignment horizontal="left" wrapText="1"/>
      <protection locked="0"/>
    </xf>
    <xf numFmtId="0" fontId="17" fillId="0" borderId="80" xfId="5" applyFont="1" applyBorder="1" applyAlignment="1" applyProtection="1">
      <alignment horizontal="left" vertical="top" wrapText="1"/>
      <protection locked="0"/>
    </xf>
    <xf numFmtId="2" fontId="0" fillId="6" borderId="80" xfId="0" applyNumberFormat="1" applyFill="1" applyBorder="1" applyProtection="1">
      <protection locked="0"/>
    </xf>
    <xf numFmtId="43" fontId="0" fillId="0" borderId="80" xfId="0" applyNumberFormat="1" applyBorder="1" applyProtection="1">
      <protection locked="0"/>
    </xf>
    <xf numFmtId="0" fontId="17" fillId="0" borderId="81" xfId="5" applyFont="1" applyBorder="1" applyAlignment="1" applyProtection="1">
      <alignment horizontal="left" wrapText="1"/>
      <protection locked="0"/>
    </xf>
    <xf numFmtId="0" fontId="17" fillId="0" borderId="81" xfId="5" applyFont="1" applyBorder="1" applyAlignment="1" applyProtection="1">
      <alignment horizontal="left" vertical="top" wrapText="1"/>
      <protection locked="0"/>
    </xf>
    <xf numFmtId="2" fontId="0" fillId="6" borderId="81" xfId="0" applyNumberFormat="1" applyFill="1" applyBorder="1" applyProtection="1">
      <protection locked="0"/>
    </xf>
    <xf numFmtId="43" fontId="0" fillId="0" borderId="81" xfId="0" applyNumberFormat="1" applyBorder="1" applyProtection="1">
      <protection locked="0"/>
    </xf>
    <xf numFmtId="2" fontId="0" fillId="0" borderId="80" xfId="0" applyNumberFormat="1" applyBorder="1" applyProtection="1">
      <protection locked="0"/>
    </xf>
    <xf numFmtId="43" fontId="0" fillId="0" borderId="80" xfId="0" quotePrefix="1" applyNumberFormat="1" applyBorder="1" applyProtection="1">
      <protection locked="0"/>
    </xf>
    <xf numFmtId="2" fontId="0" fillId="0" borderId="80" xfId="0" quotePrefix="1" applyNumberFormat="1" applyBorder="1" applyProtection="1">
      <protection locked="0"/>
    </xf>
    <xf numFmtId="0" fontId="0" fillId="0" borderId="85" xfId="0" applyBorder="1" applyProtection="1">
      <protection locked="0"/>
    </xf>
    <xf numFmtId="0" fontId="0" fillId="0" borderId="79" xfId="0" applyBorder="1" applyProtection="1">
      <protection locked="0"/>
    </xf>
    <xf numFmtId="0" fontId="2" fillId="0" borderId="86" xfId="0" applyFont="1" applyBorder="1"/>
    <xf numFmtId="0" fontId="0" fillId="5" borderId="86" xfId="0" applyFill="1" applyBorder="1" applyProtection="1">
      <protection locked="0"/>
    </xf>
    <xf numFmtId="164" fontId="0" fillId="5" borderId="86" xfId="1" applyNumberFormat="1" applyFont="1" applyFill="1" applyBorder="1" applyProtection="1">
      <protection locked="0"/>
    </xf>
    <xf numFmtId="0" fontId="0" fillId="5" borderId="86" xfId="0" applyFill="1" applyBorder="1"/>
    <xf numFmtId="0" fontId="0" fillId="0" borderId="86" xfId="0" applyBorder="1" applyProtection="1">
      <protection locked="0"/>
    </xf>
    <xf numFmtId="43" fontId="0" fillId="7" borderId="86" xfId="1" applyFont="1" applyFill="1" applyBorder="1" applyProtection="1"/>
    <xf numFmtId="170" fontId="0" fillId="7" borderId="86" xfId="1" applyNumberFormat="1" applyFont="1" applyFill="1" applyBorder="1" applyProtection="1"/>
    <xf numFmtId="43" fontId="0" fillId="10" borderId="86" xfId="1" applyFont="1" applyFill="1" applyBorder="1" applyAlignment="1">
      <alignment horizontal="center"/>
    </xf>
    <xf numFmtId="43" fontId="0" fillId="5" borderId="86" xfId="1" applyFont="1" applyFill="1" applyBorder="1" applyProtection="1">
      <protection locked="0"/>
    </xf>
    <xf numFmtId="170" fontId="0" fillId="5" borderId="86" xfId="1" applyNumberFormat="1" applyFont="1" applyFill="1" applyBorder="1" applyProtection="1">
      <protection locked="0"/>
    </xf>
    <xf numFmtId="0" fontId="4" fillId="7" borderId="86" xfId="3" applyFill="1" applyBorder="1"/>
    <xf numFmtId="0" fontId="4" fillId="5" borderId="86" xfId="3" applyFill="1" applyBorder="1" applyProtection="1">
      <protection locked="0"/>
    </xf>
    <xf numFmtId="164" fontId="4" fillId="5" borderId="86" xfId="1" applyNumberFormat="1" applyFont="1" applyFill="1" applyBorder="1" applyProtection="1">
      <protection locked="0"/>
    </xf>
    <xf numFmtId="0" fontId="2" fillId="0" borderId="86" xfId="0" applyFont="1" applyBorder="1" applyAlignment="1">
      <alignment horizontal="center"/>
    </xf>
    <xf numFmtId="0" fontId="2" fillId="0" borderId="86" xfId="0" applyFont="1" applyBorder="1" applyAlignment="1">
      <alignment wrapText="1"/>
    </xf>
    <xf numFmtId="178" fontId="2" fillId="0" borderId="86" xfId="0" applyNumberFormat="1" applyFont="1" applyBorder="1" applyAlignment="1">
      <alignment horizontal="center" vertical="center"/>
    </xf>
    <xf numFmtId="0" fontId="2" fillId="6" borderId="86" xfId="0" applyFont="1" applyFill="1" applyBorder="1" applyAlignment="1">
      <alignment horizontal="center"/>
    </xf>
    <xf numFmtId="173" fontId="2" fillId="0" borderId="86" xfId="0" applyNumberFormat="1" applyFont="1" applyBorder="1" applyAlignment="1">
      <alignment horizontal="center" wrapText="1"/>
    </xf>
    <xf numFmtId="164" fontId="2" fillId="0" borderId="86" xfId="1" applyNumberFormat="1" applyFont="1" applyFill="1" applyBorder="1" applyAlignment="1">
      <alignment horizontal="center" vertical="center"/>
    </xf>
    <xf numFmtId="43" fontId="2" fillId="0" borderId="86" xfId="1" applyFont="1" applyBorder="1" applyAlignment="1">
      <alignment horizontal="center" vertical="center"/>
    </xf>
    <xf numFmtId="0" fontId="0" fillId="0" borderId="86" xfId="0" applyBorder="1"/>
    <xf numFmtId="0" fontId="2" fillId="0" borderId="86" xfId="0" applyFont="1" applyBorder="1" applyAlignment="1">
      <alignment horizontal="center" vertical="center"/>
    </xf>
    <xf numFmtId="164" fontId="2" fillId="9" borderId="86" xfId="1" applyNumberFormat="1" applyFont="1" applyFill="1" applyBorder="1" applyAlignment="1">
      <alignment horizontal="center"/>
    </xf>
    <xf numFmtId="43" fontId="2" fillId="9" borderId="86" xfId="1" applyFont="1" applyFill="1" applyBorder="1" applyAlignment="1">
      <alignment horizontal="center"/>
    </xf>
    <xf numFmtId="170" fontId="2" fillId="9" borderId="86" xfId="1" applyNumberFormat="1" applyFont="1" applyFill="1" applyBorder="1" applyAlignment="1">
      <alignment horizontal="center"/>
    </xf>
    <xf numFmtId="0" fontId="4" fillId="0" borderId="86" xfId="3" applyBorder="1"/>
    <xf numFmtId="0" fontId="4" fillId="5" borderId="86" xfId="3" applyFill="1" applyBorder="1" applyAlignment="1" applyProtection="1">
      <alignment horizontal="left"/>
      <protection locked="0"/>
    </xf>
    <xf numFmtId="164" fontId="1" fillId="0" borderId="86" xfId="1" applyNumberFormat="1" applyFont="1" applyBorder="1"/>
    <xf numFmtId="0" fontId="2" fillId="0" borderId="86" xfId="0" applyFont="1" applyBorder="1" applyAlignment="1">
      <alignment horizontal="center" wrapText="1"/>
    </xf>
    <xf numFmtId="164" fontId="2" fillId="9" borderId="86" xfId="0" applyNumberFormat="1" applyFont="1" applyFill="1" applyBorder="1"/>
    <xf numFmtId="0" fontId="0" fillId="0" borderId="86" xfId="0" applyBorder="1" applyAlignment="1">
      <alignment horizontal="center"/>
    </xf>
    <xf numFmtId="164" fontId="2" fillId="9" borderId="86" xfId="1" applyNumberFormat="1" applyFont="1" applyFill="1" applyBorder="1"/>
    <xf numFmtId="0" fontId="16" fillId="0" borderId="86" xfId="5" applyFont="1" applyBorder="1" applyAlignment="1">
      <alignment horizontal="center" vertical="center" wrapText="1"/>
    </xf>
    <xf numFmtId="0" fontId="16" fillId="0" borderId="86" xfId="5" applyFont="1" applyBorder="1" applyAlignment="1">
      <alignment horizontal="center" wrapText="1"/>
    </xf>
    <xf numFmtId="0" fontId="16" fillId="0" borderId="86" xfId="5" applyFont="1" applyBorder="1" applyAlignment="1">
      <alignment horizontal="left" vertical="top" wrapText="1"/>
    </xf>
    <xf numFmtId="0" fontId="17" fillId="0" borderId="86" xfId="5" applyFont="1" applyBorder="1" applyAlignment="1">
      <alignment horizontal="left" vertical="top" wrapText="1"/>
    </xf>
    <xf numFmtId="0" fontId="4" fillId="0" borderId="86" xfId="5" applyBorder="1"/>
    <xf numFmtId="0" fontId="45" fillId="9" borderId="86" xfId="5" applyFont="1" applyFill="1" applyBorder="1"/>
    <xf numFmtId="170" fontId="45" fillId="9" borderId="86" xfId="1" applyNumberFormat="1" applyFont="1" applyFill="1" applyBorder="1" applyAlignment="1"/>
    <xf numFmtId="170" fontId="2" fillId="9" borderId="86" xfId="0" applyNumberFormat="1" applyFont="1" applyFill="1" applyBorder="1"/>
    <xf numFmtId="0" fontId="6" fillId="0" borderId="86" xfId="5" applyFont="1" applyBorder="1"/>
    <xf numFmtId="0" fontId="6" fillId="0" borderId="86" xfId="5" applyFont="1" applyBorder="1" applyAlignment="1">
      <alignment horizontal="center"/>
    </xf>
    <xf numFmtId="0" fontId="2" fillId="9" borderId="86" xfId="0" applyFont="1" applyFill="1" applyBorder="1" applyAlignment="1">
      <alignment horizontal="center"/>
    </xf>
    <xf numFmtId="2" fontId="2" fillId="9" borderId="86" xfId="0" applyNumberFormat="1" applyFont="1" applyFill="1" applyBorder="1" applyAlignment="1">
      <alignment horizontal="center"/>
    </xf>
    <xf numFmtId="2" fontId="2" fillId="9" borderId="86" xfId="0" applyNumberFormat="1" applyFont="1" applyFill="1" applyBorder="1" applyAlignment="1">
      <alignment horizontal="center" vertical="center"/>
    </xf>
    <xf numFmtId="0" fontId="0" fillId="0" borderId="86" xfId="0" applyBorder="1" applyAlignment="1">
      <alignment vertical="center"/>
    </xf>
    <xf numFmtId="43" fontId="2" fillId="9" borderId="86" xfId="0" applyNumberFormat="1" applyFont="1" applyFill="1" applyBorder="1" applyAlignment="1">
      <alignment horizontal="center" vertical="center"/>
    </xf>
    <xf numFmtId="0" fontId="2" fillId="0" borderId="86" xfId="0" applyFont="1" applyBorder="1" applyAlignment="1">
      <alignment horizontal="center" vertical="center" wrapText="1"/>
    </xf>
    <xf numFmtId="0" fontId="0" fillId="0" borderId="86" xfId="0" applyBorder="1" applyAlignment="1">
      <alignment horizontal="center" vertical="center" wrapText="1"/>
    </xf>
    <xf numFmtId="178" fontId="2" fillId="9" borderId="86" xfId="0" applyNumberFormat="1" applyFont="1" applyFill="1" applyBorder="1"/>
    <xf numFmtId="178" fontId="0" fillId="0" borderId="86" xfId="0" applyNumberFormat="1" applyBorder="1" applyAlignment="1">
      <alignment horizontal="center"/>
    </xf>
    <xf numFmtId="0" fontId="0" fillId="0" borderId="86" xfId="0" applyBorder="1" applyAlignment="1" applyProtection="1">
      <alignment horizontal="center"/>
      <protection locked="0"/>
    </xf>
    <xf numFmtId="0" fontId="0" fillId="0" borderId="86" xfId="0" applyBorder="1" applyAlignment="1">
      <alignment horizontal="left"/>
    </xf>
    <xf numFmtId="0" fontId="0" fillId="0" borderId="86" xfId="0" applyBorder="1" applyAlignment="1">
      <alignment horizontal="center" wrapText="1"/>
    </xf>
    <xf numFmtId="0" fontId="0" fillId="13" borderId="86" xfId="0" applyFill="1" applyBorder="1" applyAlignment="1">
      <alignment horizontal="center" wrapText="1"/>
    </xf>
    <xf numFmtId="9" fontId="0" fillId="5" borderId="86" xfId="6" applyFont="1" applyFill="1" applyBorder="1" applyAlignment="1" applyProtection="1">
      <alignment horizontal="center"/>
      <protection locked="0"/>
    </xf>
    <xf numFmtId="9" fontId="0" fillId="0" borderId="86" xfId="6" applyFont="1" applyBorder="1" applyAlignment="1">
      <alignment horizontal="center"/>
    </xf>
    <xf numFmtId="164" fontId="0" fillId="13" borderId="86" xfId="1" applyNumberFormat="1" applyFont="1" applyFill="1" applyBorder="1" applyAlignment="1">
      <alignment horizontal="center"/>
    </xf>
    <xf numFmtId="9" fontId="30" fillId="5" borderId="86" xfId="6" applyFont="1" applyFill="1" applyBorder="1" applyAlignment="1" applyProtection="1">
      <alignment horizontal="center"/>
      <protection locked="0"/>
    </xf>
    <xf numFmtId="0" fontId="2" fillId="0" borderId="86" xfId="0" applyFont="1" applyBorder="1" applyAlignment="1">
      <alignment vertical="center" wrapText="1"/>
    </xf>
    <xf numFmtId="9" fontId="0" fillId="5" borderId="86" xfId="6" applyFont="1" applyFill="1" applyBorder="1" applyProtection="1">
      <protection locked="0"/>
    </xf>
    <xf numFmtId="185" fontId="0" fillId="5" borderId="86" xfId="1" applyNumberFormat="1" applyFont="1" applyFill="1" applyBorder="1" applyProtection="1">
      <protection locked="0"/>
    </xf>
    <xf numFmtId="171" fontId="2" fillId="0" borderId="86" xfId="0" quotePrefix="1" applyNumberFormat="1" applyFont="1" applyBorder="1" applyAlignment="1">
      <alignment horizontal="center" vertical="center"/>
    </xf>
    <xf numFmtId="0" fontId="0" fillId="6" borderId="86" xfId="0" applyFill="1" applyBorder="1"/>
    <xf numFmtId="9" fontId="0" fillId="6" borderId="86" xfId="6" applyFont="1" applyFill="1" applyBorder="1"/>
    <xf numFmtId="9" fontId="0" fillId="0" borderId="86" xfId="6" applyFont="1" applyBorder="1"/>
    <xf numFmtId="0" fontId="0" fillId="13" borderId="86" xfId="0" applyFill="1" applyBorder="1"/>
    <xf numFmtId="2" fontId="2" fillId="13" borderId="86" xfId="0" applyNumberFormat="1" applyFont="1" applyFill="1" applyBorder="1"/>
    <xf numFmtId="164" fontId="0" fillId="6" borderId="86" xfId="1" applyNumberFormat="1" applyFont="1" applyFill="1" applyBorder="1"/>
    <xf numFmtId="2" fontId="31" fillId="13" borderId="86" xfId="0" applyNumberFormat="1" applyFont="1" applyFill="1" applyBorder="1"/>
    <xf numFmtId="164" fontId="0" fillId="14" borderId="86" xfId="1" applyNumberFormat="1" applyFont="1" applyFill="1" applyBorder="1"/>
    <xf numFmtId="0" fontId="0" fillId="0" borderId="86" xfId="0" quotePrefix="1" applyBorder="1" applyAlignment="1">
      <alignment horizontal="center" wrapText="1"/>
    </xf>
    <xf numFmtId="0" fontId="0" fillId="7" borderId="86" xfId="0" applyFill="1" applyBorder="1" applyAlignment="1">
      <alignment horizontal="center" wrapText="1"/>
    </xf>
    <xf numFmtId="0" fontId="0" fillId="3" borderId="86" xfId="0" applyFill="1" applyBorder="1" applyProtection="1">
      <protection locked="0"/>
    </xf>
    <xf numFmtId="0" fontId="0" fillId="7" borderId="86" xfId="0" applyFill="1" applyBorder="1"/>
    <xf numFmtId="0" fontId="0" fillId="17" borderId="86" xfId="0" applyFill="1" applyBorder="1"/>
    <xf numFmtId="164" fontId="0" fillId="17" borderId="86" xfId="1" applyNumberFormat="1" applyFont="1" applyFill="1" applyBorder="1"/>
    <xf numFmtId="164" fontId="30" fillId="14" borderId="86" xfId="1" applyNumberFormat="1" applyFont="1" applyFill="1" applyBorder="1"/>
    <xf numFmtId="175" fontId="2" fillId="0" borderId="86" xfId="0" applyNumberFormat="1" applyFont="1" applyBorder="1" applyAlignment="1">
      <alignment horizontal="center" vertical="center"/>
    </xf>
    <xf numFmtId="0" fontId="0" fillId="0" borderId="86" xfId="0" applyBorder="1" applyAlignment="1">
      <alignment wrapText="1"/>
    </xf>
    <xf numFmtId="9" fontId="0" fillId="0" borderId="86" xfId="6" applyFont="1" applyFill="1" applyBorder="1"/>
    <xf numFmtId="0" fontId="2" fillId="6" borderId="86" xfId="0" applyFont="1" applyFill="1" applyBorder="1"/>
    <xf numFmtId="9" fontId="2" fillId="6" borderId="86" xfId="0" applyNumberFormat="1" applyFont="1" applyFill="1" applyBorder="1"/>
    <xf numFmtId="177" fontId="1" fillId="5" borderId="86" xfId="6" applyNumberFormat="1" applyFont="1" applyFill="1" applyBorder="1" applyProtection="1">
      <protection locked="0"/>
    </xf>
    <xf numFmtId="0" fontId="2" fillId="0" borderId="86" xfId="0" applyFont="1" applyBorder="1" applyAlignment="1">
      <alignment vertical="center"/>
    </xf>
    <xf numFmtId="1" fontId="1" fillId="5" borderId="86" xfId="6" applyNumberFormat="1" applyFont="1" applyFill="1" applyBorder="1" applyProtection="1">
      <protection locked="0"/>
    </xf>
    <xf numFmtId="184" fontId="0" fillId="9" borderId="86" xfId="1" applyNumberFormat="1" applyFont="1" applyFill="1" applyBorder="1" applyAlignment="1">
      <alignment horizontal="center"/>
    </xf>
    <xf numFmtId="4" fontId="2" fillId="9" borderId="86" xfId="0" applyNumberFormat="1" applyFont="1" applyFill="1" applyBorder="1" applyAlignment="1">
      <alignment horizontal="center"/>
    </xf>
    <xf numFmtId="0" fontId="2" fillId="0" borderId="86" xfId="0" applyFont="1" applyBorder="1" applyAlignment="1">
      <alignment horizontal="left" wrapText="1"/>
    </xf>
    <xf numFmtId="191" fontId="2" fillId="0" borderId="86" xfId="0" applyNumberFormat="1" applyFont="1" applyBorder="1" applyAlignment="1">
      <alignment horizontal="center" vertical="center"/>
    </xf>
    <xf numFmtId="2" fontId="2" fillId="0" borderId="86" xfId="0" applyNumberFormat="1" applyFont="1" applyBorder="1" applyAlignment="1">
      <alignment horizontal="center" wrapText="1"/>
    </xf>
    <xf numFmtId="0" fontId="0" fillId="0" borderId="86" xfId="0" applyBorder="1" applyAlignment="1">
      <alignment horizontal="left" wrapText="1"/>
    </xf>
    <xf numFmtId="193" fontId="2" fillId="9" borderId="86" xfId="0" applyNumberFormat="1" applyFont="1" applyFill="1" applyBorder="1"/>
    <xf numFmtId="180" fontId="2" fillId="9" borderId="86" xfId="0" applyNumberFormat="1" applyFont="1" applyFill="1" applyBorder="1" applyAlignment="1">
      <alignment horizontal="center" vertical="center"/>
    </xf>
    <xf numFmtId="9" fontId="1" fillId="5" borderId="86" xfId="6" applyFont="1" applyFill="1" applyBorder="1" applyProtection="1">
      <protection locked="0"/>
    </xf>
    <xf numFmtId="9" fontId="2" fillId="0" borderId="86" xfId="0" applyNumberFormat="1" applyFont="1" applyBorder="1"/>
    <xf numFmtId="164" fontId="2" fillId="0" borderId="86" xfId="1" applyNumberFormat="1" applyFont="1" applyFill="1" applyBorder="1"/>
    <xf numFmtId="0" fontId="0" fillId="9" borderId="86" xfId="0" applyFill="1" applyBorder="1"/>
    <xf numFmtId="0" fontId="0" fillId="0" borderId="87" xfId="0" applyBorder="1"/>
    <xf numFmtId="2" fontId="2" fillId="0" borderId="88" xfId="0" applyNumberFormat="1" applyFont="1" applyBorder="1" applyAlignment="1">
      <alignment horizontal="center" wrapText="1"/>
    </xf>
    <xf numFmtId="189" fontId="0" fillId="0" borderId="89" xfId="1" applyNumberFormat="1" applyFont="1" applyBorder="1" applyAlignment="1">
      <alignment horizontal="right" vertical="center"/>
    </xf>
    <xf numFmtId="0" fontId="15" fillId="0" borderId="86" xfId="0" applyFont="1" applyBorder="1"/>
    <xf numFmtId="2" fontId="0" fillId="0" borderId="86" xfId="0" applyNumberFormat="1" applyBorder="1"/>
    <xf numFmtId="166" fontId="47" fillId="20" borderId="86" xfId="0" applyNumberFormat="1" applyFont="1" applyFill="1" applyBorder="1"/>
    <xf numFmtId="165" fontId="47" fillId="7" borderId="86" xfId="0" applyNumberFormat="1" applyFont="1" applyFill="1" applyBorder="1"/>
    <xf numFmtId="165" fontId="30" fillId="21" borderId="86" xfId="0" applyNumberFormat="1" applyFont="1" applyFill="1" applyBorder="1"/>
    <xf numFmtId="166" fontId="47" fillId="7" borderId="86" xfId="0" applyNumberFormat="1" applyFont="1" applyFill="1" applyBorder="1"/>
    <xf numFmtId="165" fontId="30" fillId="7" borderId="86" xfId="0" applyNumberFormat="1" applyFont="1" applyFill="1" applyBorder="1"/>
    <xf numFmtId="2" fontId="30" fillId="7" borderId="86" xfId="0" applyNumberFormat="1" applyFont="1" applyFill="1" applyBorder="1"/>
    <xf numFmtId="167" fontId="30" fillId="7" borderId="86" xfId="0" applyNumberFormat="1" applyFont="1" applyFill="1" applyBorder="1"/>
    <xf numFmtId="2" fontId="30" fillId="20" borderId="86" xfId="0" applyNumberFormat="1" applyFont="1" applyFill="1" applyBorder="1"/>
    <xf numFmtId="165" fontId="30" fillId="0" borderId="86" xfId="0" applyNumberFormat="1" applyFont="1" applyBorder="1"/>
    <xf numFmtId="2" fontId="47" fillId="20" borderId="86" xfId="0" applyNumberFormat="1" applyFont="1" applyFill="1" applyBorder="1"/>
    <xf numFmtId="167" fontId="47" fillId="7" borderId="86" xfId="0" applyNumberFormat="1" applyFont="1" applyFill="1" applyBorder="1"/>
    <xf numFmtId="166" fontId="30" fillId="20" borderId="86" xfId="0" applyNumberFormat="1" applyFont="1" applyFill="1" applyBorder="1"/>
    <xf numFmtId="165" fontId="0" fillId="21" borderId="86" xfId="0" applyNumberFormat="1" applyFill="1" applyBorder="1"/>
    <xf numFmtId="166" fontId="30" fillId="7" borderId="86" xfId="0" applyNumberFormat="1" applyFont="1" applyFill="1" applyBorder="1"/>
    <xf numFmtId="165" fontId="0" fillId="7" borderId="86" xfId="0" applyNumberFormat="1" applyFill="1" applyBorder="1"/>
    <xf numFmtId="0" fontId="83" fillId="0" borderId="86" xfId="0" applyFont="1" applyBorder="1"/>
    <xf numFmtId="4" fontId="0" fillId="0" borderId="86" xfId="0" applyNumberFormat="1" applyBorder="1"/>
    <xf numFmtId="190" fontId="83" fillId="0" borderId="86" xfId="0" applyNumberFormat="1" applyFont="1" applyBorder="1"/>
    <xf numFmtId="190" fontId="30" fillId="0" borderId="86" xfId="0" applyNumberFormat="1" applyFont="1" applyBorder="1"/>
    <xf numFmtId="190" fontId="0" fillId="0" borderId="86" xfId="0" applyNumberFormat="1" applyBorder="1"/>
    <xf numFmtId="0" fontId="30" fillId="0" borderId="86" xfId="0" applyFont="1" applyBorder="1"/>
    <xf numFmtId="2" fontId="30" fillId="6" borderId="86" xfId="0" applyNumberFormat="1" applyFont="1" applyFill="1" applyBorder="1"/>
    <xf numFmtId="2" fontId="30" fillId="0" borderId="86" xfId="0" applyNumberFormat="1" applyFont="1" applyBorder="1"/>
    <xf numFmtId="166" fontId="30" fillId="0" borderId="86" xfId="0" applyNumberFormat="1" applyFont="1" applyBorder="1"/>
    <xf numFmtId="165" fontId="30" fillId="6" borderId="86" xfId="0" applyNumberFormat="1" applyFont="1" applyFill="1" applyBorder="1"/>
    <xf numFmtId="166" fontId="30" fillId="6" borderId="86" xfId="0" applyNumberFormat="1" applyFont="1" applyFill="1" applyBorder="1"/>
    <xf numFmtId="0" fontId="6" fillId="0" borderId="86" xfId="3" applyFont="1" applyBorder="1" applyAlignment="1">
      <alignment wrapText="1"/>
    </xf>
    <xf numFmtId="43" fontId="84" fillId="0" borderId="86" xfId="1" applyFont="1" applyFill="1" applyBorder="1"/>
    <xf numFmtId="43" fontId="4" fillId="0" borderId="86" xfId="1" applyFont="1" applyFill="1" applyBorder="1"/>
    <xf numFmtId="43" fontId="84" fillId="0" borderId="86" xfId="1" applyFont="1" applyBorder="1"/>
    <xf numFmtId="0" fontId="6" fillId="0" borderId="86" xfId="5" applyFont="1" applyBorder="1" applyAlignment="1">
      <alignment wrapText="1"/>
    </xf>
    <xf numFmtId="0" fontId="18" fillId="0" borderId="86" xfId="5" applyFont="1" applyBorder="1" applyAlignment="1">
      <alignment vertical="top" wrapText="1"/>
    </xf>
    <xf numFmtId="0" fontId="72" fillId="0" borderId="86" xfId="5" applyFont="1" applyBorder="1" applyAlignment="1">
      <alignment vertical="top" wrapText="1"/>
    </xf>
    <xf numFmtId="0" fontId="22" fillId="0" borderId="86" xfId="5" applyFont="1" applyBorder="1"/>
    <xf numFmtId="0" fontId="14" fillId="0" borderId="86" xfId="5" applyFont="1" applyBorder="1"/>
    <xf numFmtId="0" fontId="4" fillId="0" borderId="86" xfId="5" applyBorder="1" applyAlignment="1">
      <alignment horizontal="center"/>
    </xf>
    <xf numFmtId="1" fontId="4" fillId="0" borderId="86" xfId="5" applyNumberFormat="1" applyBorder="1"/>
    <xf numFmtId="0" fontId="4" fillId="0" borderId="86" xfId="5" applyBorder="1" applyAlignment="1">
      <alignment horizontal="right"/>
    </xf>
    <xf numFmtId="166" fontId="0" fillId="7" borderId="86" xfId="0" applyNumberFormat="1" applyFill="1" applyBorder="1"/>
    <xf numFmtId="43" fontId="1" fillId="0" borderId="86" xfId="5" applyNumberFormat="1" applyFont="1" applyBorder="1"/>
    <xf numFmtId="1" fontId="1" fillId="0" borderId="86" xfId="5" applyNumberFormat="1" applyFont="1" applyBorder="1"/>
    <xf numFmtId="0" fontId="2" fillId="0" borderId="90" xfId="0" applyFont="1" applyBorder="1" applyAlignment="1">
      <alignment wrapText="1"/>
    </xf>
    <xf numFmtId="0" fontId="0" fillId="0" borderId="90" xfId="0" applyBorder="1"/>
    <xf numFmtId="0" fontId="2" fillId="7" borderId="90" xfId="0" applyFont="1" applyFill="1" applyBorder="1"/>
    <xf numFmtId="0" fontId="2" fillId="7" borderId="86" xfId="0" applyFont="1" applyFill="1" applyBorder="1"/>
    <xf numFmtId="0" fontId="0" fillId="7" borderId="90" xfId="0" applyFill="1" applyBorder="1" applyAlignment="1">
      <alignment wrapText="1"/>
    </xf>
    <xf numFmtId="43" fontId="4" fillId="7" borderId="86" xfId="1" applyFont="1" applyFill="1" applyBorder="1"/>
    <xf numFmtId="0" fontId="0" fillId="7" borderId="90" xfId="0" applyFill="1" applyBorder="1"/>
    <xf numFmtId="2" fontId="0" fillId="7" borderId="86" xfId="0" applyNumberFormat="1" applyFill="1" applyBorder="1"/>
    <xf numFmtId="0" fontId="0" fillId="5" borderId="86" xfId="0" applyFill="1" applyBorder="1" applyAlignment="1" applyProtection="1">
      <alignment horizontal="right"/>
      <protection locked="0"/>
    </xf>
    <xf numFmtId="1" fontId="0" fillId="0" borderId="6" xfId="0" applyNumberFormat="1" applyBorder="1" applyAlignment="1">
      <alignment horizontal="center" vertical="center"/>
    </xf>
    <xf numFmtId="1" fontId="0" fillId="0" borderId="5" xfId="0" applyNumberFormat="1" applyBorder="1" applyAlignment="1">
      <alignment horizontal="center" vertical="center"/>
    </xf>
    <xf numFmtId="43" fontId="0" fillId="0" borderId="6" xfId="0" applyNumberFormat="1" applyBorder="1" applyAlignment="1">
      <alignment horizontal="center" vertical="center"/>
    </xf>
    <xf numFmtId="2" fontId="2" fillId="0" borderId="86" xfId="0" applyNumberFormat="1" applyFont="1" applyBorder="1" applyAlignment="1">
      <alignment horizontal="center" vertical="center"/>
    </xf>
    <xf numFmtId="178" fontId="0" fillId="0" borderId="0" xfId="0" applyNumberFormat="1"/>
    <xf numFmtId="178" fontId="0" fillId="0" borderId="9" xfId="0" applyNumberFormat="1" applyBorder="1"/>
    <xf numFmtId="179" fontId="0" fillId="0" borderId="2" xfId="1" applyNumberFormat="1" applyFont="1" applyBorder="1" applyAlignment="1"/>
    <xf numFmtId="179" fontId="2" fillId="9" borderId="1" xfId="1" applyNumberFormat="1" applyFont="1" applyFill="1" applyBorder="1" applyAlignment="1"/>
    <xf numFmtId="0" fontId="2" fillId="10" borderId="9" xfId="0" applyFont="1" applyFill="1" applyBorder="1" applyAlignment="1">
      <alignment horizontal="right"/>
    </xf>
    <xf numFmtId="185" fontId="0" fillId="0" borderId="9" xfId="1" applyNumberFormat="1" applyFont="1" applyBorder="1" applyAlignment="1">
      <alignment horizontal="right"/>
    </xf>
    <xf numFmtId="185" fontId="0" fillId="0" borderId="2" xfId="1" applyNumberFormat="1" applyFont="1" applyBorder="1" applyAlignment="1">
      <alignment horizontal="right"/>
    </xf>
    <xf numFmtId="185" fontId="2" fillId="9" borderId="1" xfId="1" applyNumberFormat="1" applyFont="1" applyFill="1" applyBorder="1" applyAlignment="1">
      <alignment horizontal="right"/>
    </xf>
    <xf numFmtId="43" fontId="0" fillId="0" borderId="9" xfId="1" applyFont="1" applyBorder="1" applyAlignment="1">
      <alignment horizontal="right"/>
    </xf>
    <xf numFmtId="43" fontId="2" fillId="9" borderId="1" xfId="1" applyFont="1" applyFill="1" applyBorder="1" applyAlignment="1">
      <alignment horizontal="right"/>
    </xf>
    <xf numFmtId="0" fontId="0" fillId="0" borderId="18" xfId="0" applyBorder="1" applyAlignment="1">
      <alignment vertical="center"/>
    </xf>
    <xf numFmtId="0" fontId="0" fillId="0" borderId="2" xfId="0" applyBorder="1" applyAlignment="1">
      <alignment horizontal="left" vertical="center"/>
    </xf>
    <xf numFmtId="0" fontId="0" fillId="0" borderId="19" xfId="0" applyBorder="1" applyAlignment="1">
      <alignment vertical="center"/>
    </xf>
    <xf numFmtId="0" fontId="0" fillId="6" borderId="0" xfId="0" applyFill="1" applyAlignment="1">
      <alignment vertical="center"/>
    </xf>
    <xf numFmtId="0" fontId="0" fillId="0" borderId="19" xfId="0" applyBorder="1" applyAlignment="1">
      <alignment horizontal="center" wrapText="1"/>
    </xf>
    <xf numFmtId="0" fontId="0" fillId="0" borderId="18" xfId="0" applyBorder="1" applyAlignment="1">
      <alignment horizontal="center" vertical="center" wrapText="1"/>
    </xf>
    <xf numFmtId="0" fontId="0" fillId="0" borderId="0" xfId="0" applyAlignment="1">
      <alignment horizontal="center" vertical="center" wrapText="1"/>
    </xf>
    <xf numFmtId="0" fontId="0" fillId="0" borderId="19" xfId="0" applyBorder="1" applyAlignment="1">
      <alignment horizontal="center" vertical="center" wrapText="1"/>
    </xf>
    <xf numFmtId="0" fontId="0" fillId="6" borderId="0" xfId="0" applyFill="1" applyAlignment="1">
      <alignment horizontal="center" vertical="center" wrapText="1"/>
    </xf>
    <xf numFmtId="0" fontId="41" fillId="6" borderId="0" xfId="0" applyFont="1" applyFill="1" applyProtection="1">
      <protection locked="0"/>
    </xf>
    <xf numFmtId="3" fontId="0" fillId="5" borderId="86" xfId="1" applyNumberFormat="1" applyFont="1" applyFill="1" applyBorder="1" applyProtection="1">
      <protection locked="0"/>
    </xf>
    <xf numFmtId="0" fontId="63" fillId="0" borderId="0" xfId="0" applyFont="1"/>
    <xf numFmtId="4" fontId="2" fillId="13" borderId="86" xfId="0" applyNumberFormat="1" applyFont="1" applyFill="1" applyBorder="1"/>
    <xf numFmtId="4" fontId="2" fillId="11" borderId="86" xfId="0" applyNumberFormat="1" applyFont="1" applyFill="1" applyBorder="1"/>
    <xf numFmtId="4" fontId="2" fillId="11" borderId="3" xfId="0" applyNumberFormat="1" applyFont="1" applyFill="1" applyBorder="1"/>
    <xf numFmtId="4" fontId="0" fillId="13" borderId="86" xfId="0" applyNumberFormat="1" applyFill="1" applyBorder="1"/>
    <xf numFmtId="4" fontId="0" fillId="11" borderId="86" xfId="0" applyNumberFormat="1" applyFill="1" applyBorder="1"/>
    <xf numFmtId="4" fontId="0" fillId="11" borderId="1" xfId="0" applyNumberFormat="1" applyFill="1" applyBorder="1"/>
    <xf numFmtId="0" fontId="0" fillId="9" borderId="86" xfId="0" applyFill="1" applyBorder="1" applyProtection="1">
      <protection locked="0"/>
    </xf>
    <xf numFmtId="0" fontId="0" fillId="0" borderId="0" xfId="0" applyAlignment="1">
      <alignment vertical="top"/>
    </xf>
    <xf numFmtId="0" fontId="80" fillId="19" borderId="22" xfId="0" applyFont="1" applyFill="1" applyBorder="1" applyAlignment="1">
      <alignment horizontal="center" vertical="center"/>
    </xf>
    <xf numFmtId="0" fontId="80" fillId="19" borderId="23" xfId="0" applyFont="1" applyFill="1" applyBorder="1" applyAlignment="1">
      <alignment horizontal="center" vertical="center"/>
    </xf>
    <xf numFmtId="0" fontId="80" fillId="19" borderId="24"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left" wrapText="1"/>
    </xf>
    <xf numFmtId="0" fontId="30" fillId="0" borderId="0" xfId="0" applyFont="1" applyAlignment="1">
      <alignment horizontal="right"/>
    </xf>
    <xf numFmtId="0" fontId="40" fillId="0" borderId="10" xfId="0" applyFont="1" applyBorder="1" applyAlignment="1">
      <alignment horizontal="right"/>
    </xf>
    <xf numFmtId="0" fontId="2" fillId="0" borderId="18" xfId="0" applyFont="1" applyBorder="1" applyAlignment="1">
      <alignment horizontal="left" wrapText="1"/>
    </xf>
    <xf numFmtId="0" fontId="2" fillId="0" borderId="0" xfId="0" applyFont="1" applyAlignment="1">
      <alignment horizontal="left" wrapText="1"/>
    </xf>
    <xf numFmtId="0" fontId="13" fillId="0" borderId="0" xfId="0" applyFont="1" applyAlignment="1">
      <alignment horizontal="left" wrapText="1"/>
    </xf>
    <xf numFmtId="0" fontId="81" fillId="19" borderId="25" xfId="0" applyFont="1" applyFill="1" applyBorder="1" applyAlignment="1">
      <alignment horizontal="center" vertical="center"/>
    </xf>
    <xf numFmtId="0" fontId="81" fillId="19" borderId="26" xfId="0" applyFont="1" applyFill="1" applyBorder="1" applyAlignment="1">
      <alignment horizontal="center" vertical="center"/>
    </xf>
    <xf numFmtId="0" fontId="81" fillId="19" borderId="27" xfId="0" applyFont="1" applyFill="1" applyBorder="1" applyAlignment="1">
      <alignment horizontal="center" vertical="center"/>
    </xf>
    <xf numFmtId="0" fontId="0" fillId="0" borderId="13" xfId="0" applyBorder="1" applyAlignment="1">
      <alignment horizontal="left" vertical="top" wrapText="1"/>
    </xf>
    <xf numFmtId="0" fontId="0" fillId="0" borderId="13" xfId="0" applyBorder="1" applyAlignment="1">
      <alignment horizontal="left" wrapText="1"/>
    </xf>
    <xf numFmtId="0" fontId="80" fillId="19" borderId="25" xfId="0" applyFont="1" applyFill="1" applyBorder="1" applyAlignment="1">
      <alignment horizontal="center" vertical="center"/>
    </xf>
    <xf numFmtId="0" fontId="80" fillId="19" borderId="26" xfId="0" applyFont="1" applyFill="1" applyBorder="1" applyAlignment="1">
      <alignment horizontal="center" vertical="center"/>
    </xf>
    <xf numFmtId="0" fontId="80" fillId="19" borderId="27" xfId="0" applyFont="1" applyFill="1" applyBorder="1" applyAlignment="1">
      <alignment horizontal="center" vertical="center"/>
    </xf>
    <xf numFmtId="0" fontId="33" fillId="9" borderId="1" xfId="0" applyFont="1" applyFill="1" applyBorder="1" applyAlignment="1">
      <alignment horizontal="center"/>
    </xf>
    <xf numFmtId="0" fontId="33" fillId="9" borderId="2" xfId="0" applyFont="1" applyFill="1" applyBorder="1" applyAlignment="1">
      <alignment horizontal="center"/>
    </xf>
    <xf numFmtId="0" fontId="33" fillId="9" borderId="3" xfId="0" applyFont="1" applyFill="1" applyBorder="1" applyAlignment="1">
      <alignment horizontal="center"/>
    </xf>
    <xf numFmtId="0" fontId="38" fillId="9" borderId="1" xfId="0" applyFont="1" applyFill="1" applyBorder="1" applyAlignment="1">
      <alignment horizontal="center"/>
    </xf>
    <xf numFmtId="0" fontId="38" fillId="9" borderId="2" xfId="0" applyFont="1" applyFill="1" applyBorder="1" applyAlignment="1">
      <alignment horizontal="center"/>
    </xf>
    <xf numFmtId="0" fontId="38" fillId="9" borderId="3" xfId="0" applyFont="1" applyFill="1" applyBorder="1" applyAlignment="1">
      <alignment horizontal="center"/>
    </xf>
    <xf numFmtId="0" fontId="2" fillId="0" borderId="1" xfId="0" applyFont="1" applyBorder="1" applyAlignment="1">
      <alignment horizontal="left" vertical="center" wrapText="1"/>
    </xf>
    <xf numFmtId="0" fontId="2" fillId="0" borderId="2" xfId="0" applyFont="1" applyBorder="1" applyAlignment="1">
      <alignment horizontal="left" vertical="center" wrapText="1"/>
    </xf>
    <xf numFmtId="0" fontId="2" fillId="0" borderId="3" xfId="0" applyFont="1" applyBorder="1" applyAlignment="1">
      <alignment horizontal="left" vertical="center" wrapText="1"/>
    </xf>
    <xf numFmtId="0" fontId="0" fillId="0" borderId="2" xfId="0" applyBorder="1" applyAlignment="1">
      <alignment horizontal="left" wrapText="1"/>
    </xf>
    <xf numFmtId="0" fontId="0" fillId="0" borderId="2" xfId="0" applyBorder="1" applyAlignment="1">
      <alignment horizontal="left" vertical="top" wrapText="1"/>
    </xf>
    <xf numFmtId="0" fontId="85" fillId="0" borderId="0" xfId="3" applyFont="1" applyAlignment="1">
      <alignment horizontal="left" wrapText="1"/>
    </xf>
    <xf numFmtId="0" fontId="85" fillId="0" borderId="19" xfId="3" applyFont="1" applyBorder="1" applyAlignment="1">
      <alignment horizontal="left" wrapText="1"/>
    </xf>
    <xf numFmtId="0" fontId="89" fillId="18" borderId="53" xfId="0" applyFont="1" applyFill="1" applyBorder="1" applyAlignment="1">
      <alignment horizontal="center"/>
    </xf>
    <xf numFmtId="0" fontId="87" fillId="18" borderId="54" xfId="0" applyFont="1" applyFill="1" applyBorder="1" applyAlignment="1">
      <alignment horizontal="left" vertical="center" indent="1"/>
    </xf>
    <xf numFmtId="0" fontId="87" fillId="18" borderId="55" xfId="0" applyFont="1" applyFill="1" applyBorder="1" applyAlignment="1">
      <alignment horizontal="left" vertical="center" indent="1"/>
    </xf>
    <xf numFmtId="0" fontId="5" fillId="0" borderId="0" xfId="3" applyFont="1" applyAlignment="1">
      <alignment horizontal="left" vertical="top" wrapText="1"/>
    </xf>
    <xf numFmtId="0" fontId="5" fillId="0" borderId="59" xfId="3" applyFont="1" applyBorder="1" applyAlignment="1">
      <alignment horizontal="left" vertical="top" wrapText="1"/>
    </xf>
    <xf numFmtId="0" fontId="0" fillId="0" borderId="10" xfId="0" applyBorder="1" applyAlignment="1">
      <alignment horizontal="left" wrapText="1"/>
    </xf>
    <xf numFmtId="0" fontId="0" fillId="0" borderId="3" xfId="0" applyBorder="1" applyAlignment="1">
      <alignment horizontal="left" vertical="top" wrapText="1"/>
    </xf>
    <xf numFmtId="0" fontId="0" fillId="0" borderId="8" xfId="0" applyBorder="1" applyAlignment="1">
      <alignment horizontal="left" vertical="top" wrapText="1"/>
    </xf>
    <xf numFmtId="0" fontId="0" fillId="0" borderId="0" xfId="0" applyAlignment="1">
      <alignment horizontal="left" vertical="top" wrapText="1"/>
    </xf>
    <xf numFmtId="0" fontId="0" fillId="0" borderId="10" xfId="0" applyBorder="1" applyAlignment="1">
      <alignment horizontal="left" vertical="top" wrapText="1"/>
    </xf>
    <xf numFmtId="0" fontId="0" fillId="0" borderId="8" xfId="0" applyBorder="1" applyAlignment="1">
      <alignment horizontal="left" wrapText="1"/>
    </xf>
    <xf numFmtId="0" fontId="0" fillId="0" borderId="3" xfId="0" applyBorder="1" applyAlignment="1">
      <alignment horizontal="left" wrapText="1"/>
    </xf>
    <xf numFmtId="0" fontId="0" fillId="5" borderId="1" xfId="0" applyFill="1" applyBorder="1" applyAlignment="1" applyProtection="1">
      <alignment horizontal="left"/>
      <protection locked="0"/>
    </xf>
    <xf numFmtId="0" fontId="0" fillId="5" borderId="2" xfId="0" applyFill="1" applyBorder="1" applyAlignment="1" applyProtection="1">
      <alignment horizontal="left"/>
      <protection locked="0"/>
    </xf>
    <xf numFmtId="0" fontId="0" fillId="5" borderId="3" xfId="0" applyFill="1" applyBorder="1" applyAlignment="1" applyProtection="1">
      <alignment horizontal="left"/>
      <protection locked="0"/>
    </xf>
    <xf numFmtId="0" fontId="80" fillId="19" borderId="0" xfId="0" applyFont="1" applyFill="1" applyAlignment="1">
      <alignment horizontal="center" vertical="center"/>
    </xf>
    <xf numFmtId="0" fontId="2" fillId="9" borderId="1" xfId="0" applyFont="1" applyFill="1" applyBorder="1" applyAlignment="1">
      <alignment horizontal="center"/>
    </xf>
    <xf numFmtId="0" fontId="2" fillId="9" borderId="2" xfId="0" applyFont="1" applyFill="1" applyBorder="1" applyAlignment="1">
      <alignment horizontal="center"/>
    </xf>
    <xf numFmtId="0" fontId="2" fillId="9" borderId="3" xfId="0" applyFont="1" applyFill="1" applyBorder="1" applyAlignment="1">
      <alignment horizontal="center"/>
    </xf>
    <xf numFmtId="0" fontId="0" fillId="9" borderId="1" xfId="0" applyFill="1" applyBorder="1" applyAlignment="1">
      <alignment horizontal="center"/>
    </xf>
    <xf numFmtId="0" fontId="0" fillId="9" borderId="2" xfId="0" applyFill="1" applyBorder="1" applyAlignment="1">
      <alignment horizontal="center"/>
    </xf>
    <xf numFmtId="0" fontId="0" fillId="9" borderId="3" xfId="0" applyFill="1" applyBorder="1" applyAlignment="1">
      <alignment horizontal="center"/>
    </xf>
    <xf numFmtId="0" fontId="2" fillId="9" borderId="1" xfId="0" applyFont="1" applyFill="1" applyBorder="1" applyAlignment="1">
      <alignment horizontal="center" vertical="center"/>
    </xf>
    <xf numFmtId="0" fontId="2" fillId="9" borderId="2" xfId="0" applyFont="1" applyFill="1" applyBorder="1" applyAlignment="1">
      <alignment horizontal="center" vertical="center"/>
    </xf>
    <xf numFmtId="0" fontId="2" fillId="9" borderId="3" xfId="0" applyFont="1" applyFill="1" applyBorder="1" applyAlignment="1">
      <alignment horizontal="center" vertical="center"/>
    </xf>
    <xf numFmtId="0" fontId="80" fillId="19" borderId="56" xfId="0" applyFont="1" applyFill="1" applyBorder="1" applyAlignment="1">
      <alignment horizontal="center" vertical="center"/>
    </xf>
    <xf numFmtId="0" fontId="30" fillId="0" borderId="0" xfId="4" applyFont="1" applyAlignment="1">
      <alignment horizontal="left" wrapText="1"/>
    </xf>
    <xf numFmtId="0" fontId="31" fillId="9" borderId="1" xfId="0" applyFont="1" applyFill="1" applyBorder="1" applyAlignment="1">
      <alignment horizontal="center"/>
    </xf>
    <xf numFmtId="0" fontId="31" fillId="9" borderId="3" xfId="0" applyFont="1" applyFill="1" applyBorder="1" applyAlignment="1">
      <alignment horizontal="center"/>
    </xf>
    <xf numFmtId="0" fontId="80" fillId="19" borderId="19" xfId="0" applyFont="1" applyFill="1" applyBorder="1" applyAlignment="1">
      <alignment horizontal="center" vertical="center"/>
    </xf>
    <xf numFmtId="0" fontId="2" fillId="6" borderId="0" xfId="0" applyFont="1" applyFill="1" applyAlignment="1">
      <alignment horizontal="center"/>
    </xf>
    <xf numFmtId="0" fontId="80" fillId="19" borderId="0" xfId="0" applyFont="1" applyFill="1" applyAlignment="1">
      <alignment horizontal="right" vertical="center"/>
    </xf>
    <xf numFmtId="0" fontId="80" fillId="19" borderId="19" xfId="0" applyFont="1" applyFill="1" applyBorder="1" applyAlignment="1">
      <alignment horizontal="right" vertical="center"/>
    </xf>
    <xf numFmtId="0" fontId="34" fillId="9" borderId="1" xfId="0" applyFont="1" applyFill="1" applyBorder="1" applyAlignment="1">
      <alignment horizontal="center"/>
    </xf>
    <xf numFmtId="0" fontId="34" fillId="9" borderId="2" xfId="0" applyFont="1" applyFill="1" applyBorder="1" applyAlignment="1">
      <alignment horizontal="center"/>
    </xf>
    <xf numFmtId="0" fontId="34" fillId="9" borderId="3" xfId="0" applyFont="1" applyFill="1" applyBorder="1" applyAlignment="1">
      <alignment horizontal="center"/>
    </xf>
    <xf numFmtId="0" fontId="0" fillId="0" borderId="9" xfId="0" applyBorder="1" applyAlignment="1">
      <alignment horizontal="center" vertical="center"/>
    </xf>
    <xf numFmtId="0" fontId="0" fillId="0" borderId="0" xfId="0" applyAlignment="1">
      <alignment horizontal="center" vertical="center"/>
    </xf>
    <xf numFmtId="0" fontId="2" fillId="0" borderId="1" xfId="0" applyFont="1" applyBorder="1" applyAlignment="1">
      <alignment horizontal="center"/>
    </xf>
    <xf numFmtId="0" fontId="2" fillId="0" borderId="2" xfId="0" applyFont="1" applyBorder="1" applyAlignment="1">
      <alignment horizontal="center"/>
    </xf>
    <xf numFmtId="0" fontId="80" fillId="19" borderId="18" xfId="0" applyFont="1" applyFill="1" applyBorder="1" applyAlignment="1">
      <alignment horizontal="center" vertical="center"/>
    </xf>
    <xf numFmtId="0" fontId="0" fillId="9" borderId="86" xfId="0" applyFill="1" applyBorder="1" applyAlignment="1">
      <alignment horizontal="left"/>
    </xf>
    <xf numFmtId="0" fontId="2" fillId="9" borderId="86" xfId="0" applyFont="1" applyFill="1" applyBorder="1" applyAlignment="1">
      <alignment horizontal="left"/>
    </xf>
    <xf numFmtId="0" fontId="0" fillId="9" borderId="4" xfId="0" applyFill="1" applyBorder="1" applyAlignment="1">
      <alignment horizontal="left"/>
    </xf>
    <xf numFmtId="0" fontId="13" fillId="0" borderId="86" xfId="0" applyFont="1" applyBorder="1" applyAlignment="1">
      <alignment horizontal="left" vertical="top"/>
    </xf>
    <xf numFmtId="0" fontId="13" fillId="0" borderId="6" xfId="0" applyFont="1" applyBorder="1" applyAlignment="1">
      <alignment horizontal="left" vertical="top"/>
    </xf>
    <xf numFmtId="0" fontId="13" fillId="0" borderId="86" xfId="0" applyFont="1" applyBorder="1" applyAlignment="1">
      <alignment horizontal="left"/>
    </xf>
    <xf numFmtId="0" fontId="13" fillId="0" borderId="6" xfId="0" applyFont="1" applyBorder="1" applyAlignment="1">
      <alignment horizontal="left"/>
    </xf>
    <xf numFmtId="0" fontId="0" fillId="0" borderId="86" xfId="0" applyBorder="1" applyAlignment="1">
      <alignment horizontal="left"/>
    </xf>
    <xf numFmtId="0" fontId="0" fillId="0" borderId="5" xfId="0" applyBorder="1" applyAlignment="1">
      <alignment horizontal="left"/>
    </xf>
    <xf numFmtId="0" fontId="81" fillId="19" borderId="0" xfId="0" applyFont="1" applyFill="1" applyAlignment="1">
      <alignment horizontal="center" vertical="center"/>
    </xf>
    <xf numFmtId="0" fontId="81" fillId="19" borderId="19" xfId="0" applyFont="1" applyFill="1" applyBorder="1" applyAlignment="1">
      <alignment horizontal="center" vertical="center"/>
    </xf>
    <xf numFmtId="0" fontId="13" fillId="0" borderId="9" xfId="0" applyFont="1" applyBorder="1" applyAlignment="1">
      <alignment horizontal="left" vertical="center" wrapText="1"/>
    </xf>
    <xf numFmtId="0" fontId="13" fillId="0" borderId="0" xfId="0" applyFont="1" applyAlignment="1">
      <alignment horizontal="left" vertical="center" wrapText="1"/>
    </xf>
    <xf numFmtId="0" fontId="47" fillId="0" borderId="18" xfId="0" applyFont="1" applyBorder="1" applyAlignment="1">
      <alignment horizontal="left" vertical="top" wrapText="1"/>
    </xf>
    <xf numFmtId="0" fontId="47" fillId="0" borderId="0" xfId="0" applyFont="1" applyAlignment="1">
      <alignment horizontal="left" vertical="top" wrapText="1"/>
    </xf>
    <xf numFmtId="0" fontId="13" fillId="0" borderId="0" xfId="0" applyFont="1" applyAlignment="1">
      <alignment horizontal="left" vertical="top" wrapText="1"/>
    </xf>
    <xf numFmtId="0" fontId="13" fillId="0" borderId="18" xfId="0" applyFont="1" applyBorder="1" applyAlignment="1">
      <alignment horizontal="left" vertical="top" wrapText="1"/>
    </xf>
    <xf numFmtId="0" fontId="13" fillId="0" borderId="18" xfId="0" applyFont="1" applyBorder="1" applyAlignment="1">
      <alignment horizontal="left" wrapText="1"/>
    </xf>
    <xf numFmtId="0" fontId="13" fillId="0" borderId="19" xfId="0" applyFont="1" applyBorder="1" applyAlignment="1">
      <alignment horizontal="left" wrapText="1"/>
    </xf>
    <xf numFmtId="0" fontId="2" fillId="9" borderId="86" xfId="0" applyFont="1" applyFill="1" applyBorder="1" applyAlignment="1">
      <alignment horizontal="center"/>
    </xf>
    <xf numFmtId="0" fontId="39" fillId="0" borderId="7" xfId="0" applyFont="1" applyBorder="1" applyAlignment="1">
      <alignment horizontal="center"/>
    </xf>
    <xf numFmtId="0" fontId="39" fillId="0" borderId="13" xfId="0" applyFont="1" applyBorder="1" applyAlignment="1">
      <alignment horizontal="center"/>
    </xf>
    <xf numFmtId="0" fontId="39" fillId="0" borderId="8" xfId="0" applyFont="1" applyBorder="1" applyAlignment="1">
      <alignment horizontal="center"/>
    </xf>
    <xf numFmtId="0" fontId="80" fillId="19" borderId="62" xfId="0" applyFont="1" applyFill="1" applyBorder="1" applyAlignment="1">
      <alignment horizontal="center" vertical="center"/>
    </xf>
    <xf numFmtId="0" fontId="80" fillId="19" borderId="63" xfId="0" applyFont="1" applyFill="1" applyBorder="1" applyAlignment="1">
      <alignment horizontal="center" vertical="center"/>
    </xf>
    <xf numFmtId="0" fontId="80" fillId="19" borderId="64" xfId="0" applyFont="1" applyFill="1" applyBorder="1" applyAlignment="1">
      <alignment horizontal="center" vertical="center"/>
    </xf>
    <xf numFmtId="0" fontId="2" fillId="0" borderId="3" xfId="0" applyFont="1" applyBorder="1" applyAlignment="1">
      <alignment horizontal="center"/>
    </xf>
    <xf numFmtId="0" fontId="33" fillId="9" borderId="67" xfId="0" applyFont="1" applyFill="1" applyBorder="1" applyAlignment="1">
      <alignment horizontal="center"/>
    </xf>
    <xf numFmtId="0" fontId="33" fillId="9" borderId="68" xfId="0" applyFont="1" applyFill="1" applyBorder="1" applyAlignment="1">
      <alignment horizontal="center"/>
    </xf>
    <xf numFmtId="0" fontId="33" fillId="9" borderId="69" xfId="0" applyFont="1" applyFill="1" applyBorder="1" applyAlignment="1">
      <alignment horizontal="center"/>
    </xf>
    <xf numFmtId="0" fontId="110" fillId="0" borderId="0" xfId="0" applyFont="1" applyAlignment="1">
      <alignment horizontal="center" wrapText="1"/>
    </xf>
    <xf numFmtId="0" fontId="33" fillId="9" borderId="7" xfId="0" applyFont="1" applyFill="1" applyBorder="1" applyAlignment="1">
      <alignment horizontal="center"/>
    </xf>
    <xf numFmtId="0" fontId="33" fillId="9" borderId="13" xfId="0" applyFont="1" applyFill="1" applyBorder="1" applyAlignment="1">
      <alignment horizontal="center"/>
    </xf>
    <xf numFmtId="0" fontId="33" fillId="9" borderId="8" xfId="0" applyFont="1" applyFill="1" applyBorder="1" applyAlignment="1">
      <alignment horizontal="center"/>
    </xf>
    <xf numFmtId="0" fontId="0" fillId="21" borderId="86" xfId="0" applyFill="1" applyBorder="1" applyAlignment="1">
      <alignment horizontal="left"/>
    </xf>
    <xf numFmtId="0" fontId="0" fillId="20" borderId="86" xfId="0" applyFill="1"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63" fillId="0" borderId="9" xfId="0" applyFont="1" applyBorder="1" applyAlignment="1">
      <alignment horizontal="left" wrapText="1"/>
    </xf>
    <xf numFmtId="0" fontId="63" fillId="0" borderId="0" xfId="0" applyFont="1" applyAlignment="1">
      <alignment horizontal="left" wrapText="1"/>
    </xf>
    <xf numFmtId="0" fontId="0" fillId="0" borderId="40" xfId="0" applyBorder="1" applyAlignment="1">
      <alignment horizontal="center"/>
    </xf>
    <xf numFmtId="0" fontId="0" fillId="0" borderId="41" xfId="0" applyBorder="1" applyAlignment="1">
      <alignment horizontal="center"/>
    </xf>
    <xf numFmtId="0" fontId="2" fillId="0" borderId="79" xfId="0" applyFont="1" applyBorder="1" applyAlignment="1">
      <alignment horizontal="left"/>
    </xf>
    <xf numFmtId="0" fontId="2" fillId="0" borderId="80" xfId="0" applyFont="1" applyBorder="1" applyAlignment="1">
      <alignment horizontal="left"/>
    </xf>
    <xf numFmtId="0" fontId="94" fillId="0" borderId="75" xfId="0" applyFont="1" applyBorder="1" applyAlignment="1">
      <alignment horizontal="left" vertical="top" wrapText="1"/>
    </xf>
    <xf numFmtId="0" fontId="94" fillId="0" borderId="76" xfId="0" applyFont="1" applyBorder="1" applyAlignment="1">
      <alignment horizontal="center" vertical="top" wrapText="1"/>
    </xf>
    <xf numFmtId="0" fontId="94" fillId="0" borderId="77" xfId="0" applyFont="1" applyBorder="1" applyAlignment="1">
      <alignment horizontal="center" vertical="top" wrapText="1"/>
    </xf>
    <xf numFmtId="0" fontId="94" fillId="0" borderId="78" xfId="0" applyFont="1" applyBorder="1" applyAlignment="1">
      <alignment horizontal="center" vertical="top" wrapText="1"/>
    </xf>
    <xf numFmtId="0" fontId="0" fillId="0" borderId="0" xfId="0"/>
    <xf numFmtId="0" fontId="2" fillId="0" borderId="80" xfId="0" applyFont="1" applyBorder="1" applyAlignment="1" applyProtection="1">
      <alignment horizontal="center"/>
      <protection locked="0"/>
    </xf>
    <xf numFmtId="0" fontId="12" fillId="3" borderId="82" xfId="0" applyFont="1" applyFill="1" applyBorder="1" applyAlignment="1" applyProtection="1">
      <alignment horizontal="center"/>
      <protection locked="0"/>
    </xf>
    <xf numFmtId="0" fontId="12" fillId="3" borderId="83" xfId="0" applyFont="1" applyFill="1" applyBorder="1" applyAlignment="1" applyProtection="1">
      <alignment horizontal="center"/>
      <protection locked="0"/>
    </xf>
    <xf numFmtId="0" fontId="12" fillId="3" borderId="84" xfId="0" applyFont="1" applyFill="1" applyBorder="1" applyAlignment="1" applyProtection="1">
      <alignment horizontal="center"/>
      <protection locked="0"/>
    </xf>
  </cellXfs>
  <cellStyles count="15">
    <cellStyle name="Comma" xfId="1" builtinId="3"/>
    <cellStyle name="Comma 2" xfId="9" xr:uid="{00000000-0005-0000-0000-000001000000}"/>
    <cellStyle name="Currency" xfId="2" builtinId="4"/>
    <cellStyle name="Followed Hyperlink" xfId="7" builtinId="9" hidden="1"/>
    <cellStyle name="Hyperlink" xfId="4" builtinId="8"/>
    <cellStyle name="Hyperlink 2" xfId="14" xr:uid="{23150EED-B69B-46FE-A2F7-661D3D98A5DB}"/>
    <cellStyle name="Normal" xfId="0" builtinId="0"/>
    <cellStyle name="Normal 10" xfId="13" xr:uid="{3FBF7476-B69B-401F-8EA0-8E91ECB786E1}"/>
    <cellStyle name="Normal 2" xfId="10" xr:uid="{00000000-0005-0000-0000-000006000000}"/>
    <cellStyle name="Normal 3" xfId="5" xr:uid="{00000000-0005-0000-0000-000007000000}"/>
    <cellStyle name="Normal 3 2" xfId="11" xr:uid="{00000000-0005-0000-0000-000008000000}"/>
    <cellStyle name="Normal 4" xfId="12" xr:uid="{00000000-0005-0000-0000-000009000000}"/>
    <cellStyle name="Normal 5" xfId="8" xr:uid="{00000000-0005-0000-0000-00000A000000}"/>
    <cellStyle name="Normal_DVRPC vehicle calculator_01.26" xfId="3" xr:uid="{00000000-0005-0000-0000-00000B000000}"/>
    <cellStyle name="Percent" xfId="6" builtinId="5"/>
  </cellStyles>
  <dxfs count="8">
    <dxf>
      <font>
        <b/>
        <i val="0"/>
        <color rgb="FFFF0000"/>
      </font>
    </dxf>
    <dxf>
      <font>
        <b/>
        <i val="0"/>
        <color rgb="FFFF0000"/>
      </font>
    </dxf>
    <dxf>
      <font>
        <b/>
        <i val="0"/>
        <color rgb="FFFF0000"/>
      </font>
    </dxf>
    <dxf>
      <font>
        <color theme="0"/>
      </font>
      <fill>
        <patternFill>
          <bgColor theme="0"/>
        </patternFill>
      </fill>
      <border>
        <left/>
        <right style="thin">
          <color auto="1"/>
        </right>
        <top/>
        <bottom/>
        <vertical/>
        <horizontal/>
      </border>
    </dxf>
    <dxf>
      <font>
        <color theme="0"/>
      </font>
      <fill>
        <patternFill patternType="none">
          <fgColor indexed="64"/>
          <bgColor auto="1"/>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patternType="solid">
          <bgColor theme="0"/>
        </patternFill>
      </fill>
      <border>
        <left style="thin">
          <color auto="1"/>
        </left>
        <right style="thin">
          <color auto="1"/>
        </right>
        <top/>
        <bottom/>
        <vertical/>
        <horizontal/>
      </border>
    </dxf>
    <dxf>
      <font>
        <color theme="0"/>
      </font>
      <fill>
        <patternFill>
          <bgColor theme="0"/>
        </patternFill>
      </fill>
      <border>
        <left/>
        <right/>
        <top/>
        <bottom/>
        <vertical/>
        <horizontal/>
      </border>
    </dxf>
  </dxfs>
  <tableStyles count="0" defaultTableStyle="TableStyleMedium9" defaultPivotStyle="PivotStyleLight16"/>
  <colors>
    <mruColors>
      <color rgb="FF0000FF"/>
      <color rgb="FF3A0AC0"/>
      <color rgb="FF22B7E6"/>
      <color rgb="FFFFFF99"/>
      <color rgb="FF0067AB"/>
      <color rgb="FF006BA8"/>
      <color rgb="FFFFFF66"/>
      <color rgb="FFFFFFCC"/>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 Target="richData/rdrichvalue.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Energy Use by Department</a:t>
            </a:r>
            <a:endParaRPr lang="en-US" sz="1400"/>
          </a:p>
        </c:rich>
      </c:tx>
      <c:overlay val="0"/>
    </c:title>
    <c:autoTitleDeleted val="0"/>
    <c:plotArea>
      <c:layout>
        <c:manualLayout>
          <c:layoutTarget val="inner"/>
          <c:xMode val="edge"/>
          <c:yMode val="edge"/>
          <c:x val="8.9747530649775004E-2"/>
          <c:y val="0.11123073994831401"/>
          <c:w val="0.83621776584898"/>
          <c:h val="0.72282036640823599"/>
        </c:manualLayout>
      </c:layout>
      <c:barChart>
        <c:barDir val="col"/>
        <c:grouping val="clustered"/>
        <c:varyColors val="0"/>
        <c:ser>
          <c:idx val="3"/>
          <c:order val="0"/>
          <c:tx>
            <c:v>Energy Use</c:v>
          </c:tx>
          <c:spPr>
            <a:solidFill>
              <a:schemeClr val="accent1"/>
            </a:solidFill>
          </c:spPr>
          <c:invertIfNegative val="0"/>
          <c:cat>
            <c:strRef>
              <c:f>'Stationary-Calcs'!$B$23:$B$42</c:f>
              <c:strCache>
                <c:ptCount val="4"/>
                <c:pt idx="0">
                  <c:v>Residential</c:v>
                </c:pt>
                <c:pt idx="1">
                  <c:v>Commercial/Institutional</c:v>
                </c:pt>
                <c:pt idx="2">
                  <c:v>Industrial</c:v>
                </c:pt>
                <c:pt idx="3">
                  <c:v>Energy Generation</c:v>
                </c:pt>
              </c:strCache>
            </c:strRef>
          </c:cat>
          <c:val>
            <c:numRef>
              <c:f>'Stationary-Calcs'!$M$23:$M$42</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DBE1-4DB4-A30F-D61E8EF23C28}"/>
            </c:ext>
          </c:extLst>
        </c:ser>
        <c:dLbls>
          <c:showLegendKey val="0"/>
          <c:showVal val="0"/>
          <c:showCatName val="0"/>
          <c:showSerName val="0"/>
          <c:showPercent val="0"/>
          <c:showBubbleSize val="0"/>
        </c:dLbls>
        <c:gapWidth val="150"/>
        <c:axId val="757223368"/>
        <c:axId val="757223760"/>
      </c:barChart>
      <c:catAx>
        <c:axId val="757223368"/>
        <c:scaling>
          <c:orientation val="minMax"/>
        </c:scaling>
        <c:delete val="0"/>
        <c:axPos val="b"/>
        <c:numFmt formatCode="General" sourceLinked="1"/>
        <c:majorTickMark val="out"/>
        <c:minorTickMark val="none"/>
        <c:tickLblPos val="nextTo"/>
        <c:txPr>
          <a:bodyPr rot="-1140000" vert="horz"/>
          <a:lstStyle/>
          <a:p>
            <a:pPr>
              <a:defRPr/>
            </a:pPr>
            <a:endParaRPr lang="en-US"/>
          </a:p>
        </c:txPr>
        <c:crossAx val="757223760"/>
        <c:crosses val="autoZero"/>
        <c:auto val="1"/>
        <c:lblAlgn val="ctr"/>
        <c:lblOffset val="100"/>
        <c:tickLblSkip val="1"/>
        <c:noMultiLvlLbl val="0"/>
      </c:catAx>
      <c:valAx>
        <c:axId val="757223760"/>
        <c:scaling>
          <c:orientation val="minMax"/>
        </c:scaling>
        <c:delete val="0"/>
        <c:axPos val="l"/>
        <c:majorGridlines>
          <c:spPr>
            <a:ln>
              <a:prstDash val="sysDot"/>
            </a:ln>
          </c:spPr>
        </c:majorGridlines>
        <c:title>
          <c:tx>
            <c:rich>
              <a:bodyPr rot="-5400000" vert="horz"/>
              <a:lstStyle/>
              <a:p>
                <a:pPr>
                  <a:defRPr/>
                </a:pPr>
                <a:r>
                  <a:rPr lang="en-US"/>
                  <a:t>Energy Use (MMBtu)</a:t>
                </a:r>
              </a:p>
            </c:rich>
          </c:tx>
          <c:overlay val="0"/>
        </c:title>
        <c:numFmt formatCode="_(#,##0_);_(\(#,##0\);_(&quot;-&quot;_);_(@_)" sourceLinked="1"/>
        <c:majorTickMark val="out"/>
        <c:minorTickMark val="none"/>
        <c:tickLblPos val="nextTo"/>
        <c:crossAx val="757223368"/>
        <c:crosses val="autoZero"/>
        <c:crossBetween val="between"/>
      </c:valAx>
    </c:plotArea>
    <c:legend>
      <c:legendPos val="r"/>
      <c:layout>
        <c:manualLayout>
          <c:xMode val="edge"/>
          <c:yMode val="edge"/>
          <c:x val="7.6193107035850804E-2"/>
          <c:y val="2.1882614185526001E-3"/>
          <c:w val="7.3902125835013904E-2"/>
          <c:h val="0.1206725416148"/>
        </c:manualLayout>
      </c:layout>
      <c:overlay val="1"/>
    </c:legend>
    <c:plotVisOnly val="1"/>
    <c:dispBlanksAs val="gap"/>
    <c:showDLblsOverMax val="0"/>
  </c:chart>
  <c:printSettings>
    <c:headerFooter/>
    <c:pageMargins b="0.75000000000001499" l="0.70000000000000095" r="0.70000000000000095" t="0.750000000000014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Emissions by Department</a:t>
            </a:r>
            <a:endParaRPr lang="en-US" sz="1400"/>
          </a:p>
        </c:rich>
      </c:tx>
      <c:overlay val="0"/>
    </c:title>
    <c:autoTitleDeleted val="0"/>
    <c:plotArea>
      <c:layout>
        <c:manualLayout>
          <c:layoutTarget val="inner"/>
          <c:xMode val="edge"/>
          <c:yMode val="edge"/>
          <c:x val="8.6815475094414896E-2"/>
          <c:y val="0.108318370173664"/>
          <c:w val="0.84032497542819795"/>
          <c:h val="0.72573273618287004"/>
        </c:manualLayout>
      </c:layout>
      <c:barChart>
        <c:barDir val="col"/>
        <c:grouping val="clustered"/>
        <c:varyColors val="0"/>
        <c:ser>
          <c:idx val="0"/>
          <c:order val="0"/>
          <c:tx>
            <c:v>Emissions</c:v>
          </c:tx>
          <c:spPr>
            <a:solidFill>
              <a:schemeClr val="accent3"/>
            </a:solidFill>
          </c:spPr>
          <c:invertIfNegative val="0"/>
          <c:cat>
            <c:strRef>
              <c:f>'Stationary-Calcs'!$B$23:$B$42</c:f>
              <c:strCache>
                <c:ptCount val="4"/>
                <c:pt idx="0">
                  <c:v>Residential</c:v>
                </c:pt>
                <c:pt idx="1">
                  <c:v>Commercial/Institutional</c:v>
                </c:pt>
                <c:pt idx="2">
                  <c:v>Industrial</c:v>
                </c:pt>
                <c:pt idx="3">
                  <c:v>Energy Generation</c:v>
                </c:pt>
              </c:strCache>
            </c:strRef>
          </c:cat>
          <c:val>
            <c:numRef>
              <c:f>'Stationary-Calcs'!$F$23:$F$42</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0DCA-4BB8-9AD0-8AB8EC80E3CE}"/>
            </c:ext>
          </c:extLst>
        </c:ser>
        <c:dLbls>
          <c:showLegendKey val="0"/>
          <c:showVal val="0"/>
          <c:showCatName val="0"/>
          <c:showSerName val="0"/>
          <c:showPercent val="0"/>
          <c:showBubbleSize val="0"/>
        </c:dLbls>
        <c:gapWidth val="150"/>
        <c:axId val="757224152"/>
        <c:axId val="757224544"/>
      </c:barChart>
      <c:catAx>
        <c:axId val="757224152"/>
        <c:scaling>
          <c:orientation val="minMax"/>
        </c:scaling>
        <c:delete val="0"/>
        <c:axPos val="b"/>
        <c:numFmt formatCode="General" sourceLinked="1"/>
        <c:majorTickMark val="out"/>
        <c:minorTickMark val="none"/>
        <c:tickLblPos val="nextTo"/>
        <c:txPr>
          <a:bodyPr rot="-1140000" vert="horz"/>
          <a:lstStyle/>
          <a:p>
            <a:pPr>
              <a:defRPr/>
            </a:pPr>
            <a:endParaRPr lang="en-US"/>
          </a:p>
        </c:txPr>
        <c:crossAx val="757224544"/>
        <c:crosses val="autoZero"/>
        <c:auto val="1"/>
        <c:lblAlgn val="ctr"/>
        <c:lblOffset val="100"/>
        <c:tickLblSkip val="1"/>
        <c:noMultiLvlLbl val="0"/>
      </c:catAx>
      <c:valAx>
        <c:axId val="757224544"/>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0_);_(\(#,##0\);_(&quot;-&quot;_);_(@_)" sourceLinked="1"/>
        <c:majorTickMark val="out"/>
        <c:minorTickMark val="none"/>
        <c:tickLblPos val="nextTo"/>
        <c:crossAx val="757224152"/>
        <c:crosses val="autoZero"/>
        <c:crossBetween val="between"/>
      </c:valAx>
    </c:plotArea>
    <c:legend>
      <c:legendPos val="r"/>
      <c:layout>
        <c:manualLayout>
          <c:xMode val="edge"/>
          <c:yMode val="edge"/>
          <c:x val="7.6193107035850804E-2"/>
          <c:y val="2.1882614185526001E-3"/>
          <c:w val="7.3902125835013904E-2"/>
          <c:h val="0.1206725416148"/>
        </c:manualLayout>
      </c:layout>
      <c:overlay val="1"/>
    </c:legend>
    <c:plotVisOnly val="1"/>
    <c:dispBlanksAs val="gap"/>
    <c:showDLblsOverMax val="0"/>
  </c:chart>
  <c:printSettings>
    <c:headerFooter/>
    <c:pageMargins b="0.75000000000001499" l="0.70000000000000095" r="0.70000000000000095" t="0.75000000000001499"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Emissions and Energy Use by Sector</a:t>
            </a:r>
            <a:endParaRPr lang="en-US" sz="1400"/>
          </a:p>
        </c:rich>
      </c:tx>
      <c:overlay val="0"/>
    </c:title>
    <c:autoTitleDeleted val="0"/>
    <c:plotArea>
      <c:layout/>
      <c:barChart>
        <c:barDir val="col"/>
        <c:grouping val="clustered"/>
        <c:varyColors val="0"/>
        <c:ser>
          <c:idx val="0"/>
          <c:order val="0"/>
          <c:tx>
            <c:v>Emissions</c:v>
          </c:tx>
          <c:spPr>
            <a:solidFill>
              <a:schemeClr val="accent3"/>
            </a:solidFill>
          </c:spPr>
          <c:invertIfNegative val="0"/>
          <c:cat>
            <c:strRef>
              <c:f>'Stationary-Calcs'!$B$23:$B$42</c:f>
              <c:strCache>
                <c:ptCount val="4"/>
                <c:pt idx="0">
                  <c:v>Residential</c:v>
                </c:pt>
                <c:pt idx="1">
                  <c:v>Commercial/Institutional</c:v>
                </c:pt>
                <c:pt idx="2">
                  <c:v>Industrial</c:v>
                </c:pt>
                <c:pt idx="3">
                  <c:v>Energy Generation</c:v>
                </c:pt>
              </c:strCache>
            </c:strRef>
          </c:cat>
          <c:val>
            <c:numRef>
              <c:f>'Stationary-Calcs'!$F$23:$F$42</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0C22-40A5-AD41-AE3A2D461BA5}"/>
            </c:ext>
          </c:extLst>
        </c:ser>
        <c:ser>
          <c:idx val="1"/>
          <c:order val="1"/>
          <c:tx>
            <c:v>dummy1</c:v>
          </c:tx>
          <c:invertIfNegative val="0"/>
          <c:cat>
            <c:strRef>
              <c:f>'Stationary-Calcs'!$B$23:$B$42</c:f>
              <c:strCache>
                <c:ptCount val="4"/>
                <c:pt idx="0">
                  <c:v>Residential</c:v>
                </c:pt>
                <c:pt idx="1">
                  <c:v>Commercial/Institutional</c:v>
                </c:pt>
                <c:pt idx="2">
                  <c:v>Industrial</c:v>
                </c:pt>
                <c:pt idx="3">
                  <c:v>Energy Generation</c:v>
                </c:pt>
              </c:strCache>
            </c:strRef>
          </c:cat>
          <c:val>
            <c:numRef>
              <c:f>'Stationary-Calcs'!$P$23:$P$42</c:f>
              <c:numCache>
                <c:formatCode>General</c:formatCode>
                <c:ptCount val="4"/>
              </c:numCache>
            </c:numRef>
          </c:val>
          <c:extLst>
            <c:ext xmlns:c16="http://schemas.microsoft.com/office/drawing/2014/chart" uri="{C3380CC4-5D6E-409C-BE32-E72D297353CC}">
              <c16:uniqueId val="{00000001-0C22-40A5-AD41-AE3A2D461BA5}"/>
            </c:ext>
          </c:extLst>
        </c:ser>
        <c:dLbls>
          <c:showLegendKey val="0"/>
          <c:showVal val="0"/>
          <c:showCatName val="0"/>
          <c:showSerName val="0"/>
          <c:showPercent val="0"/>
          <c:showBubbleSize val="0"/>
        </c:dLbls>
        <c:gapWidth val="150"/>
        <c:axId val="757225720"/>
        <c:axId val="757228464"/>
      </c:barChart>
      <c:barChart>
        <c:barDir val="col"/>
        <c:grouping val="clustered"/>
        <c:varyColors val="0"/>
        <c:ser>
          <c:idx val="2"/>
          <c:order val="2"/>
          <c:tx>
            <c:v>dummy2</c:v>
          </c:tx>
          <c:invertIfNegative val="0"/>
          <c:cat>
            <c:strRef>
              <c:f>'Stationary-Calcs'!$B$23:$B$42</c:f>
              <c:strCache>
                <c:ptCount val="4"/>
                <c:pt idx="0">
                  <c:v>Residential</c:v>
                </c:pt>
                <c:pt idx="1">
                  <c:v>Commercial/Institutional</c:v>
                </c:pt>
                <c:pt idx="2">
                  <c:v>Industrial</c:v>
                </c:pt>
                <c:pt idx="3">
                  <c:v>Energy Generation</c:v>
                </c:pt>
              </c:strCache>
            </c:strRef>
          </c:cat>
          <c:val>
            <c:numRef>
              <c:f>'Stationary-Calcs'!$Q$23:$Q$42</c:f>
              <c:numCache>
                <c:formatCode>General</c:formatCode>
                <c:ptCount val="4"/>
              </c:numCache>
            </c:numRef>
          </c:val>
          <c:extLst>
            <c:ext xmlns:c16="http://schemas.microsoft.com/office/drawing/2014/chart" uri="{C3380CC4-5D6E-409C-BE32-E72D297353CC}">
              <c16:uniqueId val="{00000002-0C22-40A5-AD41-AE3A2D461BA5}"/>
            </c:ext>
          </c:extLst>
        </c:ser>
        <c:ser>
          <c:idx val="3"/>
          <c:order val="3"/>
          <c:tx>
            <c:v>Energy Use</c:v>
          </c:tx>
          <c:spPr>
            <a:solidFill>
              <a:schemeClr val="accent1"/>
            </a:solidFill>
          </c:spPr>
          <c:invertIfNegative val="0"/>
          <c:cat>
            <c:strRef>
              <c:f>'Stationary-Calcs'!$B$23:$B$42</c:f>
              <c:strCache>
                <c:ptCount val="4"/>
                <c:pt idx="0">
                  <c:v>Residential</c:v>
                </c:pt>
                <c:pt idx="1">
                  <c:v>Commercial/Institutional</c:v>
                </c:pt>
                <c:pt idx="2">
                  <c:v>Industrial</c:v>
                </c:pt>
                <c:pt idx="3">
                  <c:v>Energy Generation</c:v>
                </c:pt>
              </c:strCache>
            </c:strRef>
          </c:cat>
          <c:val>
            <c:numRef>
              <c:f>'Stationary-Calcs'!$M$23:$M$42</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3-0C22-40A5-AD41-AE3A2D461BA5}"/>
            </c:ext>
          </c:extLst>
        </c:ser>
        <c:dLbls>
          <c:showLegendKey val="0"/>
          <c:showVal val="0"/>
          <c:showCatName val="0"/>
          <c:showSerName val="0"/>
          <c:showPercent val="0"/>
          <c:showBubbleSize val="0"/>
        </c:dLbls>
        <c:gapWidth val="150"/>
        <c:axId val="757229248"/>
        <c:axId val="757228072"/>
      </c:barChart>
      <c:catAx>
        <c:axId val="757225720"/>
        <c:scaling>
          <c:orientation val="minMax"/>
        </c:scaling>
        <c:delete val="0"/>
        <c:axPos val="b"/>
        <c:numFmt formatCode="General" sourceLinked="1"/>
        <c:majorTickMark val="out"/>
        <c:minorTickMark val="none"/>
        <c:tickLblPos val="nextTo"/>
        <c:txPr>
          <a:bodyPr rot="-1140000" vert="horz"/>
          <a:lstStyle/>
          <a:p>
            <a:pPr>
              <a:defRPr/>
            </a:pPr>
            <a:endParaRPr lang="en-US"/>
          </a:p>
        </c:txPr>
        <c:crossAx val="757228464"/>
        <c:crosses val="autoZero"/>
        <c:auto val="1"/>
        <c:lblAlgn val="ctr"/>
        <c:lblOffset val="100"/>
        <c:tickLblSkip val="1"/>
        <c:noMultiLvlLbl val="0"/>
      </c:catAx>
      <c:valAx>
        <c:axId val="757228464"/>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0_);_(\(#,##0\);_(&quot;-&quot;_);_(@_)" sourceLinked="1"/>
        <c:majorTickMark val="out"/>
        <c:minorTickMark val="none"/>
        <c:tickLblPos val="nextTo"/>
        <c:crossAx val="757225720"/>
        <c:crosses val="autoZero"/>
        <c:crossBetween val="between"/>
      </c:valAx>
      <c:valAx>
        <c:axId val="757228072"/>
        <c:scaling>
          <c:orientation val="minMax"/>
        </c:scaling>
        <c:delete val="0"/>
        <c:axPos val="r"/>
        <c:title>
          <c:tx>
            <c:rich>
              <a:bodyPr rot="5400000" vert="horz"/>
              <a:lstStyle/>
              <a:p>
                <a:pPr>
                  <a:defRPr/>
                </a:pPr>
                <a:r>
                  <a:rPr lang="en-US"/>
                  <a:t>Energy Use (MMBtu)</a:t>
                </a:r>
              </a:p>
            </c:rich>
          </c:tx>
          <c:overlay val="0"/>
        </c:title>
        <c:numFmt formatCode="General" sourceLinked="1"/>
        <c:majorTickMark val="out"/>
        <c:minorTickMark val="none"/>
        <c:tickLblPos val="nextTo"/>
        <c:crossAx val="757229248"/>
        <c:crosses val="max"/>
        <c:crossBetween val="between"/>
      </c:valAx>
      <c:catAx>
        <c:axId val="757229248"/>
        <c:scaling>
          <c:orientation val="minMax"/>
        </c:scaling>
        <c:delete val="1"/>
        <c:axPos val="b"/>
        <c:numFmt formatCode="General" sourceLinked="1"/>
        <c:majorTickMark val="out"/>
        <c:minorTickMark val="none"/>
        <c:tickLblPos val="none"/>
        <c:crossAx val="757228072"/>
        <c:crosses val="autoZero"/>
        <c:auto val="1"/>
        <c:lblAlgn val="ctr"/>
        <c:lblOffset val="100"/>
        <c:noMultiLvlLbl val="0"/>
      </c:catAx>
    </c:plotArea>
    <c:legend>
      <c:legendPos val="r"/>
      <c:legendEntry>
        <c:idx val="1"/>
        <c:delete val="1"/>
      </c:legendEntry>
      <c:legendEntry>
        <c:idx val="2"/>
        <c:delete val="1"/>
      </c:legendEntry>
      <c:layout>
        <c:manualLayout>
          <c:xMode val="edge"/>
          <c:yMode val="edge"/>
          <c:x val="7.6193107035850804E-2"/>
          <c:y val="2.1882614185526001E-3"/>
          <c:w val="7.3902125835013904E-2"/>
          <c:h val="0.1206725416148"/>
        </c:manualLayout>
      </c:layout>
      <c:overlay val="1"/>
    </c:legend>
    <c:plotVisOnly val="1"/>
    <c:dispBlanksAs val="gap"/>
    <c:showDLblsOverMax val="0"/>
  </c:chart>
  <c:spPr>
    <a:ln>
      <a:solidFill>
        <a:sysClr val="windowText" lastClr="000000"/>
      </a:solidFill>
      <a:prstDash val="solid"/>
    </a:ln>
  </c:spPr>
  <c:printSettings>
    <c:headerFooter/>
    <c:pageMargins b="0.75000000000001499" l="0.70000000000000095" r="0.70000000000000095" t="0.75000000000001499"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Emissions by Fuel Type</a:t>
            </a:r>
            <a:endParaRPr lang="en-US" sz="1400"/>
          </a:p>
        </c:rich>
      </c:tx>
      <c:layout>
        <c:manualLayout>
          <c:xMode val="edge"/>
          <c:yMode val="edge"/>
          <c:x val="0.41039078390627998"/>
          <c:y val="3.0977201838517002E-2"/>
        </c:manualLayout>
      </c:layout>
      <c:overlay val="0"/>
    </c:title>
    <c:autoTitleDeleted val="0"/>
    <c:plotArea>
      <c:layout>
        <c:manualLayout>
          <c:layoutTarget val="inner"/>
          <c:xMode val="edge"/>
          <c:yMode val="edge"/>
          <c:x val="8.1344754118584495E-2"/>
          <c:y val="0.15836659566743599"/>
          <c:w val="0.86245492265345403"/>
          <c:h val="0.64102789366951995"/>
        </c:manualLayout>
      </c:layout>
      <c:barChart>
        <c:barDir val="col"/>
        <c:grouping val="clustered"/>
        <c:varyColors val="0"/>
        <c:ser>
          <c:idx val="0"/>
          <c:order val="0"/>
          <c:tx>
            <c:v>Emissions</c:v>
          </c:tx>
          <c:spPr>
            <a:solidFill>
              <a:schemeClr val="accent3"/>
            </a:solidFill>
          </c:spPr>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'Stationary-Calcs'!$F$75:$F$88</c:f>
              <c:numCache>
                <c:formatCode>_(* #,##0_);_(* \(#,##0\);_(* "-"??_);_(@_)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804-4A0E-9513-779BEB271CAF}"/>
            </c:ext>
          </c:extLst>
        </c:ser>
        <c:dLbls>
          <c:showLegendKey val="0"/>
          <c:showVal val="0"/>
          <c:showCatName val="0"/>
          <c:showSerName val="0"/>
          <c:showPercent val="0"/>
          <c:showBubbleSize val="0"/>
        </c:dLbls>
        <c:gapWidth val="250"/>
        <c:axId val="757226896"/>
        <c:axId val="757227680"/>
      </c:barChart>
      <c:barChart>
        <c:barDir val="col"/>
        <c:grouping val="clustered"/>
        <c:varyColors val="0"/>
        <c:ser>
          <c:idx val="1"/>
          <c:order val="1"/>
          <c:tx>
            <c:v>dummy1</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'Stationary-Calcs'!$P$75:$P$88</c:f>
              <c:numCache>
                <c:formatCode>_(* #,##0.00_);_(* \(#,##0.00\);_(* "-"??_);_(@_)</c:formatCode>
                <c:ptCount val="14"/>
              </c:numCache>
            </c:numRef>
          </c:val>
          <c:extLst>
            <c:ext xmlns:c16="http://schemas.microsoft.com/office/drawing/2014/chart" uri="{C3380CC4-5D6E-409C-BE32-E72D297353CC}">
              <c16:uniqueId val="{00000001-E804-4A0E-9513-779BEB271CAF}"/>
            </c:ext>
          </c:extLst>
        </c:ser>
        <c:ser>
          <c:idx val="2"/>
          <c:order val="2"/>
          <c:tx>
            <c:v>dummy2</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'Stationary-Calcs'!$S$75:$S$88</c:f>
              <c:numCache>
                <c:formatCode>_(* #,##0.00_);_(* \(#,##0.00\);_(* "-"??_);_(@_)</c:formatCode>
                <c:ptCount val="14"/>
              </c:numCache>
            </c:numRef>
          </c:val>
          <c:extLst>
            <c:ext xmlns:c16="http://schemas.microsoft.com/office/drawing/2014/chart" uri="{C3380CC4-5D6E-409C-BE32-E72D297353CC}">
              <c16:uniqueId val="{00000002-E804-4A0E-9513-779BEB271CAF}"/>
            </c:ext>
          </c:extLst>
        </c:ser>
        <c:dLbls>
          <c:showLegendKey val="0"/>
          <c:showVal val="0"/>
          <c:showCatName val="0"/>
          <c:showSerName val="0"/>
          <c:showPercent val="0"/>
          <c:showBubbleSize val="0"/>
        </c:dLbls>
        <c:gapWidth val="125"/>
        <c:axId val="757232384"/>
        <c:axId val="757227288"/>
      </c:barChart>
      <c:catAx>
        <c:axId val="757226896"/>
        <c:scaling>
          <c:orientation val="minMax"/>
        </c:scaling>
        <c:delete val="0"/>
        <c:axPos val="b"/>
        <c:numFmt formatCode="General" sourceLinked="0"/>
        <c:majorTickMark val="out"/>
        <c:minorTickMark val="none"/>
        <c:tickLblPos val="nextTo"/>
        <c:txPr>
          <a:bodyPr rot="0"/>
          <a:lstStyle/>
          <a:p>
            <a:pPr>
              <a:defRPr/>
            </a:pPr>
            <a:endParaRPr lang="en-US"/>
          </a:p>
        </c:txPr>
        <c:crossAx val="757227680"/>
        <c:crosses val="autoZero"/>
        <c:auto val="1"/>
        <c:lblAlgn val="ctr"/>
        <c:lblOffset val="100"/>
        <c:tickLblSkip val="1"/>
        <c:noMultiLvlLbl val="0"/>
      </c:catAx>
      <c:valAx>
        <c:axId val="757227680"/>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 #,##0_);_(* \(#,##0\);_(* &quot;-&quot;??_);_(@_)" sourceLinked="1"/>
        <c:majorTickMark val="out"/>
        <c:minorTickMark val="none"/>
        <c:tickLblPos val="nextTo"/>
        <c:crossAx val="757226896"/>
        <c:crosses val="autoZero"/>
        <c:crossBetween val="between"/>
      </c:valAx>
      <c:valAx>
        <c:axId val="757227288"/>
        <c:scaling>
          <c:orientation val="minMax"/>
        </c:scaling>
        <c:delete val="1"/>
        <c:axPos val="r"/>
        <c:numFmt formatCode="_(* #,##0.00_);_(* \(#,##0.00\);_(* &quot;-&quot;??_);_(@_)" sourceLinked="1"/>
        <c:majorTickMark val="out"/>
        <c:minorTickMark val="none"/>
        <c:tickLblPos val="none"/>
        <c:crossAx val="757232384"/>
        <c:crosses val="max"/>
        <c:crossBetween val="between"/>
      </c:valAx>
      <c:catAx>
        <c:axId val="757232384"/>
        <c:scaling>
          <c:orientation val="minMax"/>
        </c:scaling>
        <c:delete val="1"/>
        <c:axPos val="b"/>
        <c:numFmt formatCode="General" sourceLinked="1"/>
        <c:majorTickMark val="out"/>
        <c:minorTickMark val="none"/>
        <c:tickLblPos val="none"/>
        <c:crossAx val="757227288"/>
        <c:crosses val="autoZero"/>
        <c:auto val="1"/>
        <c:lblAlgn val="ctr"/>
        <c:lblOffset val="100"/>
        <c:noMultiLvlLbl val="0"/>
      </c:catAx>
    </c:plotArea>
    <c:legend>
      <c:legendPos val="r"/>
      <c:legendEntry>
        <c:idx val="1"/>
        <c:delete val="1"/>
      </c:legendEntry>
      <c:legendEntry>
        <c:idx val="2"/>
        <c:delete val="1"/>
      </c:legendEntry>
      <c:layout>
        <c:manualLayout>
          <c:xMode val="edge"/>
          <c:yMode val="edge"/>
          <c:x val="6.6248129445397805E-2"/>
          <c:y val="2.0263102248786798E-2"/>
          <c:w val="7.3596376798331503E-2"/>
          <c:h val="0.137567097902286"/>
        </c:manualLayout>
      </c:layout>
      <c:overlay val="1"/>
    </c:legend>
    <c:plotVisOnly val="1"/>
    <c:dispBlanksAs val="gap"/>
    <c:showDLblsOverMax val="0"/>
  </c:chart>
  <c:printSettings>
    <c:headerFooter/>
    <c:pageMargins b="0.75000000000001499" l="0.70000000000000095" r="0.70000000000000095" t="0.75000000000001499"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Energy Use by Fuel Type</a:t>
            </a:r>
            <a:endParaRPr lang="en-US" sz="1400"/>
          </a:p>
        </c:rich>
      </c:tx>
      <c:layout>
        <c:manualLayout>
          <c:xMode val="edge"/>
          <c:yMode val="edge"/>
          <c:x val="0.41039078390627998"/>
          <c:y val="3.0977201838517002E-2"/>
        </c:manualLayout>
      </c:layout>
      <c:overlay val="0"/>
    </c:title>
    <c:autoTitleDeleted val="0"/>
    <c:plotArea>
      <c:layout>
        <c:manualLayout>
          <c:layoutTarget val="inner"/>
          <c:xMode val="edge"/>
          <c:yMode val="edge"/>
          <c:x val="8.8688497494816596E-2"/>
          <c:y val="0.15836659566743599"/>
          <c:w val="0.86124508025209701"/>
          <c:h val="0.64102789366951995"/>
        </c:manualLayout>
      </c:layout>
      <c:barChart>
        <c:barDir val="col"/>
        <c:grouping val="clustered"/>
        <c:varyColors val="0"/>
        <c:ser>
          <c:idx val="1"/>
          <c:order val="0"/>
          <c:tx>
            <c:v>dummy1</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'Stationary-Calcs'!$P$75:$P$88</c:f>
              <c:numCache>
                <c:formatCode>_(* #,##0.00_);_(* \(#,##0.00\);_(* "-"??_);_(@_)</c:formatCode>
                <c:ptCount val="14"/>
              </c:numCache>
            </c:numRef>
          </c:val>
          <c:extLst>
            <c:ext xmlns:c16="http://schemas.microsoft.com/office/drawing/2014/chart" uri="{C3380CC4-5D6E-409C-BE32-E72D297353CC}">
              <c16:uniqueId val="{00000000-0C88-4787-8FD9-A8F4F175B745}"/>
            </c:ext>
          </c:extLst>
        </c:ser>
        <c:ser>
          <c:idx val="2"/>
          <c:order val="1"/>
          <c:tx>
            <c:v>dummy2</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'Stationary-Calcs'!$S$75:$S$88</c:f>
              <c:numCache>
                <c:formatCode>_(* #,##0.00_);_(* \(#,##0.00\);_(* "-"??_);_(@_)</c:formatCode>
                <c:ptCount val="14"/>
              </c:numCache>
            </c:numRef>
          </c:val>
          <c:extLst>
            <c:ext xmlns:c16="http://schemas.microsoft.com/office/drawing/2014/chart" uri="{C3380CC4-5D6E-409C-BE32-E72D297353CC}">
              <c16:uniqueId val="{00000001-0C88-4787-8FD9-A8F4F175B745}"/>
            </c:ext>
          </c:extLst>
        </c:ser>
        <c:ser>
          <c:idx val="3"/>
          <c:order val="2"/>
          <c:tx>
            <c:v>Energy Use</c:v>
          </c:tx>
          <c:spPr>
            <a:solidFill>
              <a:schemeClr val="accent1"/>
            </a:solidFill>
          </c:spPr>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'Stationary-Calcs'!$L$75:$L$88</c:f>
              <c:numCache>
                <c:formatCode>_(* #,##0.00_);_(* \(#,##0.00\);_(* "-"??_);_(@_)</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0C88-4787-8FD9-A8F4F175B745}"/>
            </c:ext>
          </c:extLst>
        </c:ser>
        <c:dLbls>
          <c:showLegendKey val="0"/>
          <c:showVal val="0"/>
          <c:showCatName val="0"/>
          <c:showSerName val="0"/>
          <c:showPercent val="0"/>
          <c:showBubbleSize val="0"/>
        </c:dLbls>
        <c:gapWidth val="125"/>
        <c:axId val="757229640"/>
        <c:axId val="757230032"/>
      </c:barChart>
      <c:catAx>
        <c:axId val="757229640"/>
        <c:scaling>
          <c:orientation val="minMax"/>
        </c:scaling>
        <c:delete val="0"/>
        <c:axPos val="b"/>
        <c:numFmt formatCode="General" sourceLinked="0"/>
        <c:majorTickMark val="out"/>
        <c:minorTickMark val="none"/>
        <c:tickLblPos val="nextTo"/>
        <c:txPr>
          <a:bodyPr rot="0"/>
          <a:lstStyle/>
          <a:p>
            <a:pPr>
              <a:defRPr/>
            </a:pPr>
            <a:endParaRPr lang="en-US"/>
          </a:p>
        </c:txPr>
        <c:crossAx val="757230032"/>
        <c:crosses val="autoZero"/>
        <c:auto val="1"/>
        <c:lblAlgn val="ctr"/>
        <c:lblOffset val="100"/>
        <c:tickLblSkip val="1"/>
        <c:noMultiLvlLbl val="0"/>
      </c:catAx>
      <c:valAx>
        <c:axId val="757230032"/>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 #,##0.00_);_(* \(#,##0.00\);_(* &quot;-&quot;??_);_(@_)" sourceLinked="1"/>
        <c:majorTickMark val="out"/>
        <c:minorTickMark val="none"/>
        <c:tickLblPos val="nextTo"/>
        <c:crossAx val="757229640"/>
        <c:crosses val="autoZero"/>
        <c:crossBetween val="between"/>
      </c:valAx>
    </c:plotArea>
    <c:legend>
      <c:legendPos val="r"/>
      <c:legendEntry>
        <c:idx val="0"/>
        <c:delete val="1"/>
      </c:legendEntry>
      <c:legendEntry>
        <c:idx val="1"/>
        <c:delete val="1"/>
      </c:legendEntry>
      <c:layout>
        <c:manualLayout>
          <c:xMode val="edge"/>
          <c:yMode val="edge"/>
          <c:x val="6.6248129445397805E-2"/>
          <c:y val="2.0263102248786798E-2"/>
          <c:w val="7.3596376798331503E-2"/>
          <c:h val="0.137567097902286"/>
        </c:manualLayout>
      </c:layout>
      <c:overlay val="1"/>
    </c:legend>
    <c:plotVisOnly val="1"/>
    <c:dispBlanksAs val="gap"/>
    <c:showDLblsOverMax val="0"/>
  </c:chart>
  <c:printSettings>
    <c:headerFooter/>
    <c:pageMargins b="0.75000000000001499" l="0.70000000000000095" r="0.70000000000000095" t="0.750000000000014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400" baseline="0"/>
              <a:t>Emissions and Energy Use by Fuel Type</a:t>
            </a:r>
            <a:endParaRPr lang="en-US" sz="1400"/>
          </a:p>
        </c:rich>
      </c:tx>
      <c:layout>
        <c:manualLayout>
          <c:xMode val="edge"/>
          <c:yMode val="edge"/>
          <c:x val="0.41039078390627898"/>
          <c:y val="3.0977201838517002E-2"/>
        </c:manualLayout>
      </c:layout>
      <c:overlay val="0"/>
    </c:title>
    <c:autoTitleDeleted val="0"/>
    <c:plotArea>
      <c:layout>
        <c:manualLayout>
          <c:layoutTarget val="inner"/>
          <c:xMode val="edge"/>
          <c:yMode val="edge"/>
          <c:x val="7.8925069315872204E-2"/>
          <c:y val="0.15836659566743599"/>
          <c:w val="0.84085532999880497"/>
          <c:h val="0.64102789366951896"/>
        </c:manualLayout>
      </c:layout>
      <c:barChart>
        <c:barDir val="col"/>
        <c:grouping val="clustered"/>
        <c:varyColors val="0"/>
        <c:ser>
          <c:idx val="0"/>
          <c:order val="0"/>
          <c:tx>
            <c:v>Emissions</c:v>
          </c:tx>
          <c:spPr>
            <a:solidFill>
              <a:schemeClr val="accent3"/>
            </a:solidFill>
          </c:spPr>
          <c:invertIfNegative val="0"/>
          <c:cat>
            <c:strRef>
              <c:f>'Stationary-Calcs'!$B$75:$B$90</c:f>
              <c:strCache>
                <c:ptCount val="16"/>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pt idx="14">
                  <c:v>Distillate Fuel Oil</c:v>
                </c:pt>
                <c:pt idx="15">
                  <c:v>Kerosene</c:v>
                </c:pt>
              </c:strCache>
            </c:strRef>
          </c:cat>
          <c:val>
            <c:numRef>
              <c:f>'Stationary-Calcs'!$F$75:$F$90</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1EFA-448C-BFCC-A154DE46024A}"/>
            </c:ext>
          </c:extLst>
        </c:ser>
        <c:dLbls>
          <c:showLegendKey val="0"/>
          <c:showVal val="0"/>
          <c:showCatName val="0"/>
          <c:showSerName val="0"/>
          <c:showPercent val="0"/>
          <c:showBubbleSize val="0"/>
        </c:dLbls>
        <c:gapWidth val="250"/>
        <c:axId val="757230816"/>
        <c:axId val="757231208"/>
      </c:barChart>
      <c:barChart>
        <c:barDir val="col"/>
        <c:grouping val="clustered"/>
        <c:varyColors val="0"/>
        <c:ser>
          <c:idx val="1"/>
          <c:order val="1"/>
          <c:tx>
            <c:v>dummy1</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'Stationary-Calcs'!$P$75:$P$90</c:f>
              <c:numCache>
                <c:formatCode>_(* #,##0.00_);_(* \(#,##0.00\);_(* "-"??_);_(@_)</c:formatCode>
                <c:ptCount val="16"/>
              </c:numCache>
            </c:numRef>
          </c:val>
          <c:extLst>
            <c:ext xmlns:c16="http://schemas.microsoft.com/office/drawing/2014/chart" uri="{C3380CC4-5D6E-409C-BE32-E72D297353CC}">
              <c16:uniqueId val="{00000001-1EFA-448C-BFCC-A154DE46024A}"/>
            </c:ext>
          </c:extLst>
        </c:ser>
        <c:ser>
          <c:idx val="2"/>
          <c:order val="2"/>
          <c:tx>
            <c:v>dummy2</c:v>
          </c:tx>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'Stationary-Calcs'!$S$75:$S$90</c:f>
              <c:numCache>
                <c:formatCode>_(* #,##0.00_);_(* \(#,##0.00\);_(* "-"??_);_(@_)</c:formatCode>
                <c:ptCount val="16"/>
              </c:numCache>
            </c:numRef>
          </c:val>
          <c:extLst>
            <c:ext xmlns:c16="http://schemas.microsoft.com/office/drawing/2014/chart" uri="{C3380CC4-5D6E-409C-BE32-E72D297353CC}">
              <c16:uniqueId val="{00000002-1EFA-448C-BFCC-A154DE46024A}"/>
            </c:ext>
          </c:extLst>
        </c:ser>
        <c:ser>
          <c:idx val="3"/>
          <c:order val="3"/>
          <c:tx>
            <c:v>Energy Use</c:v>
          </c:tx>
          <c:spPr>
            <a:solidFill>
              <a:schemeClr val="accent1"/>
            </a:solidFill>
          </c:spPr>
          <c:invertIfNegative val="0"/>
          <c:cat>
            <c:strRef>
              <c:f>'Stationary-Calcs'!$B$75:$B$88</c:f>
              <c:strCache>
                <c:ptCount val="14"/>
                <c:pt idx="0">
                  <c:v>Natural Gas</c:v>
                </c:pt>
                <c:pt idx="1">
                  <c:v>Diesel</c:v>
                </c:pt>
                <c:pt idx="2">
                  <c:v>Gasoline</c:v>
                </c:pt>
                <c:pt idx="3">
                  <c:v>LPG</c:v>
                </c:pt>
                <c:pt idx="4">
                  <c:v>Propane</c:v>
                </c:pt>
                <c:pt idx="5">
                  <c:v>Butane</c:v>
                </c:pt>
                <c:pt idx="6">
                  <c:v>Residual Fuel Oil No. 5</c:v>
                </c:pt>
                <c:pt idx="7">
                  <c:v>Residual Fuel Oil No. 6</c:v>
                </c:pt>
                <c:pt idx="8">
                  <c:v>Jet Fuel</c:v>
                </c:pt>
                <c:pt idx="9">
                  <c:v>Residential Coal</c:v>
                </c:pt>
                <c:pt idx="10">
                  <c:v>Commercial Coal</c:v>
                </c:pt>
                <c:pt idx="11">
                  <c:v>Industrial Coal</c:v>
                </c:pt>
                <c:pt idx="12">
                  <c:v>Electric Power Coal</c:v>
                </c:pt>
                <c:pt idx="13">
                  <c:v>Digester Gas</c:v>
                </c:pt>
              </c:strCache>
            </c:strRef>
          </c:cat>
          <c:val>
            <c:numRef>
              <c:f>'Stationary-Calcs'!$L$75:$L$90</c:f>
              <c:numCache>
                <c:formatCode>_(* #,##0.00_);_(* \(#,##0.00\);_(*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3-1EFA-448C-BFCC-A154DE46024A}"/>
            </c:ext>
          </c:extLst>
        </c:ser>
        <c:dLbls>
          <c:showLegendKey val="0"/>
          <c:showVal val="0"/>
          <c:showCatName val="0"/>
          <c:showSerName val="0"/>
          <c:showPercent val="0"/>
          <c:showBubbleSize val="0"/>
        </c:dLbls>
        <c:gapWidth val="125"/>
        <c:axId val="757231992"/>
        <c:axId val="757224936"/>
      </c:barChart>
      <c:catAx>
        <c:axId val="757230816"/>
        <c:scaling>
          <c:orientation val="minMax"/>
        </c:scaling>
        <c:delete val="0"/>
        <c:axPos val="b"/>
        <c:numFmt formatCode="General" sourceLinked="0"/>
        <c:majorTickMark val="out"/>
        <c:minorTickMark val="none"/>
        <c:tickLblPos val="nextTo"/>
        <c:txPr>
          <a:bodyPr rot="0"/>
          <a:lstStyle/>
          <a:p>
            <a:pPr>
              <a:defRPr/>
            </a:pPr>
            <a:endParaRPr lang="en-US"/>
          </a:p>
        </c:txPr>
        <c:crossAx val="757231208"/>
        <c:crosses val="autoZero"/>
        <c:auto val="1"/>
        <c:lblAlgn val="ctr"/>
        <c:lblOffset val="100"/>
        <c:tickLblSkip val="1"/>
        <c:noMultiLvlLbl val="0"/>
      </c:catAx>
      <c:valAx>
        <c:axId val="757231208"/>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 #,##0_);_(* \(#,##0\);_(* &quot;-&quot;??_);_(@_)" sourceLinked="1"/>
        <c:majorTickMark val="out"/>
        <c:minorTickMark val="none"/>
        <c:tickLblPos val="nextTo"/>
        <c:crossAx val="757230816"/>
        <c:crosses val="autoZero"/>
        <c:crossBetween val="between"/>
      </c:valAx>
      <c:valAx>
        <c:axId val="757224936"/>
        <c:scaling>
          <c:orientation val="minMax"/>
        </c:scaling>
        <c:delete val="0"/>
        <c:axPos val="r"/>
        <c:title>
          <c:tx>
            <c:rich>
              <a:bodyPr rot="5400000" vert="horz"/>
              <a:lstStyle/>
              <a:p>
                <a:pPr>
                  <a:defRPr/>
                </a:pPr>
                <a:r>
                  <a:rPr lang="en-US"/>
                  <a:t>Energy Use (MMBtu)</a:t>
                </a:r>
              </a:p>
            </c:rich>
          </c:tx>
          <c:overlay val="0"/>
        </c:title>
        <c:numFmt formatCode="_(* #,##0.00_);_(* \(#,##0.00\);_(* &quot;-&quot;??_);_(@_)" sourceLinked="1"/>
        <c:majorTickMark val="out"/>
        <c:minorTickMark val="none"/>
        <c:tickLblPos val="nextTo"/>
        <c:crossAx val="757231992"/>
        <c:crosses val="max"/>
        <c:crossBetween val="between"/>
      </c:valAx>
      <c:catAx>
        <c:axId val="757231992"/>
        <c:scaling>
          <c:orientation val="minMax"/>
        </c:scaling>
        <c:delete val="1"/>
        <c:axPos val="b"/>
        <c:numFmt formatCode="General" sourceLinked="1"/>
        <c:majorTickMark val="out"/>
        <c:minorTickMark val="none"/>
        <c:tickLblPos val="none"/>
        <c:crossAx val="757224936"/>
        <c:crosses val="autoZero"/>
        <c:auto val="1"/>
        <c:lblAlgn val="ctr"/>
        <c:lblOffset val="100"/>
        <c:noMultiLvlLbl val="0"/>
      </c:catAx>
    </c:plotArea>
    <c:legend>
      <c:legendPos val="r"/>
      <c:legendEntry>
        <c:idx val="1"/>
        <c:delete val="1"/>
      </c:legendEntry>
      <c:legendEntry>
        <c:idx val="2"/>
        <c:delete val="1"/>
      </c:legendEntry>
      <c:layout>
        <c:manualLayout>
          <c:xMode val="edge"/>
          <c:yMode val="edge"/>
          <c:x val="6.6248129445397805E-2"/>
          <c:y val="2.0263102248786798E-2"/>
          <c:w val="7.3596376798331503E-2"/>
          <c:h val="0.137567097902286"/>
        </c:manualLayout>
      </c:layout>
      <c:overlay val="1"/>
    </c:legend>
    <c:plotVisOnly val="1"/>
    <c:dispBlanksAs val="gap"/>
    <c:showDLblsOverMax val="0"/>
  </c:chart>
  <c:printSettings>
    <c:headerFooter/>
    <c:pageMargins b="0.75000000000001499" l="0.70000000000000095" r="0.70000000000000095" t="0.75000000000001499"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by Department</a:t>
            </a:r>
          </a:p>
        </c:rich>
      </c:tx>
      <c:overlay val="0"/>
    </c:title>
    <c:autoTitleDeleted val="0"/>
    <c:plotArea>
      <c:layout>
        <c:manualLayout>
          <c:layoutTarget val="inner"/>
          <c:xMode val="edge"/>
          <c:yMode val="edge"/>
          <c:x val="0.100544279187324"/>
          <c:y val="0.12335827424557"/>
          <c:w val="0.8285338784206"/>
          <c:h val="0.65255611705253302"/>
        </c:manualLayout>
      </c:layout>
      <c:barChart>
        <c:barDir val="col"/>
        <c:grouping val="clustered"/>
        <c:varyColors val="0"/>
        <c:ser>
          <c:idx val="0"/>
          <c:order val="0"/>
          <c:tx>
            <c:v>Net Emissions</c:v>
          </c:tx>
          <c:spPr>
            <a:solidFill>
              <a:schemeClr val="accent3"/>
            </a:solidFill>
          </c:spPr>
          <c:invertIfNegative val="0"/>
          <c:cat>
            <c:strRef>
              <c:f>'Mobile-Summary'!$B$34:$B$53</c:f>
              <c:strCache>
                <c:ptCount val="4"/>
                <c:pt idx="0">
                  <c:v>Residential</c:v>
                </c:pt>
                <c:pt idx="1">
                  <c:v>Commercial/Institutional</c:v>
                </c:pt>
                <c:pt idx="2">
                  <c:v>Industrial</c:v>
                </c:pt>
                <c:pt idx="3">
                  <c:v>Energy Generation</c:v>
                </c:pt>
              </c:strCache>
            </c:strRef>
          </c:cat>
          <c:val>
            <c:numRef>
              <c:f>'Mobile-Summary'!$F$7:$F$26</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30C9-43AD-90E2-265A0BA44096}"/>
            </c:ext>
          </c:extLst>
        </c:ser>
        <c:dLbls>
          <c:showLegendKey val="0"/>
          <c:showVal val="0"/>
          <c:showCatName val="0"/>
          <c:showSerName val="0"/>
          <c:showPercent val="0"/>
          <c:showBubbleSize val="0"/>
        </c:dLbls>
        <c:gapWidth val="250"/>
        <c:overlap val="100"/>
        <c:axId val="622447704"/>
        <c:axId val="622444176"/>
      </c:barChart>
      <c:catAx>
        <c:axId val="622447704"/>
        <c:scaling>
          <c:orientation val="minMax"/>
        </c:scaling>
        <c:delete val="0"/>
        <c:axPos val="b"/>
        <c:numFmt formatCode="General" sourceLinked="1"/>
        <c:majorTickMark val="out"/>
        <c:minorTickMark val="none"/>
        <c:tickLblPos val="nextTo"/>
        <c:crossAx val="622444176"/>
        <c:crosses val="autoZero"/>
        <c:auto val="1"/>
        <c:lblAlgn val="ctr"/>
        <c:lblOffset val="100"/>
        <c:noMultiLvlLbl val="0"/>
      </c:catAx>
      <c:valAx>
        <c:axId val="622444176"/>
        <c:scaling>
          <c:orientation val="minMax"/>
        </c:scaling>
        <c:delete val="0"/>
        <c:axPos val="l"/>
        <c:majorGridlines>
          <c:spPr>
            <a:ln>
              <a:prstDash val="sysDot"/>
            </a:ln>
          </c:spPr>
        </c:majorGridlines>
        <c:title>
          <c:tx>
            <c:rich>
              <a:bodyPr rot="-5400000" vert="horz"/>
              <a:lstStyle/>
              <a:p>
                <a:pPr>
                  <a:defRPr/>
                </a:pPr>
                <a:r>
                  <a:rPr lang="en-US"/>
                  <a:t>Net Emissions (CO2e)</a:t>
                </a:r>
              </a:p>
            </c:rich>
          </c:tx>
          <c:overlay val="0"/>
        </c:title>
        <c:numFmt formatCode="_(#,##0_);_(\(#,##0\);_(&quot;-&quot;_);_(@_)" sourceLinked="1"/>
        <c:majorTickMark val="out"/>
        <c:minorTickMark val="none"/>
        <c:tickLblPos val="nextTo"/>
        <c:crossAx val="622447704"/>
        <c:crosses val="autoZero"/>
        <c:crossBetween val="between"/>
      </c:valAx>
    </c:plotArea>
    <c:legend>
      <c:legendPos val="l"/>
      <c:layout>
        <c:manualLayout>
          <c:xMode val="edge"/>
          <c:yMode val="edge"/>
          <c:x val="1.2799704326141857E-2"/>
          <c:y val="2.463371397946984E-2"/>
          <c:w val="0.107238144592072"/>
          <c:h val="7.02017471696635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Energy Use by Department</a:t>
            </a:r>
          </a:p>
        </c:rich>
      </c:tx>
      <c:overlay val="0"/>
    </c:title>
    <c:autoTitleDeleted val="0"/>
    <c:plotArea>
      <c:layout>
        <c:manualLayout>
          <c:layoutTarget val="inner"/>
          <c:xMode val="edge"/>
          <c:yMode val="edge"/>
          <c:x val="0.100544279187324"/>
          <c:y val="0.12335827424557"/>
          <c:w val="0.8285338784206"/>
          <c:h val="0.65255611705253302"/>
        </c:manualLayout>
      </c:layout>
      <c:barChart>
        <c:barDir val="col"/>
        <c:grouping val="clustered"/>
        <c:varyColors val="0"/>
        <c:ser>
          <c:idx val="1"/>
          <c:order val="0"/>
          <c:tx>
            <c:v>Energy Use</c:v>
          </c:tx>
          <c:spPr>
            <a:solidFill>
              <a:schemeClr val="accent1"/>
            </a:solidFill>
          </c:spPr>
          <c:invertIfNegative val="0"/>
          <c:cat>
            <c:strRef>
              <c:f>'Mobile-Summary'!$B$34:$B$53</c:f>
              <c:strCache>
                <c:ptCount val="4"/>
                <c:pt idx="0">
                  <c:v>Residential</c:v>
                </c:pt>
                <c:pt idx="1">
                  <c:v>Commercial/Institutional</c:v>
                </c:pt>
                <c:pt idx="2">
                  <c:v>Industrial</c:v>
                </c:pt>
                <c:pt idx="3">
                  <c:v>Energy Generation</c:v>
                </c:pt>
              </c:strCache>
            </c:strRef>
          </c:cat>
          <c:val>
            <c:numRef>
              <c:f>'Mobile-Summary'!$N$34:$N$53</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1D7D-4A77-BA7A-850DC94964EA}"/>
            </c:ext>
          </c:extLst>
        </c:ser>
        <c:dLbls>
          <c:showLegendKey val="0"/>
          <c:showVal val="0"/>
          <c:showCatName val="0"/>
          <c:showSerName val="0"/>
          <c:showPercent val="0"/>
          <c:showBubbleSize val="0"/>
        </c:dLbls>
        <c:gapWidth val="150"/>
        <c:axId val="622443784"/>
        <c:axId val="622444960"/>
      </c:barChart>
      <c:catAx>
        <c:axId val="622443784"/>
        <c:scaling>
          <c:orientation val="minMax"/>
        </c:scaling>
        <c:delete val="0"/>
        <c:axPos val="b"/>
        <c:numFmt formatCode="General" sourceLinked="1"/>
        <c:majorTickMark val="out"/>
        <c:minorTickMark val="none"/>
        <c:tickLblPos val="nextTo"/>
        <c:crossAx val="622444960"/>
        <c:crosses val="autoZero"/>
        <c:auto val="1"/>
        <c:lblAlgn val="ctr"/>
        <c:lblOffset val="100"/>
        <c:noMultiLvlLbl val="0"/>
      </c:catAx>
      <c:valAx>
        <c:axId val="622444960"/>
        <c:scaling>
          <c:orientation val="minMax"/>
        </c:scaling>
        <c:delete val="0"/>
        <c:axPos val="l"/>
        <c:majorGridlines>
          <c:spPr>
            <a:ln>
              <a:prstDash val="sysDot"/>
            </a:ln>
          </c:spPr>
        </c:majorGridlines>
        <c:title>
          <c:tx>
            <c:rich>
              <a:bodyPr rot="-5400000" vert="horz"/>
              <a:lstStyle/>
              <a:p>
                <a:pPr>
                  <a:defRPr/>
                </a:pPr>
                <a:r>
                  <a:rPr lang="en-US"/>
                  <a:t>Energy Use</a:t>
                </a:r>
                <a:r>
                  <a:rPr lang="en-US" baseline="0"/>
                  <a:t> (MMBtu)</a:t>
                </a:r>
                <a:endParaRPr lang="en-US"/>
              </a:p>
            </c:rich>
          </c:tx>
          <c:overlay val="0"/>
        </c:title>
        <c:numFmt formatCode="_(#,##0_);_(\(#,##0\);_(&quot;-&quot;_);_(@_)" sourceLinked="1"/>
        <c:majorTickMark val="out"/>
        <c:minorTickMark val="none"/>
        <c:tickLblPos val="nextTo"/>
        <c:crossAx val="622443784"/>
        <c:crosses val="autoZero"/>
        <c:crossBetween val="between"/>
      </c:valAx>
    </c:plotArea>
    <c:legend>
      <c:legendPos val="l"/>
      <c:layout>
        <c:manualLayout>
          <c:xMode val="edge"/>
          <c:yMode val="edge"/>
          <c:x val="8.4858494872018051E-3"/>
          <c:y val="1.5479531610864251E-2"/>
          <c:w val="0.107238144592072"/>
          <c:h val="7.02017471696635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and Energy Use by Sector</a:t>
            </a:r>
          </a:p>
        </c:rich>
      </c:tx>
      <c:overlay val="0"/>
    </c:title>
    <c:autoTitleDeleted val="0"/>
    <c:plotArea>
      <c:layout>
        <c:manualLayout>
          <c:layoutTarget val="inner"/>
          <c:xMode val="edge"/>
          <c:yMode val="edge"/>
          <c:x val="0.100544279187324"/>
          <c:y val="0.12335827424557"/>
          <c:w val="0.8285338784206"/>
          <c:h val="0.65255611705253302"/>
        </c:manualLayout>
      </c:layout>
      <c:barChart>
        <c:barDir val="col"/>
        <c:grouping val="clustered"/>
        <c:varyColors val="0"/>
        <c:ser>
          <c:idx val="0"/>
          <c:order val="0"/>
          <c:tx>
            <c:v>Net Emissions</c:v>
          </c:tx>
          <c:spPr>
            <a:solidFill>
              <a:schemeClr val="accent3"/>
            </a:solidFill>
          </c:spPr>
          <c:invertIfNegative val="0"/>
          <c:cat>
            <c:strRef>
              <c:f>'Mobile-Summary'!$B$34:$B$53</c:f>
              <c:strCache>
                <c:ptCount val="4"/>
                <c:pt idx="0">
                  <c:v>Residential</c:v>
                </c:pt>
                <c:pt idx="1">
                  <c:v>Commercial/Institutional</c:v>
                </c:pt>
                <c:pt idx="2">
                  <c:v>Industrial</c:v>
                </c:pt>
                <c:pt idx="3">
                  <c:v>Energy Generation</c:v>
                </c:pt>
              </c:strCache>
            </c:strRef>
          </c:cat>
          <c:val>
            <c:numRef>
              <c:f>'Mobile-Summary'!$F$7:$F$26</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0-F7D8-4F00-9B58-740E7379F827}"/>
            </c:ext>
          </c:extLst>
        </c:ser>
        <c:dLbls>
          <c:showLegendKey val="0"/>
          <c:showVal val="0"/>
          <c:showCatName val="0"/>
          <c:showSerName val="0"/>
          <c:showPercent val="0"/>
          <c:showBubbleSize val="0"/>
        </c:dLbls>
        <c:gapWidth val="250"/>
        <c:overlap val="100"/>
        <c:axId val="622445744"/>
        <c:axId val="622446528"/>
      </c:barChart>
      <c:barChart>
        <c:barDir val="col"/>
        <c:grouping val="clustered"/>
        <c:varyColors val="0"/>
        <c:ser>
          <c:idx val="2"/>
          <c:order val="1"/>
          <c:tx>
            <c:v>Dummy 1</c:v>
          </c:tx>
          <c:invertIfNegative val="0"/>
          <c:cat>
            <c:strRef>
              <c:f>'Mobile-Summary'!$B$34:$B$53</c:f>
              <c:strCache>
                <c:ptCount val="4"/>
                <c:pt idx="0">
                  <c:v>Residential</c:v>
                </c:pt>
                <c:pt idx="1">
                  <c:v>Commercial/Institutional</c:v>
                </c:pt>
                <c:pt idx="2">
                  <c:v>Industrial</c:v>
                </c:pt>
                <c:pt idx="3">
                  <c:v>Energy Generation</c:v>
                </c:pt>
              </c:strCache>
            </c:strRef>
          </c:cat>
          <c:val>
            <c:numRef>
              <c:f>'Mobile-Summary'!$O$34:$O$53</c:f>
              <c:numCache>
                <c:formatCode>General</c:formatCode>
                <c:ptCount val="4"/>
              </c:numCache>
            </c:numRef>
          </c:val>
          <c:extLst>
            <c:ext xmlns:c16="http://schemas.microsoft.com/office/drawing/2014/chart" uri="{C3380CC4-5D6E-409C-BE32-E72D297353CC}">
              <c16:uniqueId val="{00000001-F7D8-4F00-9B58-740E7379F827}"/>
            </c:ext>
          </c:extLst>
        </c:ser>
        <c:ser>
          <c:idx val="3"/>
          <c:order val="2"/>
          <c:tx>
            <c:v>Dummy 2</c:v>
          </c:tx>
          <c:invertIfNegative val="0"/>
          <c:cat>
            <c:strRef>
              <c:f>'Mobile-Summary'!$B$34:$B$53</c:f>
              <c:strCache>
                <c:ptCount val="4"/>
                <c:pt idx="0">
                  <c:v>Residential</c:v>
                </c:pt>
                <c:pt idx="1">
                  <c:v>Commercial/Institutional</c:v>
                </c:pt>
                <c:pt idx="2">
                  <c:v>Industrial</c:v>
                </c:pt>
                <c:pt idx="3">
                  <c:v>Energy Generation</c:v>
                </c:pt>
              </c:strCache>
            </c:strRef>
          </c:cat>
          <c:val>
            <c:numRef>
              <c:f>'Mobile-Summary'!$P$34:$P$53</c:f>
              <c:numCache>
                <c:formatCode>General</c:formatCode>
                <c:ptCount val="4"/>
              </c:numCache>
            </c:numRef>
          </c:val>
          <c:extLst>
            <c:ext xmlns:c16="http://schemas.microsoft.com/office/drawing/2014/chart" uri="{C3380CC4-5D6E-409C-BE32-E72D297353CC}">
              <c16:uniqueId val="{00000002-F7D8-4F00-9B58-740E7379F827}"/>
            </c:ext>
          </c:extLst>
        </c:ser>
        <c:ser>
          <c:idx val="1"/>
          <c:order val="3"/>
          <c:tx>
            <c:v>Energy Use</c:v>
          </c:tx>
          <c:spPr>
            <a:solidFill>
              <a:schemeClr val="accent1"/>
            </a:solidFill>
          </c:spPr>
          <c:invertIfNegative val="0"/>
          <c:cat>
            <c:strRef>
              <c:f>'Mobile-Summary'!$B$34:$B$53</c:f>
              <c:strCache>
                <c:ptCount val="4"/>
                <c:pt idx="0">
                  <c:v>Residential</c:v>
                </c:pt>
                <c:pt idx="1">
                  <c:v>Commercial/Institutional</c:v>
                </c:pt>
                <c:pt idx="2">
                  <c:v>Industrial</c:v>
                </c:pt>
                <c:pt idx="3">
                  <c:v>Energy Generation</c:v>
                </c:pt>
              </c:strCache>
            </c:strRef>
          </c:cat>
          <c:val>
            <c:numRef>
              <c:f>'Mobile-Summary'!$N$34:$N$53</c:f>
              <c:numCache>
                <c:formatCode>_(#,##0_);_(\(#,##0\);_("-"_);_(@_)</c:formatCode>
                <c:ptCount val="4"/>
                <c:pt idx="0">
                  <c:v>0</c:v>
                </c:pt>
                <c:pt idx="1">
                  <c:v>0</c:v>
                </c:pt>
                <c:pt idx="2">
                  <c:v>0</c:v>
                </c:pt>
                <c:pt idx="3">
                  <c:v>0</c:v>
                </c:pt>
              </c:numCache>
            </c:numRef>
          </c:val>
          <c:extLst>
            <c:ext xmlns:c16="http://schemas.microsoft.com/office/drawing/2014/chart" uri="{C3380CC4-5D6E-409C-BE32-E72D297353CC}">
              <c16:uniqueId val="{00000003-F7D8-4F00-9B58-740E7379F827}"/>
            </c:ext>
          </c:extLst>
        </c:ser>
        <c:dLbls>
          <c:showLegendKey val="0"/>
          <c:showVal val="0"/>
          <c:showCatName val="0"/>
          <c:showSerName val="0"/>
          <c:showPercent val="0"/>
          <c:showBubbleSize val="0"/>
        </c:dLbls>
        <c:gapWidth val="150"/>
        <c:axId val="622446920"/>
        <c:axId val="622446136"/>
      </c:barChart>
      <c:catAx>
        <c:axId val="622445744"/>
        <c:scaling>
          <c:orientation val="minMax"/>
        </c:scaling>
        <c:delete val="0"/>
        <c:axPos val="b"/>
        <c:numFmt formatCode="General" sourceLinked="1"/>
        <c:majorTickMark val="out"/>
        <c:minorTickMark val="none"/>
        <c:tickLblPos val="nextTo"/>
        <c:crossAx val="622446528"/>
        <c:crosses val="autoZero"/>
        <c:auto val="1"/>
        <c:lblAlgn val="ctr"/>
        <c:lblOffset val="100"/>
        <c:noMultiLvlLbl val="0"/>
      </c:catAx>
      <c:valAx>
        <c:axId val="622446528"/>
        <c:scaling>
          <c:orientation val="minMax"/>
        </c:scaling>
        <c:delete val="0"/>
        <c:axPos val="l"/>
        <c:majorGridlines>
          <c:spPr>
            <a:ln>
              <a:prstDash val="sysDot"/>
            </a:ln>
          </c:spPr>
        </c:majorGridlines>
        <c:title>
          <c:tx>
            <c:rich>
              <a:bodyPr rot="-5400000" vert="horz"/>
              <a:lstStyle/>
              <a:p>
                <a:pPr>
                  <a:defRPr/>
                </a:pPr>
                <a:r>
                  <a:rPr lang="en-US"/>
                  <a:t>Net Emissions (CO2e)</a:t>
                </a:r>
              </a:p>
            </c:rich>
          </c:tx>
          <c:overlay val="0"/>
        </c:title>
        <c:numFmt formatCode="_(#,##0_);_(\(#,##0\);_(&quot;-&quot;_);_(@_)" sourceLinked="1"/>
        <c:majorTickMark val="out"/>
        <c:minorTickMark val="none"/>
        <c:tickLblPos val="nextTo"/>
        <c:crossAx val="622445744"/>
        <c:crosses val="autoZero"/>
        <c:crossBetween val="between"/>
      </c:valAx>
      <c:valAx>
        <c:axId val="622446136"/>
        <c:scaling>
          <c:orientation val="minMax"/>
        </c:scaling>
        <c:delete val="0"/>
        <c:axPos val="r"/>
        <c:title>
          <c:tx>
            <c:rich>
              <a:bodyPr rot="5400000" vert="horz"/>
              <a:lstStyle/>
              <a:p>
                <a:pPr>
                  <a:defRPr/>
                </a:pPr>
                <a:r>
                  <a:rPr lang="en-US"/>
                  <a:t>Energy Use (MMBtu)</a:t>
                </a:r>
              </a:p>
            </c:rich>
          </c:tx>
          <c:overlay val="0"/>
        </c:title>
        <c:numFmt formatCode="General" sourceLinked="1"/>
        <c:majorTickMark val="out"/>
        <c:minorTickMark val="none"/>
        <c:tickLblPos val="nextTo"/>
        <c:crossAx val="622446920"/>
        <c:crosses val="max"/>
        <c:crossBetween val="between"/>
      </c:valAx>
      <c:catAx>
        <c:axId val="622446920"/>
        <c:scaling>
          <c:orientation val="minMax"/>
        </c:scaling>
        <c:delete val="1"/>
        <c:axPos val="b"/>
        <c:numFmt formatCode="General" sourceLinked="1"/>
        <c:majorTickMark val="out"/>
        <c:minorTickMark val="none"/>
        <c:tickLblPos val="none"/>
        <c:crossAx val="622446136"/>
        <c:crosses val="autoZero"/>
        <c:auto val="1"/>
        <c:lblAlgn val="ctr"/>
        <c:lblOffset val="100"/>
        <c:noMultiLvlLbl val="0"/>
      </c:catAx>
    </c:plotArea>
    <c:legend>
      <c:legendPos val="l"/>
      <c:legendEntry>
        <c:idx val="1"/>
        <c:delete val="1"/>
      </c:legendEntry>
      <c:legendEntry>
        <c:idx val="2"/>
        <c:delete val="1"/>
      </c:legendEntry>
      <c:layout>
        <c:manualLayout>
          <c:xMode val="edge"/>
          <c:yMode val="edge"/>
          <c:x val="7.4074074074074103E-3"/>
          <c:y val="1.54795575926144E-2"/>
          <c:w val="0.21327102167784601"/>
          <c:h val="7.02017471696635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Landfill Emissions by LFG Collection System</a:t>
            </a:r>
          </a:p>
        </c:rich>
      </c:tx>
      <c:overlay val="0"/>
    </c:title>
    <c:autoTitleDeleted val="0"/>
    <c:plotArea>
      <c:layout/>
      <c:barChart>
        <c:barDir val="col"/>
        <c:grouping val="clustered"/>
        <c:varyColors val="0"/>
        <c:ser>
          <c:idx val="0"/>
          <c:order val="0"/>
          <c:tx>
            <c:v>Methane Emissions</c:v>
          </c:tx>
          <c:spPr>
            <a:solidFill>
              <a:schemeClr val="accent3"/>
            </a:solidFill>
          </c:spPr>
          <c:invertIfNegative val="0"/>
          <c:cat>
            <c:strRef>
              <c:f>'Solid Waste-Entry'!$B$79:$B$81</c:f>
              <c:strCache>
                <c:ptCount val="3"/>
                <c:pt idx="0">
                  <c:v>No LFG collection</c:v>
                </c:pt>
                <c:pt idx="1">
                  <c:v>Comprehensive LFG Collection</c:v>
                </c:pt>
                <c:pt idx="2">
                  <c:v>Partial LFG Collection</c:v>
                </c:pt>
              </c:strCache>
            </c:strRef>
          </c:cat>
          <c:val>
            <c:numRef>
              <c:f>'Solid Waste-Entry'!$C$79:$C$81</c:f>
              <c:numCache>
                <c:formatCode>_(#,##0_);_(\(#,##0\);_("-"_);_(@_)</c:formatCode>
                <c:ptCount val="3"/>
                <c:pt idx="0">
                  <c:v>0</c:v>
                </c:pt>
                <c:pt idx="1">
                  <c:v>0</c:v>
                </c:pt>
                <c:pt idx="2">
                  <c:v>0</c:v>
                </c:pt>
              </c:numCache>
            </c:numRef>
          </c:val>
          <c:extLst>
            <c:ext xmlns:c16="http://schemas.microsoft.com/office/drawing/2014/chart" uri="{C3380CC4-5D6E-409C-BE32-E72D297353CC}">
              <c16:uniqueId val="{00000000-2D51-4716-B575-7F2E02EB8128}"/>
            </c:ext>
          </c:extLst>
        </c:ser>
        <c:dLbls>
          <c:showLegendKey val="0"/>
          <c:showVal val="0"/>
          <c:showCatName val="0"/>
          <c:showSerName val="0"/>
          <c:showPercent val="0"/>
          <c:showBubbleSize val="0"/>
        </c:dLbls>
        <c:gapWidth val="150"/>
        <c:axId val="622450448"/>
        <c:axId val="622448096"/>
      </c:barChart>
      <c:catAx>
        <c:axId val="622450448"/>
        <c:scaling>
          <c:orientation val="minMax"/>
        </c:scaling>
        <c:delete val="0"/>
        <c:axPos val="b"/>
        <c:numFmt formatCode="General" sourceLinked="1"/>
        <c:majorTickMark val="out"/>
        <c:minorTickMark val="none"/>
        <c:tickLblPos val="nextTo"/>
        <c:crossAx val="622448096"/>
        <c:crosses val="autoZero"/>
        <c:auto val="1"/>
        <c:lblAlgn val="ctr"/>
        <c:lblOffset val="100"/>
        <c:noMultiLvlLbl val="0"/>
      </c:catAx>
      <c:valAx>
        <c:axId val="622448096"/>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0_);_(\(#,##0\);_(&quot;-&quot;_);_(@_)" sourceLinked="1"/>
        <c:majorTickMark val="out"/>
        <c:minorTickMark val="none"/>
        <c:tickLblPos val="nextTo"/>
        <c:crossAx val="622450448"/>
        <c:crosses val="autoZero"/>
        <c:crossBetween val="between"/>
      </c:valAx>
    </c:plotArea>
    <c:plotVisOnly val="1"/>
    <c:dispBlanksAs val="gap"/>
    <c:showDLblsOverMax val="0"/>
  </c:chart>
  <c:printSettings>
    <c:headerFooter/>
    <c:pageMargins b="0.75000000000001299" l="0.70000000000000095" r="0.70000000000000095" t="0.75000000000001299"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Wastewater</a:t>
            </a:r>
            <a:r>
              <a:rPr lang="en-US" baseline="0"/>
              <a:t> Treatment Emissions</a:t>
            </a:r>
            <a:endParaRPr lang="en-US"/>
          </a:p>
        </c:rich>
      </c:tx>
      <c:overlay val="0"/>
    </c:title>
    <c:autoTitleDeleted val="0"/>
    <c:plotArea>
      <c:layout/>
      <c:barChart>
        <c:barDir val="col"/>
        <c:grouping val="clustered"/>
        <c:varyColors val="0"/>
        <c:ser>
          <c:idx val="0"/>
          <c:order val="0"/>
          <c:invertIfNegative val="0"/>
          <c:dPt>
            <c:idx val="1"/>
            <c:invertIfNegative val="0"/>
            <c:bubble3D val="0"/>
            <c:spPr>
              <a:solidFill>
                <a:schemeClr val="accent3">
                  <a:lumMod val="60000"/>
                  <a:lumOff val="40000"/>
                </a:schemeClr>
              </a:solidFill>
            </c:spPr>
            <c:extLst>
              <c:ext xmlns:c16="http://schemas.microsoft.com/office/drawing/2014/chart" uri="{C3380CC4-5D6E-409C-BE32-E72D297353CC}">
                <c16:uniqueId val="{00000001-AA41-4AD4-B4D0-E8A2A7B57589}"/>
              </c:ext>
            </c:extLst>
          </c:dPt>
          <c:dPt>
            <c:idx val="2"/>
            <c:invertIfNegative val="0"/>
            <c:bubble3D val="0"/>
            <c:spPr>
              <a:solidFill>
                <a:schemeClr val="bg2">
                  <a:lumMod val="75000"/>
                </a:schemeClr>
              </a:solidFill>
            </c:spPr>
            <c:extLst>
              <c:ext xmlns:c16="http://schemas.microsoft.com/office/drawing/2014/chart" uri="{C3380CC4-5D6E-409C-BE32-E72D297353CC}">
                <c16:uniqueId val="{00000003-AA41-4AD4-B4D0-E8A2A7B57589}"/>
              </c:ext>
            </c:extLst>
          </c:dPt>
          <c:cat>
            <c:strRef>
              <c:f>'Wastewater- Calcs'!$B$14:$B$16</c:f>
              <c:strCache>
                <c:ptCount val="3"/>
                <c:pt idx="0">
                  <c:v>CO2</c:v>
                </c:pt>
                <c:pt idx="1">
                  <c:v>CH4</c:v>
                </c:pt>
                <c:pt idx="2">
                  <c:v>N2O</c:v>
                </c:pt>
              </c:strCache>
            </c:strRef>
          </c:cat>
          <c:val>
            <c:numRef>
              <c:f>'Wastewater- Calcs'!$D$14:$D$16</c:f>
              <c:numCache>
                <c:formatCode>_(#,##0.00_);_(\(#,##0\);_("-"_);_(@_)</c:formatCode>
                <c:ptCount val="3"/>
                <c:pt idx="0">
                  <c:v>0</c:v>
                </c:pt>
                <c:pt idx="1">
                  <c:v>0</c:v>
                </c:pt>
                <c:pt idx="2">
                  <c:v>0</c:v>
                </c:pt>
              </c:numCache>
            </c:numRef>
          </c:val>
          <c:extLst>
            <c:ext xmlns:c16="http://schemas.microsoft.com/office/drawing/2014/chart" uri="{C3380CC4-5D6E-409C-BE32-E72D297353CC}">
              <c16:uniqueId val="{00000004-AA41-4AD4-B4D0-E8A2A7B57589}"/>
            </c:ext>
          </c:extLst>
        </c:ser>
        <c:dLbls>
          <c:showLegendKey val="0"/>
          <c:showVal val="0"/>
          <c:showCatName val="0"/>
          <c:showSerName val="0"/>
          <c:showPercent val="0"/>
          <c:showBubbleSize val="0"/>
        </c:dLbls>
        <c:gapWidth val="150"/>
        <c:axId val="564172336"/>
        <c:axId val="564172728"/>
      </c:barChart>
      <c:catAx>
        <c:axId val="564172336"/>
        <c:scaling>
          <c:orientation val="minMax"/>
        </c:scaling>
        <c:delete val="0"/>
        <c:axPos val="b"/>
        <c:numFmt formatCode="General" sourceLinked="0"/>
        <c:majorTickMark val="out"/>
        <c:minorTickMark val="none"/>
        <c:tickLblPos val="nextTo"/>
        <c:crossAx val="564172728"/>
        <c:crosses val="autoZero"/>
        <c:auto val="1"/>
        <c:lblAlgn val="ctr"/>
        <c:lblOffset val="100"/>
        <c:noMultiLvlLbl val="0"/>
      </c:catAx>
      <c:valAx>
        <c:axId val="564172728"/>
        <c:scaling>
          <c:orientation val="minMax"/>
        </c:scaling>
        <c:delete val="0"/>
        <c:axPos val="l"/>
        <c:majorGridlines>
          <c:spPr>
            <a:ln>
              <a:prstDash val="sysDot"/>
            </a:ln>
          </c:spPr>
        </c:majorGridlines>
        <c:title>
          <c:tx>
            <c:rich>
              <a:bodyPr rot="-5400000" vert="horz"/>
              <a:lstStyle/>
              <a:p>
                <a:pPr>
                  <a:defRPr/>
                </a:pPr>
                <a:r>
                  <a:rPr lang="en-US"/>
                  <a:t>MT CO2e</a:t>
                </a:r>
              </a:p>
            </c:rich>
          </c:tx>
          <c:overlay val="0"/>
        </c:title>
        <c:numFmt formatCode="_(#,##0.00_);_(\(#,##0\);_(&quot;-&quot;_);_(@_)" sourceLinked="1"/>
        <c:majorTickMark val="out"/>
        <c:minorTickMark val="none"/>
        <c:tickLblPos val="nextTo"/>
        <c:crossAx val="564172336"/>
        <c:crosses val="autoZero"/>
        <c:crossBetween val="between"/>
      </c:valAx>
    </c:plotArea>
    <c:plotVisOnly val="1"/>
    <c:dispBlanksAs val="gap"/>
    <c:showDLblsOverMax val="0"/>
  </c:chart>
  <c:printSettings>
    <c:headerFooter/>
    <c:pageMargins b="0.750000000000004" l="0.70000000000000095" r="0.70000000000000095" t="0.750000000000004"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by Sector</a:t>
            </a:r>
          </a:p>
        </c:rich>
      </c:tx>
      <c:overlay val="0"/>
    </c:title>
    <c:autoTitleDeleted val="0"/>
    <c:plotArea>
      <c:layout/>
      <c:barChart>
        <c:barDir val="col"/>
        <c:grouping val="clustered"/>
        <c:varyColors val="0"/>
        <c:ser>
          <c:idx val="3"/>
          <c:order val="0"/>
          <c:tx>
            <c:strRef>
              <c:f>'Electricity LocationBased-Calcs'!$F$19</c:f>
              <c:strCache>
                <c:ptCount val="1"/>
                <c:pt idx="0">
                  <c:v>Total</c:v>
                </c:pt>
              </c:strCache>
            </c:strRef>
          </c:tx>
          <c:spPr>
            <a:solidFill>
              <a:schemeClr val="accent3"/>
            </a:solidFill>
          </c:spPr>
          <c:invertIfNegative val="0"/>
          <c:cat>
            <c:strRef>
              <c:f>'Electricity LocationBased-Calcs'!$B$20:$B$39</c:f>
              <c:strCache>
                <c:ptCount val="4"/>
                <c:pt idx="0">
                  <c:v>Residential</c:v>
                </c:pt>
                <c:pt idx="1">
                  <c:v>Commercial/Institutional</c:v>
                </c:pt>
                <c:pt idx="2">
                  <c:v>Industrial</c:v>
                </c:pt>
                <c:pt idx="3">
                  <c:v>Energy Generation</c:v>
                </c:pt>
              </c:strCache>
            </c:strRef>
          </c:cat>
          <c:val>
            <c:numRef>
              <c:f>'Electricity LocationBased-Calcs'!$F$20:$F$39</c:f>
              <c:numCache>
                <c:formatCode>_(#,##0.0_);_(\(#,##0\);_("-"_);_(@_)</c:formatCode>
                <c:ptCount val="4"/>
                <c:pt idx="0">
                  <c:v>0</c:v>
                </c:pt>
                <c:pt idx="1">
                  <c:v>0</c:v>
                </c:pt>
                <c:pt idx="2">
                  <c:v>0</c:v>
                </c:pt>
                <c:pt idx="3">
                  <c:v>0</c:v>
                </c:pt>
              </c:numCache>
            </c:numRef>
          </c:val>
          <c:extLst>
            <c:ext xmlns:c16="http://schemas.microsoft.com/office/drawing/2014/chart" uri="{C3380CC4-5D6E-409C-BE32-E72D297353CC}">
              <c16:uniqueId val="{00000000-5690-4E78-A6D2-275599AB53C6}"/>
            </c:ext>
          </c:extLst>
        </c:ser>
        <c:dLbls>
          <c:showLegendKey val="0"/>
          <c:showVal val="0"/>
          <c:showCatName val="0"/>
          <c:showSerName val="0"/>
          <c:showPercent val="0"/>
          <c:showBubbleSize val="0"/>
        </c:dLbls>
        <c:gapWidth val="150"/>
        <c:axId val="564175080"/>
        <c:axId val="564175472"/>
      </c:barChart>
      <c:catAx>
        <c:axId val="564175080"/>
        <c:scaling>
          <c:orientation val="minMax"/>
        </c:scaling>
        <c:delete val="0"/>
        <c:axPos val="b"/>
        <c:numFmt formatCode="General" sourceLinked="1"/>
        <c:majorTickMark val="out"/>
        <c:minorTickMark val="none"/>
        <c:tickLblPos val="nextTo"/>
        <c:txPr>
          <a:bodyPr rot="-1140000"/>
          <a:lstStyle/>
          <a:p>
            <a:pPr>
              <a:defRPr/>
            </a:pPr>
            <a:endParaRPr lang="en-US"/>
          </a:p>
        </c:txPr>
        <c:crossAx val="564175472"/>
        <c:crosses val="autoZero"/>
        <c:auto val="1"/>
        <c:lblAlgn val="ctr"/>
        <c:lblOffset val="100"/>
        <c:noMultiLvlLbl val="0"/>
      </c:catAx>
      <c:valAx>
        <c:axId val="564175472"/>
        <c:scaling>
          <c:orientation val="minMax"/>
        </c:scaling>
        <c:delete val="0"/>
        <c:axPos val="l"/>
        <c:majorGridlines>
          <c:spPr>
            <a:ln>
              <a:prstDash val="sysDot"/>
            </a:ln>
          </c:spPr>
        </c:majorGridlines>
        <c:title>
          <c:tx>
            <c:rich>
              <a:bodyPr rot="-5400000" vert="horz"/>
              <a:lstStyle/>
              <a:p>
                <a:pPr>
                  <a:defRPr/>
                </a:pPr>
                <a:r>
                  <a:rPr lang="en-US"/>
                  <a:t>Emissions (MT</a:t>
                </a:r>
                <a:r>
                  <a:rPr lang="en-US" baseline="0"/>
                  <a:t> CO2e)</a:t>
                </a:r>
                <a:endParaRPr lang="en-US"/>
              </a:p>
            </c:rich>
          </c:tx>
          <c:overlay val="0"/>
        </c:title>
        <c:numFmt formatCode="_(#,##0.0_);_(\(#,##0\);_(&quot;-&quot;_);_(@_)" sourceLinked="1"/>
        <c:majorTickMark val="out"/>
        <c:minorTickMark val="none"/>
        <c:tickLblPos val="nextTo"/>
        <c:crossAx val="564175080"/>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Electricity</a:t>
            </a:r>
            <a:r>
              <a:rPr lang="en-US" sz="1400" baseline="0"/>
              <a:t> Use by Sector</a:t>
            </a:r>
            <a:endParaRPr lang="en-US" sz="1400"/>
          </a:p>
        </c:rich>
      </c:tx>
      <c:overlay val="0"/>
    </c:title>
    <c:autoTitleDeleted val="0"/>
    <c:plotArea>
      <c:layout/>
      <c:barChart>
        <c:barDir val="col"/>
        <c:grouping val="clustered"/>
        <c:varyColors val="0"/>
        <c:ser>
          <c:idx val="1"/>
          <c:order val="0"/>
          <c:tx>
            <c:v>Electricity Use</c:v>
          </c:tx>
          <c:invertIfNegative val="0"/>
          <c:cat>
            <c:strRef>
              <c:f>'Electricity LocationBased-Calcs'!$B$64:$B$83</c:f>
              <c:strCache>
                <c:ptCount val="4"/>
                <c:pt idx="0">
                  <c:v>Residential</c:v>
                </c:pt>
                <c:pt idx="1">
                  <c:v>Commercial/Institutional</c:v>
                </c:pt>
                <c:pt idx="2">
                  <c:v>Industrial</c:v>
                </c:pt>
                <c:pt idx="3">
                  <c:v>Energy Generation</c:v>
                </c:pt>
              </c:strCache>
            </c:strRef>
          </c:cat>
          <c:val>
            <c:numRef>
              <c:f>'Electricity LocationBased-Calcs'!$C$64:$C$83</c:f>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0-3E41-4667-BF7B-BE929BDCCFF5}"/>
            </c:ext>
          </c:extLst>
        </c:ser>
        <c:dLbls>
          <c:showLegendKey val="0"/>
          <c:showVal val="0"/>
          <c:showCatName val="0"/>
          <c:showSerName val="0"/>
          <c:showPercent val="0"/>
          <c:showBubbleSize val="0"/>
        </c:dLbls>
        <c:gapWidth val="150"/>
        <c:axId val="564176256"/>
        <c:axId val="564176648"/>
      </c:barChart>
      <c:catAx>
        <c:axId val="564176256"/>
        <c:scaling>
          <c:orientation val="minMax"/>
        </c:scaling>
        <c:delete val="0"/>
        <c:axPos val="b"/>
        <c:numFmt formatCode="General" sourceLinked="1"/>
        <c:majorTickMark val="none"/>
        <c:minorTickMark val="none"/>
        <c:tickLblPos val="nextTo"/>
        <c:txPr>
          <a:bodyPr rot="-1140000"/>
          <a:lstStyle/>
          <a:p>
            <a:pPr>
              <a:defRPr/>
            </a:pPr>
            <a:endParaRPr lang="en-US"/>
          </a:p>
        </c:txPr>
        <c:crossAx val="564176648"/>
        <c:crosses val="autoZero"/>
        <c:auto val="1"/>
        <c:lblAlgn val="ctr"/>
        <c:lblOffset val="100"/>
        <c:noMultiLvlLbl val="0"/>
      </c:catAx>
      <c:valAx>
        <c:axId val="564176648"/>
        <c:scaling>
          <c:orientation val="minMax"/>
        </c:scaling>
        <c:delete val="0"/>
        <c:axPos val="l"/>
        <c:majorGridlines>
          <c:spPr>
            <a:ln>
              <a:prstDash val="sysDot"/>
            </a:ln>
          </c:spPr>
        </c:majorGridlines>
        <c:title>
          <c:tx>
            <c:rich>
              <a:bodyPr rot="-5400000" vert="horz"/>
              <a:lstStyle/>
              <a:p>
                <a:pPr>
                  <a:defRPr/>
                </a:pPr>
                <a:r>
                  <a:rPr lang="en-US"/>
                  <a:t>Electricity Use (kWh)</a:t>
                </a:r>
              </a:p>
            </c:rich>
          </c:tx>
          <c:overlay val="0"/>
        </c:title>
        <c:numFmt formatCode="_(* #,##0_);_(* \(#,##0\);_(* &quot;-&quot;??_);_(@_)" sourceLinked="1"/>
        <c:majorTickMark val="none"/>
        <c:minorTickMark val="none"/>
        <c:tickLblPos val="nextTo"/>
        <c:crossAx val="564176256"/>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Employee Commute Emissions by Department</a:t>
            </a:r>
          </a:p>
        </c:rich>
      </c:tx>
      <c:overlay val="0"/>
    </c:title>
    <c:autoTitleDeleted val="0"/>
    <c:plotArea>
      <c:layout/>
      <c:barChart>
        <c:barDir val="col"/>
        <c:grouping val="clustered"/>
        <c:varyColors val="0"/>
        <c:ser>
          <c:idx val="0"/>
          <c:order val="0"/>
          <c:tx>
            <c:v>Emissions</c:v>
          </c:tx>
          <c:spPr>
            <a:solidFill>
              <a:schemeClr val="accent3"/>
            </a:solidFill>
          </c:spPr>
          <c:invertIfNegative val="0"/>
          <c:cat>
            <c:strRef>
              <c:f>'Employee Commute'!$B$63:$B$82</c:f>
              <c:strCache>
                <c:ptCount val="4"/>
                <c:pt idx="0">
                  <c:v>Residential</c:v>
                </c:pt>
                <c:pt idx="1">
                  <c:v>Commercial/Institutional</c:v>
                </c:pt>
                <c:pt idx="2">
                  <c:v>Industrial</c:v>
                </c:pt>
                <c:pt idx="3">
                  <c:v>Energy Generation</c:v>
                </c:pt>
              </c:strCache>
            </c:strRef>
          </c:cat>
          <c:val>
            <c:numRef>
              <c:f>'Employee Commute'!$C$63:$C$82</c:f>
              <c:numCache>
                <c:formatCode>#,##0.00_);\(#,##0.00\);"-"</c:formatCode>
                <c:ptCount val="4"/>
                <c:pt idx="0">
                  <c:v>0</c:v>
                </c:pt>
                <c:pt idx="1">
                  <c:v>0</c:v>
                </c:pt>
                <c:pt idx="2">
                  <c:v>0</c:v>
                </c:pt>
                <c:pt idx="3">
                  <c:v>0</c:v>
                </c:pt>
              </c:numCache>
            </c:numRef>
          </c:val>
          <c:extLst>
            <c:ext xmlns:c16="http://schemas.microsoft.com/office/drawing/2014/chart" uri="{C3380CC4-5D6E-409C-BE32-E72D297353CC}">
              <c16:uniqueId val="{00000000-8242-48FA-83F0-B9D40590A29A}"/>
            </c:ext>
          </c:extLst>
        </c:ser>
        <c:dLbls>
          <c:showLegendKey val="0"/>
          <c:showVal val="0"/>
          <c:showCatName val="0"/>
          <c:showSerName val="0"/>
          <c:showPercent val="0"/>
          <c:showBubbleSize val="0"/>
        </c:dLbls>
        <c:gapWidth val="150"/>
        <c:axId val="564177432"/>
        <c:axId val="564177824"/>
      </c:barChart>
      <c:catAx>
        <c:axId val="564177432"/>
        <c:scaling>
          <c:orientation val="minMax"/>
        </c:scaling>
        <c:delete val="0"/>
        <c:axPos val="b"/>
        <c:numFmt formatCode="General" sourceLinked="1"/>
        <c:majorTickMark val="out"/>
        <c:minorTickMark val="none"/>
        <c:tickLblPos val="nextTo"/>
        <c:crossAx val="564177824"/>
        <c:crosses val="autoZero"/>
        <c:auto val="1"/>
        <c:lblAlgn val="ctr"/>
        <c:lblOffset val="100"/>
        <c:noMultiLvlLbl val="0"/>
      </c:catAx>
      <c:valAx>
        <c:axId val="564177824"/>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0.00_);\(#,##0.00\);&quot;-&quot;" sourceLinked="1"/>
        <c:majorTickMark val="out"/>
        <c:minorTickMark val="none"/>
        <c:tickLblPos val="nextTo"/>
        <c:crossAx val="564177432"/>
        <c:crosses val="autoZero"/>
        <c:crossBetween val="between"/>
      </c:valAx>
    </c:plotArea>
    <c:plotVisOnly val="1"/>
    <c:dispBlanksAs val="gap"/>
    <c:showDLblsOverMax val="0"/>
  </c:chart>
  <c:printSettings>
    <c:headerFooter/>
    <c:pageMargins b="0.75000000000001199" l="0.70000000000000095" r="0.70000000000000095" t="0.75000000000001199"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Market-Based</a:t>
            </a:r>
            <a:r>
              <a:rPr lang="en-US" sz="1400" baseline="0"/>
              <a:t> </a:t>
            </a:r>
            <a:r>
              <a:rPr lang="en-US" sz="1400"/>
              <a:t>Emissions by Sector</a:t>
            </a:r>
          </a:p>
        </c:rich>
      </c:tx>
      <c:overlay val="0"/>
    </c:title>
    <c:autoTitleDeleted val="0"/>
    <c:plotArea>
      <c:layout/>
      <c:barChart>
        <c:barDir val="col"/>
        <c:grouping val="clustered"/>
        <c:varyColors val="0"/>
        <c:ser>
          <c:idx val="3"/>
          <c:order val="0"/>
          <c:tx>
            <c:strRef>
              <c:f>'Electricity MarketBased-Calcs'!$F$19</c:f>
              <c:strCache>
                <c:ptCount val="1"/>
                <c:pt idx="0">
                  <c:v>Total</c:v>
                </c:pt>
              </c:strCache>
            </c:strRef>
          </c:tx>
          <c:spPr>
            <a:solidFill>
              <a:schemeClr val="accent3"/>
            </a:solidFill>
          </c:spPr>
          <c:invertIfNegative val="0"/>
          <c:cat>
            <c:strRef>
              <c:f>'Electricity MarketBased-Calcs'!$B$20:$B$39</c:f>
              <c:strCache>
                <c:ptCount val="4"/>
                <c:pt idx="0">
                  <c:v>Residential</c:v>
                </c:pt>
                <c:pt idx="1">
                  <c:v>Commercial/Institutional</c:v>
                </c:pt>
                <c:pt idx="2">
                  <c:v>Industrial</c:v>
                </c:pt>
                <c:pt idx="3">
                  <c:v>Energy Generation</c:v>
                </c:pt>
              </c:strCache>
            </c:strRef>
          </c:cat>
          <c:val>
            <c:numRef>
              <c:f>'Electricity MarketBased-Calcs'!$F$20:$F$39</c:f>
              <c:numCache>
                <c:formatCode>_(#,##0.00_);_(\(#,##0.0\);_("-"_);_(@_)</c:formatCode>
                <c:ptCount val="4"/>
                <c:pt idx="0">
                  <c:v>0</c:v>
                </c:pt>
                <c:pt idx="1">
                  <c:v>0</c:v>
                </c:pt>
                <c:pt idx="2">
                  <c:v>0</c:v>
                </c:pt>
                <c:pt idx="3">
                  <c:v>0</c:v>
                </c:pt>
              </c:numCache>
            </c:numRef>
          </c:val>
          <c:extLst>
            <c:ext xmlns:c16="http://schemas.microsoft.com/office/drawing/2014/chart" uri="{C3380CC4-5D6E-409C-BE32-E72D297353CC}">
              <c16:uniqueId val="{00000000-E55E-4903-B6AB-EB4C5B7221F9}"/>
            </c:ext>
          </c:extLst>
        </c:ser>
        <c:dLbls>
          <c:showLegendKey val="0"/>
          <c:showVal val="0"/>
          <c:showCatName val="0"/>
          <c:showSerName val="0"/>
          <c:showPercent val="0"/>
          <c:showBubbleSize val="0"/>
        </c:dLbls>
        <c:gapWidth val="150"/>
        <c:axId val="400592536"/>
        <c:axId val="400592144"/>
      </c:barChart>
      <c:catAx>
        <c:axId val="400592536"/>
        <c:scaling>
          <c:orientation val="minMax"/>
        </c:scaling>
        <c:delete val="0"/>
        <c:axPos val="b"/>
        <c:numFmt formatCode="General" sourceLinked="1"/>
        <c:majorTickMark val="out"/>
        <c:minorTickMark val="none"/>
        <c:tickLblPos val="nextTo"/>
        <c:txPr>
          <a:bodyPr rot="-1140000"/>
          <a:lstStyle/>
          <a:p>
            <a:pPr>
              <a:defRPr/>
            </a:pPr>
            <a:endParaRPr lang="en-US"/>
          </a:p>
        </c:txPr>
        <c:crossAx val="400592144"/>
        <c:crosses val="autoZero"/>
        <c:auto val="1"/>
        <c:lblAlgn val="ctr"/>
        <c:lblOffset val="100"/>
        <c:noMultiLvlLbl val="0"/>
      </c:catAx>
      <c:valAx>
        <c:axId val="400592144"/>
        <c:scaling>
          <c:orientation val="minMax"/>
        </c:scaling>
        <c:delete val="0"/>
        <c:axPos val="l"/>
        <c:majorGridlines>
          <c:spPr>
            <a:ln>
              <a:prstDash val="sysDot"/>
            </a:ln>
          </c:spPr>
        </c:majorGridlines>
        <c:title>
          <c:tx>
            <c:rich>
              <a:bodyPr rot="-5400000" vert="horz"/>
              <a:lstStyle/>
              <a:p>
                <a:pPr>
                  <a:defRPr/>
                </a:pPr>
                <a:r>
                  <a:rPr lang="en-US"/>
                  <a:t>Emissions (MT</a:t>
                </a:r>
                <a:r>
                  <a:rPr lang="en-US" baseline="0"/>
                  <a:t> CO</a:t>
                </a:r>
                <a:r>
                  <a:rPr lang="en-US" baseline="-25000"/>
                  <a:t>2</a:t>
                </a:r>
                <a:r>
                  <a:rPr lang="en-US" baseline="0"/>
                  <a:t>e)</a:t>
                </a:r>
                <a:endParaRPr lang="en-US"/>
              </a:p>
            </c:rich>
          </c:tx>
          <c:overlay val="0"/>
        </c:title>
        <c:numFmt formatCode="_(#,##0.00_);_(\(#,##0.0\);_(&quot;-&quot;_);_(@_)" sourceLinked="1"/>
        <c:majorTickMark val="out"/>
        <c:minorTickMark val="none"/>
        <c:tickLblPos val="nextTo"/>
        <c:crossAx val="400592536"/>
        <c:crosses val="autoZero"/>
        <c:crossBetween val="between"/>
      </c:valAx>
    </c:plotArea>
    <c:plotVisOnly val="1"/>
    <c:dispBlanksAs val="gap"/>
    <c:showDLblsOverMax val="0"/>
  </c:chart>
  <c:printSettings>
    <c:headerFooter/>
    <c:pageMargins b="0.75000000000001399" l="0.70000000000000095" r="0.70000000000000095" t="0.75000000000001399"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Electricity</a:t>
            </a:r>
            <a:r>
              <a:rPr lang="en-US" sz="1400" baseline="0"/>
              <a:t> Use by Sector</a:t>
            </a:r>
            <a:endParaRPr lang="en-US" sz="1400"/>
          </a:p>
        </c:rich>
      </c:tx>
      <c:overlay val="0"/>
    </c:title>
    <c:autoTitleDeleted val="0"/>
    <c:plotArea>
      <c:layout/>
      <c:barChart>
        <c:barDir val="col"/>
        <c:grouping val="stacked"/>
        <c:varyColors val="0"/>
        <c:ser>
          <c:idx val="4"/>
          <c:order val="1"/>
          <c:tx>
            <c:strRef>
              <c:f>'Electricity MarketBased-Calcs'!$E$63</c:f>
              <c:strCache>
                <c:ptCount val="1"/>
                <c:pt idx="0">
                  <c:v>Market-Based kWh</c:v>
                </c:pt>
              </c:strCache>
            </c:strRef>
          </c:tx>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'Electricity MarketBased-Calcs'!$B$64:$B$83</c:f>
              <c:strCache>
                <c:ptCount val="4"/>
                <c:pt idx="0">
                  <c:v>Residential</c:v>
                </c:pt>
                <c:pt idx="1">
                  <c:v>Commercial/Institutional</c:v>
                </c:pt>
                <c:pt idx="2">
                  <c:v>Industrial</c:v>
                </c:pt>
                <c:pt idx="3">
                  <c:v>Energy Generation</c:v>
                </c:pt>
              </c:strCache>
            </c:strRef>
          </c:cat>
          <c:val>
            <c:numRef>
              <c:f>'Electricity MarketBased-Calcs'!$E$64:$E$83</c:f>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0-72C0-43B0-9CA0-4C7FCFB3E85C}"/>
            </c:ext>
          </c:extLst>
        </c:ser>
        <c:ser>
          <c:idx val="1"/>
          <c:order val="2"/>
          <c:tx>
            <c:strRef>
              <c:f>'Electricity MarketBased-Calcs'!$D$63</c:f>
              <c:strCache>
                <c:ptCount val="1"/>
                <c:pt idx="0">
                  <c:v>Contractual Instrument kWh</c:v>
                </c:pt>
              </c:strCache>
            </c:strRef>
          </c:tx>
          <c:spPr>
            <a:solidFill>
              <a:schemeClr val="accent5">
                <a:lumMod val="40000"/>
                <a:lumOff val="60000"/>
              </a:schemeClr>
            </a:solidFill>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'Electricity MarketBased-Calcs'!$B$64:$B$83</c:f>
              <c:strCache>
                <c:ptCount val="4"/>
                <c:pt idx="0">
                  <c:v>Residential</c:v>
                </c:pt>
                <c:pt idx="1">
                  <c:v>Commercial/Institutional</c:v>
                </c:pt>
                <c:pt idx="2">
                  <c:v>Industrial</c:v>
                </c:pt>
                <c:pt idx="3">
                  <c:v>Energy Generation</c:v>
                </c:pt>
              </c:strCache>
            </c:strRef>
          </c:cat>
          <c:val>
            <c:numRef>
              <c:f>'Electricity MarketBased-Calcs'!$D$64:$D$83</c:f>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1-72C0-43B0-9CA0-4C7FCFB3E85C}"/>
            </c:ext>
          </c:extLst>
        </c:ser>
        <c:dLbls>
          <c:dLblPos val="ctr"/>
          <c:showLegendKey val="0"/>
          <c:showVal val="1"/>
          <c:showCatName val="0"/>
          <c:showSerName val="0"/>
          <c:showPercent val="0"/>
          <c:showBubbleSize val="0"/>
        </c:dLbls>
        <c:gapWidth val="150"/>
        <c:overlap val="100"/>
        <c:axId val="400593320"/>
        <c:axId val="400593712"/>
        <c:extLst>
          <c:ext xmlns:c15="http://schemas.microsoft.com/office/drawing/2012/chart" uri="{02D57815-91ED-43cb-92C2-25804820EDAC}">
            <c15:filteredBarSeries>
              <c15:ser>
                <c:idx val="2"/>
                <c:order val="0"/>
                <c:tx>
                  <c:strRef>
                    <c:extLst>
                      <c:ext uri="{02D57815-91ED-43cb-92C2-25804820EDAC}">
                        <c15:formulaRef>
                          <c15:sqref>'Electricity MarketBased-Calcs'!$C$63</c15:sqref>
                        </c15:formulaRef>
                      </c:ext>
                    </c:extLst>
                    <c:strCache>
                      <c:ptCount val="1"/>
                      <c:pt idx="0">
                        <c:v>Grid-Supplied kWh</c:v>
                      </c:pt>
                    </c:strCache>
                  </c:strRef>
                </c:tx>
                <c:invertIfNegative val="0"/>
                <c:dLbls>
                  <c:spPr>
                    <a:noFill/>
                    <a:ln>
                      <a:noFill/>
                    </a:ln>
                    <a:effectLst/>
                  </c:spPr>
                  <c:dLblPos val="ctr"/>
                  <c:showLegendKey val="0"/>
                  <c:showVal val="1"/>
                  <c:showCatName val="0"/>
                  <c:showSerName val="0"/>
                  <c:showPercent val="0"/>
                  <c:showBubbleSize val="0"/>
                  <c:showLeaderLines val="0"/>
                  <c:extLst>
                    <c:ext uri="{CE6537A1-D6FC-4f65-9D91-7224C49458BB}">
                      <c15:showLeaderLines val="1"/>
                    </c:ext>
                  </c:extLst>
                </c:dLbls>
                <c:cat>
                  <c:strRef>
                    <c:extLst>
                      <c:ext uri="{02D57815-91ED-43cb-92C2-25804820EDAC}">
                        <c15:formulaRef>
                          <c15:sqref>'Electricity MarketBased-Calcs'!$B$64:$B$83</c15:sqref>
                        </c15:formulaRef>
                      </c:ext>
                    </c:extLst>
                    <c:strCache>
                      <c:ptCount val="4"/>
                      <c:pt idx="0">
                        <c:v>Residential</c:v>
                      </c:pt>
                      <c:pt idx="1">
                        <c:v>Commercial/Institutional</c:v>
                      </c:pt>
                      <c:pt idx="2">
                        <c:v>Industrial</c:v>
                      </c:pt>
                      <c:pt idx="3">
                        <c:v>Energy Generation</c:v>
                      </c:pt>
                    </c:strCache>
                  </c:strRef>
                </c:cat>
                <c:val>
                  <c:numRef>
                    <c:extLst>
                      <c:ext uri="{02D57815-91ED-43cb-92C2-25804820EDAC}">
                        <c15:formulaRef>
                          <c15:sqref>'Electricity MarketBased-Calcs'!$C$64:$C$83</c15:sqref>
                        </c15:formulaRef>
                      </c:ext>
                    </c:extLst>
                    <c:numCache>
                      <c:formatCode>_(* #,##0_);_(* \(#,##0\);_(* "-"??_);_(@_)</c:formatCode>
                      <c:ptCount val="4"/>
                      <c:pt idx="0">
                        <c:v>0</c:v>
                      </c:pt>
                      <c:pt idx="1">
                        <c:v>0</c:v>
                      </c:pt>
                      <c:pt idx="2">
                        <c:v>0</c:v>
                      </c:pt>
                      <c:pt idx="3">
                        <c:v>0</c:v>
                      </c:pt>
                    </c:numCache>
                  </c:numRef>
                </c:val>
                <c:extLst>
                  <c:ext xmlns:c16="http://schemas.microsoft.com/office/drawing/2014/chart" uri="{C3380CC4-5D6E-409C-BE32-E72D297353CC}">
                    <c16:uniqueId val="{00000002-72C0-43B0-9CA0-4C7FCFB3E85C}"/>
                  </c:ext>
                </c:extLst>
              </c15:ser>
            </c15:filteredBarSeries>
          </c:ext>
        </c:extLst>
      </c:barChart>
      <c:catAx>
        <c:axId val="400593320"/>
        <c:scaling>
          <c:orientation val="minMax"/>
        </c:scaling>
        <c:delete val="0"/>
        <c:axPos val="b"/>
        <c:numFmt formatCode="General" sourceLinked="1"/>
        <c:majorTickMark val="none"/>
        <c:minorTickMark val="none"/>
        <c:tickLblPos val="nextTo"/>
        <c:txPr>
          <a:bodyPr rot="-1140000"/>
          <a:lstStyle/>
          <a:p>
            <a:pPr>
              <a:defRPr/>
            </a:pPr>
            <a:endParaRPr lang="en-US"/>
          </a:p>
        </c:txPr>
        <c:crossAx val="400593712"/>
        <c:crosses val="autoZero"/>
        <c:auto val="1"/>
        <c:lblAlgn val="ctr"/>
        <c:lblOffset val="100"/>
        <c:noMultiLvlLbl val="0"/>
      </c:catAx>
      <c:valAx>
        <c:axId val="400593712"/>
        <c:scaling>
          <c:orientation val="minMax"/>
        </c:scaling>
        <c:delete val="0"/>
        <c:axPos val="l"/>
        <c:majorGridlines>
          <c:spPr>
            <a:ln>
              <a:prstDash val="sysDot"/>
            </a:ln>
          </c:spPr>
        </c:majorGridlines>
        <c:title>
          <c:tx>
            <c:rich>
              <a:bodyPr rot="-5400000" vert="horz"/>
              <a:lstStyle/>
              <a:p>
                <a:pPr>
                  <a:defRPr/>
                </a:pPr>
                <a:r>
                  <a:rPr lang="en-US"/>
                  <a:t>Electricity Use (kWh)</a:t>
                </a:r>
              </a:p>
            </c:rich>
          </c:tx>
          <c:overlay val="0"/>
        </c:title>
        <c:numFmt formatCode="_(* #,##0_);_(* \(#,##0\);_(* &quot;-&quot;??_);_(@_)" sourceLinked="1"/>
        <c:majorTickMark val="none"/>
        <c:minorTickMark val="none"/>
        <c:tickLblPos val="nextTo"/>
        <c:crossAx val="400593320"/>
        <c:crosses val="autoZero"/>
        <c:crossBetween val="between"/>
      </c:valAx>
    </c:plotArea>
    <c:legend>
      <c:legendPos val="b"/>
      <c:overlay val="0"/>
    </c:legend>
    <c:plotVisOnly val="1"/>
    <c:dispBlanksAs val="gap"/>
    <c:showDLblsOverMax val="0"/>
  </c:chart>
  <c:printSettings>
    <c:headerFooter/>
    <c:pageMargins b="0.75000000000001399" l="0.70000000000000095" r="0.70000000000000095" t="0.75000000000001399"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by Import Source</a:t>
            </a:r>
          </a:p>
        </c:rich>
      </c:tx>
      <c:overlay val="0"/>
    </c:title>
    <c:autoTitleDeleted val="0"/>
    <c:plotArea>
      <c:layout>
        <c:manualLayout>
          <c:layoutTarget val="inner"/>
          <c:xMode val="edge"/>
          <c:yMode val="edge"/>
          <c:x val="7.7037044919834499E-2"/>
          <c:y val="0.113564918298992"/>
          <c:w val="0.81369231734131398"/>
          <c:h val="0.78725688831955498"/>
        </c:manualLayout>
      </c:layout>
      <c:barChart>
        <c:barDir val="col"/>
        <c:grouping val="clustered"/>
        <c:varyColors val="0"/>
        <c:ser>
          <c:idx val="0"/>
          <c:order val="0"/>
          <c:tx>
            <c:v>Emissions</c:v>
          </c:tx>
          <c:spPr>
            <a:solidFill>
              <a:schemeClr val="accent3"/>
            </a:solidFill>
          </c:spPr>
          <c:invertIfNegative val="0"/>
          <c:cat>
            <c:strRef>
              <c:f>Water!$C$131:$F$131</c:f>
              <c:strCache>
                <c:ptCount val="2"/>
                <c:pt idx="0">
                  <c:v>Imported Water</c:v>
                </c:pt>
                <c:pt idx="1">
                  <c:v>TOTAL</c:v>
                </c:pt>
              </c:strCache>
            </c:strRef>
          </c:cat>
          <c:val>
            <c:numRef>
              <c:f>Water!$C$238:$F$238</c:f>
              <c:numCache>
                <c:formatCode>_(#,##0.00_);_(\(#,##0.00\);_("-"??_);_(@_)</c:formatCode>
                <c:ptCount val="4"/>
                <c:pt idx="0">
                  <c:v>0</c:v>
                </c:pt>
              </c:numCache>
            </c:numRef>
          </c:val>
          <c:extLst>
            <c:ext xmlns:c16="http://schemas.microsoft.com/office/drawing/2014/chart" uri="{C3380CC4-5D6E-409C-BE32-E72D297353CC}">
              <c16:uniqueId val="{00000000-9641-439B-926B-F1B9746B8D07}"/>
            </c:ext>
          </c:extLst>
        </c:ser>
        <c:dLbls>
          <c:showLegendKey val="0"/>
          <c:showVal val="0"/>
          <c:showCatName val="0"/>
          <c:showSerName val="0"/>
          <c:showPercent val="0"/>
          <c:showBubbleSize val="0"/>
        </c:dLbls>
        <c:gapWidth val="250"/>
        <c:axId val="580477624"/>
        <c:axId val="580476840"/>
      </c:barChart>
      <c:barChart>
        <c:barDir val="col"/>
        <c:grouping val="clustered"/>
        <c:varyColors val="0"/>
        <c:ser>
          <c:idx val="2"/>
          <c:order val="1"/>
          <c:tx>
            <c:v>Dummy 1</c:v>
          </c:tx>
          <c:invertIfNegative val="0"/>
          <c:cat>
            <c:strRef>
              <c:f>Water!$C$237:$F$237</c:f>
              <c:strCache>
                <c:ptCount val="1"/>
                <c:pt idx="0">
                  <c:v>Imported Water</c:v>
                </c:pt>
              </c:strCache>
            </c:strRef>
          </c:cat>
          <c:val>
            <c:numRef>
              <c:f>Water!$C$239:$F$239</c:f>
              <c:numCache>
                <c:formatCode>_(#,##0.00_);_(\(#,##0.00\);_("-"??_);_(@_)</c:formatCode>
                <c:ptCount val="4"/>
              </c:numCache>
            </c:numRef>
          </c:val>
          <c:extLst>
            <c:ext xmlns:c16="http://schemas.microsoft.com/office/drawing/2014/chart" uri="{C3380CC4-5D6E-409C-BE32-E72D297353CC}">
              <c16:uniqueId val="{00000001-9641-439B-926B-F1B9746B8D07}"/>
            </c:ext>
          </c:extLst>
        </c:ser>
        <c:ser>
          <c:idx val="3"/>
          <c:order val="2"/>
          <c:tx>
            <c:v>Dummy 2</c:v>
          </c:tx>
          <c:invertIfNegative val="0"/>
          <c:cat>
            <c:strRef>
              <c:f>Water!$C$237:$F$237</c:f>
              <c:strCache>
                <c:ptCount val="1"/>
                <c:pt idx="0">
                  <c:v>Imported Water</c:v>
                </c:pt>
              </c:strCache>
            </c:strRef>
          </c:cat>
          <c:val>
            <c:numRef>
              <c:f>Water!$C$240:$F$240</c:f>
              <c:numCache>
                <c:formatCode>General</c:formatCode>
                <c:ptCount val="4"/>
              </c:numCache>
            </c:numRef>
          </c:val>
          <c:extLst>
            <c:ext xmlns:c16="http://schemas.microsoft.com/office/drawing/2014/chart" uri="{C3380CC4-5D6E-409C-BE32-E72D297353CC}">
              <c16:uniqueId val="{00000002-9641-439B-926B-F1B9746B8D07}"/>
            </c:ext>
          </c:extLst>
        </c:ser>
        <c:dLbls>
          <c:showLegendKey val="0"/>
          <c:showVal val="0"/>
          <c:showCatName val="0"/>
          <c:showSerName val="0"/>
          <c:showPercent val="0"/>
          <c:showBubbleSize val="0"/>
        </c:dLbls>
        <c:gapWidth val="157"/>
        <c:overlap val="-30"/>
        <c:axId val="580478016"/>
        <c:axId val="580477232"/>
      </c:barChart>
      <c:catAx>
        <c:axId val="580477624"/>
        <c:scaling>
          <c:orientation val="minMax"/>
        </c:scaling>
        <c:delete val="0"/>
        <c:axPos val="b"/>
        <c:numFmt formatCode="General" sourceLinked="0"/>
        <c:majorTickMark val="out"/>
        <c:minorTickMark val="none"/>
        <c:tickLblPos val="nextTo"/>
        <c:crossAx val="580476840"/>
        <c:crosses val="autoZero"/>
        <c:auto val="1"/>
        <c:lblAlgn val="ctr"/>
        <c:lblOffset val="100"/>
        <c:noMultiLvlLbl val="0"/>
      </c:catAx>
      <c:valAx>
        <c:axId val="580476840"/>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0.00_);_(\(#,##0.00\);_(&quot;-&quot;??_);_(@_)" sourceLinked="1"/>
        <c:majorTickMark val="out"/>
        <c:minorTickMark val="none"/>
        <c:tickLblPos val="nextTo"/>
        <c:crossAx val="580477624"/>
        <c:crosses val="autoZero"/>
        <c:crossBetween val="between"/>
      </c:valAx>
      <c:valAx>
        <c:axId val="580477232"/>
        <c:scaling>
          <c:orientation val="minMax"/>
        </c:scaling>
        <c:delete val="1"/>
        <c:axPos val="r"/>
        <c:numFmt formatCode="_(#,##0.00_);_(\(#,##0.00\);_(&quot;-&quot;??_);_(@_)" sourceLinked="1"/>
        <c:majorTickMark val="out"/>
        <c:minorTickMark val="none"/>
        <c:tickLblPos val="none"/>
        <c:crossAx val="580478016"/>
        <c:crosses val="max"/>
        <c:crossBetween val="between"/>
      </c:valAx>
      <c:catAx>
        <c:axId val="580478016"/>
        <c:scaling>
          <c:orientation val="minMax"/>
        </c:scaling>
        <c:delete val="1"/>
        <c:axPos val="b"/>
        <c:numFmt formatCode="General" sourceLinked="1"/>
        <c:majorTickMark val="out"/>
        <c:minorTickMark val="none"/>
        <c:tickLblPos val="none"/>
        <c:crossAx val="580477232"/>
        <c:crosses val="autoZero"/>
        <c:auto val="1"/>
        <c:lblAlgn val="ctr"/>
        <c:lblOffset val="100"/>
        <c:noMultiLvlLbl val="0"/>
      </c:catAx>
    </c:plotArea>
    <c:legend>
      <c:legendPos val="l"/>
      <c:legendEntry>
        <c:idx val="1"/>
        <c:delete val="1"/>
      </c:legendEntry>
      <c:legendEntry>
        <c:idx val="2"/>
        <c:delete val="1"/>
      </c:legendEntry>
      <c:layout>
        <c:manualLayout>
          <c:xMode val="edge"/>
          <c:yMode val="edge"/>
          <c:x val="2.8776978417267198E-3"/>
          <c:y val="4.9746937609682204E-3"/>
          <c:w val="0.18710723389792999"/>
          <c:h val="7.0988502497204398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Water Use by Import Source</a:t>
            </a:r>
          </a:p>
        </c:rich>
      </c:tx>
      <c:overlay val="0"/>
    </c:title>
    <c:autoTitleDeleted val="0"/>
    <c:plotArea>
      <c:layout>
        <c:manualLayout>
          <c:layoutTarget val="inner"/>
          <c:xMode val="edge"/>
          <c:yMode val="edge"/>
          <c:x val="0.110666521455517"/>
          <c:y val="0.113564918298992"/>
          <c:w val="0.78437615545321804"/>
          <c:h val="0.78725688831955498"/>
        </c:manualLayout>
      </c:layout>
      <c:barChart>
        <c:barDir val="col"/>
        <c:grouping val="clustered"/>
        <c:varyColors val="0"/>
        <c:ser>
          <c:idx val="2"/>
          <c:order val="0"/>
          <c:tx>
            <c:v>Dummy 1</c:v>
          </c:tx>
          <c:invertIfNegative val="0"/>
          <c:cat>
            <c:strRef>
              <c:f>Water!$C$237:$F$237</c:f>
              <c:strCache>
                <c:ptCount val="1"/>
                <c:pt idx="0">
                  <c:v>Imported Water</c:v>
                </c:pt>
              </c:strCache>
            </c:strRef>
          </c:cat>
          <c:val>
            <c:numRef>
              <c:f>Water!$C$239:$F$239</c:f>
              <c:numCache>
                <c:formatCode>_(#,##0.00_);_(\(#,##0.00\);_("-"??_);_(@_)</c:formatCode>
                <c:ptCount val="4"/>
              </c:numCache>
            </c:numRef>
          </c:val>
          <c:extLst>
            <c:ext xmlns:c16="http://schemas.microsoft.com/office/drawing/2014/chart" uri="{C3380CC4-5D6E-409C-BE32-E72D297353CC}">
              <c16:uniqueId val="{00000000-8ACA-4BC6-8EC9-B7FD5A38D605}"/>
            </c:ext>
          </c:extLst>
        </c:ser>
        <c:ser>
          <c:idx val="3"/>
          <c:order val="1"/>
          <c:tx>
            <c:v>Dummy 2</c:v>
          </c:tx>
          <c:invertIfNegative val="0"/>
          <c:cat>
            <c:strRef>
              <c:f>Water!$C$237:$F$237</c:f>
              <c:strCache>
                <c:ptCount val="1"/>
                <c:pt idx="0">
                  <c:v>Imported Water</c:v>
                </c:pt>
              </c:strCache>
            </c:strRef>
          </c:cat>
          <c:val>
            <c:numRef>
              <c:f>Water!$C$240:$F$240</c:f>
              <c:numCache>
                <c:formatCode>General</c:formatCode>
                <c:ptCount val="4"/>
              </c:numCache>
            </c:numRef>
          </c:val>
          <c:extLst>
            <c:ext xmlns:c16="http://schemas.microsoft.com/office/drawing/2014/chart" uri="{C3380CC4-5D6E-409C-BE32-E72D297353CC}">
              <c16:uniqueId val="{00000001-8ACA-4BC6-8EC9-B7FD5A38D605}"/>
            </c:ext>
          </c:extLst>
        </c:ser>
        <c:ser>
          <c:idx val="1"/>
          <c:order val="2"/>
          <c:tx>
            <c:v>Water Use</c:v>
          </c:tx>
          <c:spPr>
            <a:solidFill>
              <a:schemeClr val="accent1"/>
            </a:solidFill>
          </c:spPr>
          <c:invertIfNegative val="0"/>
          <c:cat>
            <c:strRef>
              <c:f>Water!$C$237:$F$237</c:f>
              <c:strCache>
                <c:ptCount val="1"/>
                <c:pt idx="0">
                  <c:v>Imported Water</c:v>
                </c:pt>
              </c:strCache>
            </c:strRef>
          </c:cat>
          <c:val>
            <c:numRef>
              <c:f>Water!$C$152:$F$152</c:f>
              <c:numCache>
                <c:formatCode>_(#,##0_);_(\(#,##0\);_("-"??_);_(@_)</c:formatCode>
                <c:ptCount val="4"/>
                <c:pt idx="0">
                  <c:v>0</c:v>
                </c:pt>
                <c:pt idx="1">
                  <c:v>0</c:v>
                </c:pt>
              </c:numCache>
            </c:numRef>
          </c:val>
          <c:extLst>
            <c:ext xmlns:c16="http://schemas.microsoft.com/office/drawing/2014/chart" uri="{C3380CC4-5D6E-409C-BE32-E72D297353CC}">
              <c16:uniqueId val="{00000002-8ACA-4BC6-8EC9-B7FD5A38D605}"/>
            </c:ext>
          </c:extLst>
        </c:ser>
        <c:dLbls>
          <c:showLegendKey val="0"/>
          <c:showVal val="0"/>
          <c:showCatName val="0"/>
          <c:showSerName val="0"/>
          <c:showPercent val="0"/>
          <c:showBubbleSize val="0"/>
        </c:dLbls>
        <c:gapWidth val="157"/>
        <c:overlap val="-30"/>
        <c:axId val="580479192"/>
        <c:axId val="580480760"/>
      </c:barChart>
      <c:catAx>
        <c:axId val="580479192"/>
        <c:scaling>
          <c:orientation val="minMax"/>
        </c:scaling>
        <c:delete val="0"/>
        <c:axPos val="b"/>
        <c:numFmt formatCode="General" sourceLinked="0"/>
        <c:majorTickMark val="out"/>
        <c:minorTickMark val="none"/>
        <c:tickLblPos val="nextTo"/>
        <c:crossAx val="580480760"/>
        <c:crosses val="autoZero"/>
        <c:auto val="1"/>
        <c:lblAlgn val="ctr"/>
        <c:lblOffset val="100"/>
        <c:noMultiLvlLbl val="0"/>
      </c:catAx>
      <c:valAx>
        <c:axId val="580480760"/>
        <c:scaling>
          <c:orientation val="minMax"/>
        </c:scaling>
        <c:delete val="0"/>
        <c:axPos val="l"/>
        <c:majorGridlines>
          <c:spPr>
            <a:ln>
              <a:prstDash val="sysDot"/>
            </a:ln>
          </c:spPr>
        </c:majorGridlines>
        <c:title>
          <c:tx>
            <c:rich>
              <a:bodyPr rot="-5400000" vert="horz"/>
              <a:lstStyle/>
              <a:p>
                <a:pPr>
                  <a:defRPr/>
                </a:pPr>
                <a:r>
                  <a:rPr lang="en-US"/>
                  <a:t>Water</a:t>
                </a:r>
                <a:r>
                  <a:rPr lang="en-US" baseline="0"/>
                  <a:t> Use (gallons)</a:t>
                </a:r>
                <a:endParaRPr lang="en-US"/>
              </a:p>
            </c:rich>
          </c:tx>
          <c:overlay val="0"/>
        </c:title>
        <c:numFmt formatCode="_(#,##0.00_);_(\(#,##0.00\);_(&quot;-&quot;??_);_(@_)" sourceLinked="1"/>
        <c:majorTickMark val="out"/>
        <c:minorTickMark val="none"/>
        <c:tickLblPos val="nextTo"/>
        <c:crossAx val="580479192"/>
        <c:crosses val="autoZero"/>
        <c:crossBetween val="between"/>
      </c:valAx>
    </c:plotArea>
    <c:legend>
      <c:legendPos val="l"/>
      <c:legendEntry>
        <c:idx val="0"/>
        <c:delete val="1"/>
      </c:legendEntry>
      <c:legendEntry>
        <c:idx val="1"/>
        <c:delete val="1"/>
      </c:legendEntry>
      <c:layout>
        <c:manualLayout>
          <c:xMode val="edge"/>
          <c:yMode val="edge"/>
          <c:x val="2.8776978417267198E-3"/>
          <c:y val="4.9746937609682204E-3"/>
          <c:w val="0.18710723389792999"/>
          <c:h val="7.0988502497204398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and Water Use by Import Source</a:t>
            </a:r>
          </a:p>
        </c:rich>
      </c:tx>
      <c:overlay val="0"/>
    </c:title>
    <c:autoTitleDeleted val="0"/>
    <c:plotArea>
      <c:layout/>
      <c:barChart>
        <c:barDir val="col"/>
        <c:grouping val="clustered"/>
        <c:varyColors val="0"/>
        <c:ser>
          <c:idx val="0"/>
          <c:order val="0"/>
          <c:tx>
            <c:v>Emissions</c:v>
          </c:tx>
          <c:spPr>
            <a:solidFill>
              <a:schemeClr val="accent3"/>
            </a:solidFill>
          </c:spPr>
          <c:invertIfNegative val="0"/>
          <c:cat>
            <c:strRef>
              <c:f>Water!$C$131</c:f>
              <c:strCache>
                <c:ptCount val="1"/>
                <c:pt idx="0">
                  <c:v>Imported Water</c:v>
                </c:pt>
              </c:strCache>
            </c:strRef>
          </c:cat>
          <c:val>
            <c:numRef>
              <c:f>Water!$C$238</c:f>
              <c:numCache>
                <c:formatCode>_(#,##0.00_);_(\(#,##0.00\);_("-"??_);_(@_)</c:formatCode>
                <c:ptCount val="1"/>
                <c:pt idx="0">
                  <c:v>0</c:v>
                </c:pt>
              </c:numCache>
            </c:numRef>
          </c:val>
          <c:extLst>
            <c:ext xmlns:c16="http://schemas.microsoft.com/office/drawing/2014/chart" uri="{C3380CC4-5D6E-409C-BE32-E72D297353CC}">
              <c16:uniqueId val="{00000000-607C-40F2-9433-B29AD3D0BD4C}"/>
            </c:ext>
          </c:extLst>
        </c:ser>
        <c:dLbls>
          <c:showLegendKey val="0"/>
          <c:showVal val="0"/>
          <c:showCatName val="0"/>
          <c:showSerName val="0"/>
          <c:showPercent val="0"/>
          <c:showBubbleSize val="0"/>
        </c:dLbls>
        <c:gapWidth val="250"/>
        <c:axId val="580479976"/>
        <c:axId val="580479584"/>
      </c:barChart>
      <c:barChart>
        <c:barDir val="col"/>
        <c:grouping val="clustered"/>
        <c:varyColors val="0"/>
        <c:ser>
          <c:idx val="2"/>
          <c:order val="1"/>
          <c:tx>
            <c:v>Dummy 1</c:v>
          </c:tx>
          <c:invertIfNegative val="0"/>
          <c:cat>
            <c:strRef>
              <c:f>Water!$C$237</c:f>
              <c:strCache>
                <c:ptCount val="1"/>
                <c:pt idx="0">
                  <c:v>Imported Water</c:v>
                </c:pt>
              </c:strCache>
            </c:strRef>
          </c:cat>
          <c:val>
            <c:numRef>
              <c:f>Water!$C$239</c:f>
              <c:numCache>
                <c:formatCode>_(#,##0.00_);_(\(#,##0.00\);_("-"??_);_(@_)</c:formatCode>
                <c:ptCount val="1"/>
              </c:numCache>
            </c:numRef>
          </c:val>
          <c:extLst>
            <c:ext xmlns:c16="http://schemas.microsoft.com/office/drawing/2014/chart" uri="{C3380CC4-5D6E-409C-BE32-E72D297353CC}">
              <c16:uniqueId val="{00000001-607C-40F2-9433-B29AD3D0BD4C}"/>
            </c:ext>
          </c:extLst>
        </c:ser>
        <c:ser>
          <c:idx val="3"/>
          <c:order val="2"/>
          <c:tx>
            <c:v>Dummy 2</c:v>
          </c:tx>
          <c:invertIfNegative val="0"/>
          <c:cat>
            <c:strRef>
              <c:f>Water!$C$237</c:f>
              <c:strCache>
                <c:ptCount val="1"/>
                <c:pt idx="0">
                  <c:v>Imported Water</c:v>
                </c:pt>
              </c:strCache>
            </c:strRef>
          </c:cat>
          <c:val>
            <c:numRef>
              <c:f>Water!$C$240</c:f>
              <c:numCache>
                <c:formatCode>General</c:formatCode>
                <c:ptCount val="1"/>
              </c:numCache>
            </c:numRef>
          </c:val>
          <c:extLst>
            <c:ext xmlns:c16="http://schemas.microsoft.com/office/drawing/2014/chart" uri="{C3380CC4-5D6E-409C-BE32-E72D297353CC}">
              <c16:uniqueId val="{00000002-607C-40F2-9433-B29AD3D0BD4C}"/>
            </c:ext>
          </c:extLst>
        </c:ser>
        <c:ser>
          <c:idx val="1"/>
          <c:order val="3"/>
          <c:tx>
            <c:v>Water Use</c:v>
          </c:tx>
          <c:spPr>
            <a:solidFill>
              <a:schemeClr val="accent1"/>
            </a:solidFill>
          </c:spPr>
          <c:invertIfNegative val="0"/>
          <c:cat>
            <c:strRef>
              <c:f>Water!$C$237</c:f>
              <c:strCache>
                <c:ptCount val="1"/>
                <c:pt idx="0">
                  <c:v>Imported Water</c:v>
                </c:pt>
              </c:strCache>
            </c:strRef>
          </c:cat>
          <c:val>
            <c:numRef>
              <c:f>Water!$C$152</c:f>
              <c:numCache>
                <c:formatCode>_(#,##0_);_(\(#,##0\);_("-"??_);_(@_)</c:formatCode>
                <c:ptCount val="1"/>
                <c:pt idx="0">
                  <c:v>0</c:v>
                </c:pt>
              </c:numCache>
            </c:numRef>
          </c:val>
          <c:extLst>
            <c:ext xmlns:c16="http://schemas.microsoft.com/office/drawing/2014/chart" uri="{C3380CC4-5D6E-409C-BE32-E72D297353CC}">
              <c16:uniqueId val="{00000003-607C-40F2-9433-B29AD3D0BD4C}"/>
            </c:ext>
          </c:extLst>
        </c:ser>
        <c:dLbls>
          <c:showLegendKey val="0"/>
          <c:showVal val="0"/>
          <c:showCatName val="0"/>
          <c:showSerName val="0"/>
          <c:showPercent val="0"/>
          <c:showBubbleSize val="0"/>
        </c:dLbls>
        <c:gapWidth val="300"/>
        <c:overlap val="-30"/>
        <c:axId val="580481544"/>
        <c:axId val="580481152"/>
      </c:barChart>
      <c:catAx>
        <c:axId val="580479976"/>
        <c:scaling>
          <c:orientation val="minMax"/>
        </c:scaling>
        <c:delete val="0"/>
        <c:axPos val="b"/>
        <c:numFmt formatCode="General" sourceLinked="0"/>
        <c:majorTickMark val="out"/>
        <c:minorTickMark val="none"/>
        <c:tickLblPos val="nextTo"/>
        <c:crossAx val="580479584"/>
        <c:crosses val="autoZero"/>
        <c:auto val="1"/>
        <c:lblAlgn val="ctr"/>
        <c:lblOffset val="100"/>
        <c:noMultiLvlLbl val="0"/>
      </c:catAx>
      <c:valAx>
        <c:axId val="580479584"/>
        <c:scaling>
          <c:orientation val="minMax"/>
        </c:scaling>
        <c:delete val="0"/>
        <c:axPos val="l"/>
        <c:majorGridlines>
          <c:spPr>
            <a:ln>
              <a:prstDash val="sysDot"/>
            </a:ln>
          </c:spPr>
        </c:majorGridlines>
        <c:title>
          <c:tx>
            <c:rich>
              <a:bodyPr rot="-5400000" vert="horz"/>
              <a:lstStyle/>
              <a:p>
                <a:pPr>
                  <a:defRPr/>
                </a:pPr>
                <a:r>
                  <a:rPr lang="en-US"/>
                  <a:t>Emissions (MT CO</a:t>
                </a:r>
                <a:r>
                  <a:rPr lang="en-US" baseline="-25000"/>
                  <a:t>2</a:t>
                </a:r>
                <a:r>
                  <a:rPr lang="en-US"/>
                  <a:t>e)</a:t>
                </a:r>
              </a:p>
            </c:rich>
          </c:tx>
          <c:overlay val="0"/>
        </c:title>
        <c:numFmt formatCode="_(#,##0.00_);_(\(#,##0.00\);_(&quot;-&quot;??_);_(@_)" sourceLinked="1"/>
        <c:majorTickMark val="out"/>
        <c:minorTickMark val="none"/>
        <c:tickLblPos val="nextTo"/>
        <c:crossAx val="580479976"/>
        <c:crosses val="autoZero"/>
        <c:crossBetween val="between"/>
      </c:valAx>
      <c:valAx>
        <c:axId val="580481152"/>
        <c:scaling>
          <c:orientation val="minMax"/>
        </c:scaling>
        <c:delete val="0"/>
        <c:axPos val="r"/>
        <c:title>
          <c:tx>
            <c:rich>
              <a:bodyPr rot="5400000" vert="horz"/>
              <a:lstStyle/>
              <a:p>
                <a:pPr>
                  <a:defRPr/>
                </a:pPr>
                <a:r>
                  <a:rPr lang="en-US"/>
                  <a:t>Water Use (gallons)</a:t>
                </a:r>
              </a:p>
            </c:rich>
          </c:tx>
          <c:overlay val="0"/>
        </c:title>
        <c:numFmt formatCode="_(#,##0.00_);_(\(#,##0.00\);_(&quot;-&quot;??_);_(@_)" sourceLinked="1"/>
        <c:majorTickMark val="out"/>
        <c:minorTickMark val="none"/>
        <c:tickLblPos val="nextTo"/>
        <c:crossAx val="580481544"/>
        <c:crosses val="max"/>
        <c:crossBetween val="between"/>
      </c:valAx>
      <c:catAx>
        <c:axId val="580481544"/>
        <c:scaling>
          <c:orientation val="minMax"/>
        </c:scaling>
        <c:delete val="1"/>
        <c:axPos val="b"/>
        <c:numFmt formatCode="General" sourceLinked="1"/>
        <c:majorTickMark val="out"/>
        <c:minorTickMark val="none"/>
        <c:tickLblPos val="none"/>
        <c:crossAx val="580481152"/>
        <c:crosses val="autoZero"/>
        <c:auto val="1"/>
        <c:lblAlgn val="ctr"/>
        <c:lblOffset val="100"/>
        <c:noMultiLvlLbl val="0"/>
      </c:catAx>
    </c:plotArea>
    <c:legend>
      <c:legendPos val="l"/>
      <c:legendEntry>
        <c:idx val="1"/>
        <c:delete val="1"/>
      </c:legendEntry>
      <c:legendEntry>
        <c:idx val="2"/>
        <c:delete val="1"/>
      </c:legendEntry>
      <c:layout>
        <c:manualLayout>
          <c:xMode val="edge"/>
          <c:yMode val="edge"/>
          <c:x val="2.8776978417267198E-3"/>
          <c:y val="4.9746937609682204E-3"/>
          <c:w val="0.18710723389792999"/>
          <c:h val="7.0988502497204398E-2"/>
        </c:manualLayout>
      </c:layout>
      <c:overlay val="1"/>
    </c:legend>
    <c:plotVisOnly val="1"/>
    <c:dispBlanksAs val="gap"/>
    <c:showDLblsOverMax val="0"/>
  </c:chart>
  <c:spPr>
    <a:solidFill>
      <a:schemeClr val="bg1"/>
    </a:solidFill>
  </c:spPr>
  <c:printSettings>
    <c:headerFooter/>
    <c:pageMargins b="0.75000000000001299" l="0.70000000000000095" r="0.70000000000000095" t="0.75000000000001299"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by Department</a:t>
            </a:r>
          </a:p>
        </c:rich>
      </c:tx>
      <c:overlay val="0"/>
    </c:title>
    <c:autoTitleDeleted val="0"/>
    <c:plotArea>
      <c:layout>
        <c:manualLayout>
          <c:layoutTarget val="inner"/>
          <c:xMode val="edge"/>
          <c:yMode val="edge"/>
          <c:x val="9.1706338865915102E-2"/>
          <c:y val="0.113564918298992"/>
          <c:w val="0.79750229422759999"/>
          <c:h val="0.631284334607361"/>
        </c:manualLayout>
      </c:layout>
      <c:barChart>
        <c:barDir val="col"/>
        <c:grouping val="clustered"/>
        <c:varyColors val="0"/>
        <c:ser>
          <c:idx val="0"/>
          <c:order val="0"/>
          <c:tx>
            <c:v>Emissions</c:v>
          </c:tx>
          <c:spPr>
            <a:solidFill>
              <a:schemeClr val="accent3"/>
            </a:solidFill>
          </c:spPr>
          <c:invertIfNegative val="0"/>
          <c:cat>
            <c:strRef>
              <c:f>Water!$B$28:$B$47</c:f>
              <c:strCache>
                <c:ptCount val="4"/>
                <c:pt idx="0">
                  <c:v>Residential</c:v>
                </c:pt>
                <c:pt idx="1">
                  <c:v>Commercial/Institutional</c:v>
                </c:pt>
                <c:pt idx="2">
                  <c:v>Industrial</c:v>
                </c:pt>
                <c:pt idx="3">
                  <c:v>Energy Generation</c:v>
                </c:pt>
              </c:strCache>
            </c:strRef>
          </c:cat>
          <c:val>
            <c:numRef>
              <c:f>Water!$F$53:$F$72</c:f>
              <c:numCache>
                <c:formatCode>_(#,##0.00_);_(\(#,##0.00\);_("-"_);_(@_)</c:formatCode>
                <c:ptCount val="4"/>
                <c:pt idx="0">
                  <c:v>0</c:v>
                </c:pt>
                <c:pt idx="1">
                  <c:v>0</c:v>
                </c:pt>
                <c:pt idx="2">
                  <c:v>0</c:v>
                </c:pt>
                <c:pt idx="3">
                  <c:v>0</c:v>
                </c:pt>
              </c:numCache>
            </c:numRef>
          </c:val>
          <c:extLst>
            <c:ext xmlns:c16="http://schemas.microsoft.com/office/drawing/2014/chart" uri="{C3380CC4-5D6E-409C-BE32-E72D297353CC}">
              <c16:uniqueId val="{00000000-59D3-4D62-BB29-6831D41882D7}"/>
            </c:ext>
          </c:extLst>
        </c:ser>
        <c:dLbls>
          <c:showLegendKey val="0"/>
          <c:showVal val="0"/>
          <c:showCatName val="0"/>
          <c:showSerName val="0"/>
          <c:showPercent val="0"/>
          <c:showBubbleSize val="0"/>
        </c:dLbls>
        <c:gapWidth val="250"/>
        <c:axId val="580475272"/>
        <c:axId val="580475664"/>
      </c:barChart>
      <c:catAx>
        <c:axId val="580475272"/>
        <c:scaling>
          <c:orientation val="minMax"/>
        </c:scaling>
        <c:delete val="0"/>
        <c:axPos val="b"/>
        <c:numFmt formatCode="General" sourceLinked="1"/>
        <c:majorTickMark val="out"/>
        <c:minorTickMark val="none"/>
        <c:tickLblPos val="nextTo"/>
        <c:crossAx val="580475664"/>
        <c:crosses val="autoZero"/>
        <c:auto val="1"/>
        <c:lblAlgn val="ctr"/>
        <c:lblOffset val="100"/>
        <c:noMultiLvlLbl val="0"/>
      </c:catAx>
      <c:valAx>
        <c:axId val="580475664"/>
        <c:scaling>
          <c:orientation val="minMax"/>
        </c:scaling>
        <c:delete val="0"/>
        <c:axPos val="l"/>
        <c:majorGridlines>
          <c:spPr>
            <a:ln>
              <a:prstDash val="sysDot"/>
            </a:ln>
          </c:spPr>
        </c:majorGridlines>
        <c:title>
          <c:tx>
            <c:rich>
              <a:bodyPr rot="-5400000" vert="horz"/>
              <a:lstStyle/>
              <a:p>
                <a:pPr>
                  <a:defRPr/>
                </a:pPr>
                <a:r>
                  <a:rPr lang="en-US"/>
                  <a:t>Emissions (MT CO2e)</a:t>
                </a:r>
              </a:p>
            </c:rich>
          </c:tx>
          <c:overlay val="0"/>
        </c:title>
        <c:numFmt formatCode="_(#,##0.00_);_(\(#,##0.00\);_(&quot;-&quot;_);_(@_)" sourceLinked="1"/>
        <c:majorTickMark val="out"/>
        <c:minorTickMark val="none"/>
        <c:tickLblPos val="nextTo"/>
        <c:crossAx val="580475272"/>
        <c:crosses val="autoZero"/>
        <c:crossBetween val="between"/>
      </c:valAx>
    </c:plotArea>
    <c:legend>
      <c:legendPos val="l"/>
      <c:layout>
        <c:manualLayout>
          <c:xMode val="edge"/>
          <c:yMode val="edge"/>
          <c:x val="5.7553956834534396E-3"/>
          <c:y val="4.9746937609682204E-3"/>
          <c:w val="0.164085651164108"/>
          <c:h val="7.0988502497204398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Water Use by Department</a:t>
            </a:r>
          </a:p>
        </c:rich>
      </c:tx>
      <c:layout>
        <c:manualLayout>
          <c:xMode val="edge"/>
          <c:yMode val="edge"/>
          <c:x val="0.38705749730925698"/>
          <c:y val="1.83206062822369E-2"/>
        </c:manualLayout>
      </c:layout>
      <c:overlay val="0"/>
    </c:title>
    <c:autoTitleDeleted val="0"/>
    <c:plotArea>
      <c:layout>
        <c:manualLayout>
          <c:layoutTarget val="inner"/>
          <c:xMode val="edge"/>
          <c:yMode val="edge"/>
          <c:x val="0.110749447685946"/>
          <c:y val="0.113564918298992"/>
          <c:w val="0.77845918540757897"/>
          <c:h val="0.631284334607361"/>
        </c:manualLayout>
      </c:layout>
      <c:barChart>
        <c:barDir val="col"/>
        <c:grouping val="clustered"/>
        <c:varyColors val="0"/>
        <c:ser>
          <c:idx val="1"/>
          <c:order val="0"/>
          <c:tx>
            <c:v>Water Use</c:v>
          </c:tx>
          <c:spPr>
            <a:solidFill>
              <a:schemeClr val="accent1"/>
            </a:solidFill>
          </c:spPr>
          <c:invertIfNegative val="0"/>
          <c:cat>
            <c:strRef>
              <c:f>Water!$B$28:$B$47</c:f>
              <c:strCache>
                <c:ptCount val="4"/>
                <c:pt idx="0">
                  <c:v>Residential</c:v>
                </c:pt>
                <c:pt idx="1">
                  <c:v>Commercial/Institutional</c:v>
                </c:pt>
                <c:pt idx="2">
                  <c:v>Industrial</c:v>
                </c:pt>
                <c:pt idx="3">
                  <c:v>Energy Generation</c:v>
                </c:pt>
              </c:strCache>
            </c:strRef>
          </c:cat>
          <c:val>
            <c:numRef>
              <c:f>Water!$C$28:$C$47</c:f>
              <c:numCache>
                <c:formatCode>_(* #,##0_);_(* \(#,##0\);_(* "-"??_);_(@_)</c:formatCode>
                <c:ptCount val="4"/>
              </c:numCache>
            </c:numRef>
          </c:val>
          <c:extLst>
            <c:ext xmlns:c16="http://schemas.microsoft.com/office/drawing/2014/chart" uri="{C3380CC4-5D6E-409C-BE32-E72D297353CC}">
              <c16:uniqueId val="{00000000-E971-4933-A9B5-62F8BCDA53FB}"/>
            </c:ext>
          </c:extLst>
        </c:ser>
        <c:dLbls>
          <c:showLegendKey val="0"/>
          <c:showVal val="0"/>
          <c:showCatName val="0"/>
          <c:showSerName val="0"/>
          <c:showPercent val="0"/>
          <c:showBubbleSize val="0"/>
        </c:dLbls>
        <c:gapWidth val="150"/>
        <c:overlap val="-31"/>
        <c:axId val="580482328"/>
        <c:axId val="580482720"/>
      </c:barChart>
      <c:catAx>
        <c:axId val="580482328"/>
        <c:scaling>
          <c:orientation val="minMax"/>
        </c:scaling>
        <c:delete val="0"/>
        <c:axPos val="b"/>
        <c:numFmt formatCode="General" sourceLinked="1"/>
        <c:majorTickMark val="out"/>
        <c:minorTickMark val="none"/>
        <c:tickLblPos val="nextTo"/>
        <c:crossAx val="580482720"/>
        <c:crosses val="autoZero"/>
        <c:auto val="1"/>
        <c:lblAlgn val="ctr"/>
        <c:lblOffset val="100"/>
        <c:noMultiLvlLbl val="0"/>
      </c:catAx>
      <c:valAx>
        <c:axId val="580482720"/>
        <c:scaling>
          <c:orientation val="minMax"/>
        </c:scaling>
        <c:delete val="0"/>
        <c:axPos val="l"/>
        <c:majorGridlines>
          <c:spPr>
            <a:ln>
              <a:prstDash val="sysDot"/>
            </a:ln>
          </c:spPr>
        </c:majorGridlines>
        <c:title>
          <c:tx>
            <c:rich>
              <a:bodyPr rot="-5400000" vert="horz"/>
              <a:lstStyle/>
              <a:p>
                <a:pPr>
                  <a:defRPr/>
                </a:pPr>
                <a:r>
                  <a:rPr lang="en-US"/>
                  <a:t>Water Use (gallons)</a:t>
                </a:r>
              </a:p>
            </c:rich>
          </c:tx>
          <c:overlay val="0"/>
        </c:title>
        <c:numFmt formatCode="_(* #,##0_);_(* \(#,##0\);_(* &quot;-&quot;??_);_(@_)" sourceLinked="1"/>
        <c:majorTickMark val="out"/>
        <c:minorTickMark val="none"/>
        <c:tickLblPos val="nextTo"/>
        <c:crossAx val="580482328"/>
        <c:crosses val="autoZero"/>
        <c:crossBetween val="between"/>
      </c:valAx>
    </c:plotArea>
    <c:legend>
      <c:legendPos val="l"/>
      <c:layout>
        <c:manualLayout>
          <c:xMode val="edge"/>
          <c:yMode val="edge"/>
          <c:x val="5.7553956834534396E-3"/>
          <c:y val="4.9746937609682204E-3"/>
          <c:w val="0.164085651164108"/>
          <c:h val="7.0988502497204398E-2"/>
        </c:manualLayout>
      </c:layout>
      <c:overlay val="1"/>
    </c:legend>
    <c:plotVisOnly val="1"/>
    <c:dispBlanksAs val="gap"/>
    <c:showDLblsOverMax val="0"/>
  </c:chart>
  <c:printSettings>
    <c:headerFooter/>
    <c:pageMargins b="0.75000000000001299" l="0.70000000000000095" r="0.70000000000000095" t="0.75000000000001299"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Emissions and Water Use by Sector</a:t>
            </a:r>
          </a:p>
        </c:rich>
      </c:tx>
      <c:overlay val="0"/>
    </c:title>
    <c:autoTitleDeleted val="0"/>
    <c:plotArea>
      <c:layout/>
      <c:barChart>
        <c:barDir val="col"/>
        <c:grouping val="clustered"/>
        <c:varyColors val="0"/>
        <c:ser>
          <c:idx val="0"/>
          <c:order val="0"/>
          <c:tx>
            <c:v>Emissions</c:v>
          </c:tx>
          <c:spPr>
            <a:solidFill>
              <a:schemeClr val="accent3"/>
            </a:solidFill>
          </c:spPr>
          <c:invertIfNegative val="0"/>
          <c:cat>
            <c:strRef>
              <c:f>Water!$B$53:$B$72</c:f>
              <c:strCache>
                <c:ptCount val="4"/>
                <c:pt idx="0">
                  <c:v>Residential</c:v>
                </c:pt>
                <c:pt idx="1">
                  <c:v>Commercial/Institutional</c:v>
                </c:pt>
                <c:pt idx="2">
                  <c:v>Industrial</c:v>
                </c:pt>
                <c:pt idx="3">
                  <c:v>Energy Generation</c:v>
                </c:pt>
              </c:strCache>
            </c:strRef>
          </c:cat>
          <c:val>
            <c:numRef>
              <c:f>Water!$F$53:$F$72</c:f>
              <c:numCache>
                <c:formatCode>_(#,##0.00_);_(\(#,##0.00\);_("-"_);_(@_)</c:formatCode>
                <c:ptCount val="4"/>
                <c:pt idx="0">
                  <c:v>0</c:v>
                </c:pt>
                <c:pt idx="1">
                  <c:v>0</c:v>
                </c:pt>
                <c:pt idx="2">
                  <c:v>0</c:v>
                </c:pt>
                <c:pt idx="3">
                  <c:v>0</c:v>
                </c:pt>
              </c:numCache>
            </c:numRef>
          </c:val>
          <c:extLst>
            <c:ext xmlns:c16="http://schemas.microsoft.com/office/drawing/2014/chart" uri="{C3380CC4-5D6E-409C-BE32-E72D297353CC}">
              <c16:uniqueId val="{00000000-9B9D-4DCD-BDDD-0DB0313524ED}"/>
            </c:ext>
          </c:extLst>
        </c:ser>
        <c:dLbls>
          <c:showLegendKey val="0"/>
          <c:showVal val="0"/>
          <c:showCatName val="0"/>
          <c:showSerName val="0"/>
          <c:showPercent val="0"/>
          <c:showBubbleSize val="0"/>
        </c:dLbls>
        <c:gapWidth val="250"/>
        <c:axId val="780304144"/>
        <c:axId val="780303752"/>
      </c:barChart>
      <c:barChart>
        <c:barDir val="col"/>
        <c:grouping val="clustered"/>
        <c:varyColors val="0"/>
        <c:ser>
          <c:idx val="2"/>
          <c:order val="1"/>
          <c:tx>
            <c:v>Dummy 1</c:v>
          </c:tx>
          <c:invertIfNegative val="0"/>
          <c:cat>
            <c:strRef>
              <c:f>Water!$B$53:$B$72</c:f>
              <c:strCache>
                <c:ptCount val="4"/>
                <c:pt idx="0">
                  <c:v>Residential</c:v>
                </c:pt>
                <c:pt idx="1">
                  <c:v>Commercial/Institutional</c:v>
                </c:pt>
                <c:pt idx="2">
                  <c:v>Industrial</c:v>
                </c:pt>
                <c:pt idx="3">
                  <c:v>Energy Generation</c:v>
                </c:pt>
              </c:strCache>
            </c:strRef>
          </c:cat>
          <c:val>
            <c:numRef>
              <c:f>Water!$G$53:$G$72</c:f>
              <c:numCache>
                <c:formatCode>_(* #,##0_);_(* \(#,##0\);_(* "-"??_);_(@_)</c:formatCode>
                <c:ptCount val="4"/>
              </c:numCache>
            </c:numRef>
          </c:val>
          <c:extLst>
            <c:ext xmlns:c16="http://schemas.microsoft.com/office/drawing/2014/chart" uri="{C3380CC4-5D6E-409C-BE32-E72D297353CC}">
              <c16:uniqueId val="{00000001-9B9D-4DCD-BDDD-0DB0313524ED}"/>
            </c:ext>
          </c:extLst>
        </c:ser>
        <c:ser>
          <c:idx val="3"/>
          <c:order val="2"/>
          <c:tx>
            <c:v>Dummy 2</c:v>
          </c:tx>
          <c:invertIfNegative val="0"/>
          <c:cat>
            <c:strRef>
              <c:f>Water!$B$53:$B$72</c:f>
              <c:strCache>
                <c:ptCount val="4"/>
                <c:pt idx="0">
                  <c:v>Residential</c:v>
                </c:pt>
                <c:pt idx="1">
                  <c:v>Commercial/Institutional</c:v>
                </c:pt>
                <c:pt idx="2">
                  <c:v>Industrial</c:v>
                </c:pt>
                <c:pt idx="3">
                  <c:v>Energy Generation</c:v>
                </c:pt>
              </c:strCache>
            </c:strRef>
          </c:cat>
          <c:val>
            <c:numRef>
              <c:f>Water!$H$53:$H$72</c:f>
              <c:numCache>
                <c:formatCode>_(* #,##0_);_(* \(#,##0\);_(* "-"??_);_(@_)</c:formatCode>
                <c:ptCount val="4"/>
              </c:numCache>
            </c:numRef>
          </c:val>
          <c:extLst>
            <c:ext xmlns:c16="http://schemas.microsoft.com/office/drawing/2014/chart" uri="{C3380CC4-5D6E-409C-BE32-E72D297353CC}">
              <c16:uniqueId val="{00000002-9B9D-4DCD-BDDD-0DB0313524ED}"/>
            </c:ext>
          </c:extLst>
        </c:ser>
        <c:ser>
          <c:idx val="1"/>
          <c:order val="3"/>
          <c:tx>
            <c:v>Water Use</c:v>
          </c:tx>
          <c:spPr>
            <a:solidFill>
              <a:schemeClr val="accent1"/>
            </a:solidFill>
          </c:spPr>
          <c:invertIfNegative val="0"/>
          <c:cat>
            <c:strRef>
              <c:f>Water!$B$53:$B$72</c:f>
              <c:strCache>
                <c:ptCount val="4"/>
                <c:pt idx="0">
                  <c:v>Residential</c:v>
                </c:pt>
                <c:pt idx="1">
                  <c:v>Commercial/Institutional</c:v>
                </c:pt>
                <c:pt idx="2">
                  <c:v>Industrial</c:v>
                </c:pt>
                <c:pt idx="3">
                  <c:v>Energy Generation</c:v>
                </c:pt>
              </c:strCache>
            </c:strRef>
          </c:cat>
          <c:val>
            <c:numRef>
              <c:f>Water!$C$28:$C$47</c:f>
              <c:numCache>
                <c:formatCode>_(* #,##0_);_(* \(#,##0\);_(* "-"??_);_(@_)</c:formatCode>
                <c:ptCount val="4"/>
              </c:numCache>
            </c:numRef>
          </c:val>
          <c:extLst>
            <c:ext xmlns:c16="http://schemas.microsoft.com/office/drawing/2014/chart" uri="{C3380CC4-5D6E-409C-BE32-E72D297353CC}">
              <c16:uniqueId val="{00000003-9B9D-4DCD-BDDD-0DB0313524ED}"/>
            </c:ext>
          </c:extLst>
        </c:ser>
        <c:dLbls>
          <c:showLegendKey val="0"/>
          <c:showVal val="0"/>
          <c:showCatName val="0"/>
          <c:showSerName val="0"/>
          <c:showPercent val="0"/>
          <c:showBubbleSize val="0"/>
        </c:dLbls>
        <c:gapWidth val="150"/>
        <c:overlap val="-31"/>
        <c:axId val="780304536"/>
        <c:axId val="780302968"/>
      </c:barChart>
      <c:catAx>
        <c:axId val="780304144"/>
        <c:scaling>
          <c:orientation val="minMax"/>
        </c:scaling>
        <c:delete val="0"/>
        <c:axPos val="b"/>
        <c:numFmt formatCode="General" sourceLinked="1"/>
        <c:majorTickMark val="out"/>
        <c:minorTickMark val="none"/>
        <c:tickLblPos val="nextTo"/>
        <c:crossAx val="780303752"/>
        <c:crosses val="autoZero"/>
        <c:auto val="1"/>
        <c:lblAlgn val="ctr"/>
        <c:lblOffset val="100"/>
        <c:noMultiLvlLbl val="0"/>
      </c:catAx>
      <c:valAx>
        <c:axId val="780303752"/>
        <c:scaling>
          <c:orientation val="minMax"/>
        </c:scaling>
        <c:delete val="0"/>
        <c:axPos val="l"/>
        <c:majorGridlines>
          <c:spPr>
            <a:ln>
              <a:prstDash val="sysDot"/>
            </a:ln>
          </c:spPr>
        </c:majorGridlines>
        <c:title>
          <c:tx>
            <c:rich>
              <a:bodyPr rot="-5400000" vert="horz"/>
              <a:lstStyle/>
              <a:p>
                <a:pPr>
                  <a:defRPr/>
                </a:pPr>
                <a:r>
                  <a:rPr lang="en-US"/>
                  <a:t>Emissions (MT CO</a:t>
                </a:r>
                <a:r>
                  <a:rPr lang="en-US" baseline="-25000"/>
                  <a:t>2</a:t>
                </a:r>
                <a:r>
                  <a:rPr lang="en-US"/>
                  <a:t>e)</a:t>
                </a:r>
              </a:p>
            </c:rich>
          </c:tx>
          <c:overlay val="0"/>
        </c:title>
        <c:numFmt formatCode="_(#,##0.00_);_(\(#,##0.00\);_(&quot;-&quot;_);_(@_)" sourceLinked="1"/>
        <c:majorTickMark val="out"/>
        <c:minorTickMark val="none"/>
        <c:tickLblPos val="nextTo"/>
        <c:crossAx val="780304144"/>
        <c:crosses val="autoZero"/>
        <c:crossBetween val="between"/>
      </c:valAx>
      <c:valAx>
        <c:axId val="780302968"/>
        <c:scaling>
          <c:orientation val="minMax"/>
        </c:scaling>
        <c:delete val="0"/>
        <c:axPos val="r"/>
        <c:title>
          <c:tx>
            <c:rich>
              <a:bodyPr rot="5400000" vert="horz"/>
              <a:lstStyle/>
              <a:p>
                <a:pPr>
                  <a:defRPr/>
                </a:pPr>
                <a:r>
                  <a:rPr lang="en-US"/>
                  <a:t>Water Use (gallons)</a:t>
                </a:r>
              </a:p>
            </c:rich>
          </c:tx>
          <c:overlay val="0"/>
        </c:title>
        <c:numFmt formatCode="_(* #,##0_);_(* \(#,##0\);_(* &quot;-&quot;??_);_(@_)" sourceLinked="1"/>
        <c:majorTickMark val="out"/>
        <c:minorTickMark val="none"/>
        <c:tickLblPos val="nextTo"/>
        <c:crossAx val="780304536"/>
        <c:crosses val="max"/>
        <c:crossBetween val="between"/>
      </c:valAx>
      <c:catAx>
        <c:axId val="780304536"/>
        <c:scaling>
          <c:orientation val="minMax"/>
        </c:scaling>
        <c:delete val="1"/>
        <c:axPos val="b"/>
        <c:numFmt formatCode="General" sourceLinked="1"/>
        <c:majorTickMark val="out"/>
        <c:minorTickMark val="none"/>
        <c:tickLblPos val="none"/>
        <c:crossAx val="780302968"/>
        <c:crosses val="autoZero"/>
        <c:auto val="1"/>
        <c:lblAlgn val="ctr"/>
        <c:lblOffset val="100"/>
        <c:noMultiLvlLbl val="0"/>
      </c:catAx>
    </c:plotArea>
    <c:legend>
      <c:legendPos val="l"/>
      <c:legendEntry>
        <c:idx val="1"/>
        <c:delete val="1"/>
      </c:legendEntry>
      <c:legendEntry>
        <c:idx val="2"/>
        <c:delete val="1"/>
      </c:legendEntry>
      <c:layout>
        <c:manualLayout>
          <c:xMode val="edge"/>
          <c:yMode val="edge"/>
          <c:x val="5.7553956834534396E-3"/>
          <c:y val="4.9746937609682204E-3"/>
          <c:w val="0.164085651164108"/>
          <c:h val="7.0988502497204398E-2"/>
        </c:manualLayout>
      </c:layout>
      <c:overlay val="1"/>
    </c:legend>
    <c:plotVisOnly val="1"/>
    <c:dispBlanksAs val="gap"/>
    <c:showDLblsOverMax val="0"/>
  </c:chart>
  <c:spPr>
    <a:solidFill>
      <a:schemeClr val="bg1"/>
    </a:solidFill>
  </c:spPr>
  <c:printSettings>
    <c:headerFooter/>
    <c:pageMargins b="0.75000000000001199" l="0.70000000000000095" r="0.70000000000000095" t="0.75000000000001199"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Gross Emissions</a:t>
            </a:r>
          </a:p>
        </c:rich>
      </c:tx>
      <c:overlay val="0"/>
    </c:title>
    <c:autoTitleDeleted val="0"/>
    <c:plotArea>
      <c:layout/>
      <c:barChart>
        <c:barDir val="col"/>
        <c:grouping val="clustered"/>
        <c:varyColors val="0"/>
        <c:ser>
          <c:idx val="0"/>
          <c:order val="0"/>
          <c:tx>
            <c:strRef>
              <c:f>'Summary-Emissions'!$W$3:$AE$3</c:f>
              <c:strCache>
                <c:ptCount val="9"/>
                <c:pt idx="0">
                  <c:v>Total  Emissions  (MT CO2e)</c:v>
                </c:pt>
              </c:strCache>
            </c:strRef>
          </c:tx>
          <c:spPr>
            <a:solidFill>
              <a:schemeClr val="accent3"/>
            </a:solidFill>
          </c:spPr>
          <c:invertIfNegative val="0"/>
          <c:cat>
            <c:strRef>
              <c:f>'Summary-Emissions'!$C$4:$H$4</c:f>
              <c:strCache>
                <c:ptCount val="6"/>
                <c:pt idx="0">
                  <c:v>CO2</c:v>
                </c:pt>
                <c:pt idx="1">
                  <c:v>CH4</c:v>
                </c:pt>
                <c:pt idx="2">
                  <c:v>N2O</c:v>
                </c:pt>
                <c:pt idx="3">
                  <c:v>HFCs</c:v>
                </c:pt>
                <c:pt idx="4">
                  <c:v>PFCs</c:v>
                </c:pt>
                <c:pt idx="5">
                  <c:v>SF6</c:v>
                </c:pt>
              </c:strCache>
            </c:strRef>
          </c:cat>
          <c:val>
            <c:numRef>
              <c:f>'Summary-Emissions'!$X$8:$AC$8</c:f>
              <c:numCache>
                <c:formatCode>#,##0.00_);\(#,##0.00\);"-"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BBE-456E-9F76-AB0DF0A379AC}"/>
            </c:ext>
          </c:extLst>
        </c:ser>
        <c:dLbls>
          <c:showLegendKey val="0"/>
          <c:showVal val="0"/>
          <c:showCatName val="0"/>
          <c:showSerName val="0"/>
          <c:showPercent val="0"/>
          <c:showBubbleSize val="0"/>
        </c:dLbls>
        <c:gapWidth val="150"/>
        <c:axId val="564175080"/>
        <c:axId val="564174688"/>
      </c:barChart>
      <c:catAx>
        <c:axId val="564175080"/>
        <c:scaling>
          <c:orientation val="minMax"/>
        </c:scaling>
        <c:delete val="0"/>
        <c:axPos val="b"/>
        <c:numFmt formatCode="General" sourceLinked="0"/>
        <c:majorTickMark val="out"/>
        <c:minorTickMark val="none"/>
        <c:tickLblPos val="nextTo"/>
        <c:crossAx val="564174688"/>
        <c:crosses val="autoZero"/>
        <c:auto val="1"/>
        <c:lblAlgn val="ctr"/>
        <c:lblOffset val="100"/>
        <c:noMultiLvlLbl val="0"/>
      </c:catAx>
      <c:valAx>
        <c:axId val="564174688"/>
        <c:scaling>
          <c:orientation val="minMax"/>
        </c:scaling>
        <c:delete val="0"/>
        <c:axPos val="l"/>
        <c:majorGridlines/>
        <c:title>
          <c:tx>
            <c:rich>
              <a:bodyPr rot="-5400000" vert="horz"/>
              <a:lstStyle/>
              <a:p>
                <a:pPr>
                  <a:defRPr/>
                </a:pPr>
                <a:r>
                  <a:rPr lang="en-US"/>
                  <a:t>MT CO</a:t>
                </a:r>
                <a:r>
                  <a:rPr lang="en-US" baseline="-25000"/>
                  <a:t>2</a:t>
                </a:r>
                <a:r>
                  <a:rPr lang="en-US"/>
                  <a:t>e</a:t>
                </a:r>
              </a:p>
            </c:rich>
          </c:tx>
          <c:overlay val="0"/>
        </c:title>
        <c:numFmt formatCode="#,##0.00_);\(#,##0.00\);&quot;-&quot;" sourceLinked="1"/>
        <c:majorTickMark val="out"/>
        <c:minorTickMark val="none"/>
        <c:tickLblPos val="nextTo"/>
        <c:crossAx val="564175080"/>
        <c:crosses val="autoZero"/>
        <c:crossBetween val="between"/>
      </c:valAx>
    </c:plotArea>
    <c:plotVisOnly val="1"/>
    <c:dispBlanksAs val="gap"/>
    <c:showDLblsOverMax val="0"/>
  </c:chart>
  <c:printSettings>
    <c:headerFooter/>
    <c:pageMargins b="0.75000000000001199" l="0.70000000000000095" r="0.70000000000000095" t="0.75000000000001199"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Gross Emissions by Sector</a:t>
            </a:r>
          </a:p>
        </c:rich>
      </c:tx>
      <c:overlay val="0"/>
    </c:title>
    <c:autoTitleDeleted val="0"/>
    <c:plotArea>
      <c:layout>
        <c:manualLayout>
          <c:layoutTarget val="inner"/>
          <c:xMode val="edge"/>
          <c:yMode val="edge"/>
          <c:x val="0.118445712791581"/>
          <c:y val="0.13518891055525101"/>
          <c:w val="0.86377658280334102"/>
          <c:h val="0.62846798128754"/>
        </c:manualLayout>
      </c:layout>
      <c:barChart>
        <c:barDir val="col"/>
        <c:grouping val="clustered"/>
        <c:varyColors val="0"/>
        <c:ser>
          <c:idx val="0"/>
          <c:order val="0"/>
          <c:spPr>
            <a:solidFill>
              <a:schemeClr val="accent3"/>
            </a:solidFill>
          </c:spPr>
          <c:invertIfNegative val="0"/>
          <c:cat>
            <c:strRef>
              <c:f>'Summary-Emissions'!$B$44:$B$63</c:f>
              <c:strCache>
                <c:ptCount val="4"/>
                <c:pt idx="0">
                  <c:v>Residential</c:v>
                </c:pt>
                <c:pt idx="1">
                  <c:v>Commercial/Institutional</c:v>
                </c:pt>
                <c:pt idx="2">
                  <c:v>Industrial</c:v>
                </c:pt>
                <c:pt idx="3">
                  <c:v>Energy Generation</c:v>
                </c:pt>
              </c:strCache>
            </c:strRef>
          </c:cat>
          <c:val>
            <c:numRef>
              <c:f>'Summary-Emissions'!$C$44:$C$63</c:f>
              <c:numCache>
                <c:formatCode>_(* #,##0.00_);_(* \(#,##0.00\);_(* "-"??_);_(@_)</c:formatCode>
                <c:ptCount val="4"/>
                <c:pt idx="0">
                  <c:v>0</c:v>
                </c:pt>
                <c:pt idx="1">
                  <c:v>0</c:v>
                </c:pt>
                <c:pt idx="2">
                  <c:v>0</c:v>
                </c:pt>
                <c:pt idx="3">
                  <c:v>0</c:v>
                </c:pt>
              </c:numCache>
            </c:numRef>
          </c:val>
          <c:extLst>
            <c:ext xmlns:c16="http://schemas.microsoft.com/office/drawing/2014/chart" uri="{C3380CC4-5D6E-409C-BE32-E72D297353CC}">
              <c16:uniqueId val="{00000000-472A-4F2A-89CB-38D8287C93DF}"/>
            </c:ext>
          </c:extLst>
        </c:ser>
        <c:dLbls>
          <c:showLegendKey val="0"/>
          <c:showVal val="0"/>
          <c:showCatName val="0"/>
          <c:showSerName val="0"/>
          <c:showPercent val="0"/>
          <c:showBubbleSize val="0"/>
        </c:dLbls>
        <c:gapWidth val="150"/>
        <c:axId val="564173120"/>
        <c:axId val="564171552"/>
      </c:barChart>
      <c:catAx>
        <c:axId val="564173120"/>
        <c:scaling>
          <c:orientation val="minMax"/>
        </c:scaling>
        <c:delete val="0"/>
        <c:axPos val="b"/>
        <c:numFmt formatCode="General" sourceLinked="1"/>
        <c:majorTickMark val="out"/>
        <c:minorTickMark val="none"/>
        <c:tickLblPos val="nextTo"/>
        <c:crossAx val="564171552"/>
        <c:crosses val="autoZero"/>
        <c:auto val="1"/>
        <c:lblAlgn val="ctr"/>
        <c:lblOffset val="100"/>
        <c:noMultiLvlLbl val="0"/>
      </c:catAx>
      <c:valAx>
        <c:axId val="564171552"/>
        <c:scaling>
          <c:orientation val="minMax"/>
        </c:scaling>
        <c:delete val="0"/>
        <c:axPos val="l"/>
        <c:majorGridlines>
          <c:spPr>
            <a:ln>
              <a:prstDash val="sysDot"/>
            </a:ln>
          </c:spPr>
        </c:majorGridlines>
        <c:title>
          <c:tx>
            <c:rich>
              <a:bodyPr rot="-5400000" vert="horz"/>
              <a:lstStyle/>
              <a:p>
                <a:pPr>
                  <a:defRPr/>
                </a:pPr>
                <a:r>
                  <a:rPr lang="en-US"/>
                  <a:t>MT CO</a:t>
                </a:r>
                <a:r>
                  <a:rPr lang="en-US" baseline="-25000"/>
                  <a:t>2</a:t>
                </a:r>
                <a:r>
                  <a:rPr lang="en-US"/>
                  <a:t>e</a:t>
                </a:r>
              </a:p>
            </c:rich>
          </c:tx>
          <c:overlay val="0"/>
        </c:title>
        <c:numFmt formatCode="_(* #,##0.00_);_(* \(#,##0.00\);_(* &quot;-&quot;??_);_(@_)" sourceLinked="1"/>
        <c:majorTickMark val="out"/>
        <c:minorTickMark val="none"/>
        <c:tickLblPos val="nextTo"/>
        <c:crossAx val="564173120"/>
        <c:crosses val="autoZero"/>
        <c:crossBetween val="between"/>
      </c:valAx>
    </c:plotArea>
    <c:plotVisOnly val="1"/>
    <c:dispBlanksAs val="gap"/>
    <c:showDLblsOverMax val="0"/>
  </c:chart>
  <c:printSettings>
    <c:headerFooter/>
    <c:pageMargins b="0.75000000000001199" l="0.70000000000000095" r="0.70000000000000095" t="0.75000000000001199"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Gross Emissions by Sector</a:t>
            </a:r>
          </a:p>
        </c:rich>
      </c:tx>
      <c:layout>
        <c:manualLayout>
          <c:xMode val="edge"/>
          <c:yMode val="edge"/>
          <c:x val="1.0571596891428701E-2"/>
          <c:y val="1.9900505308303899E-2"/>
        </c:manualLayout>
      </c:layout>
      <c:overlay val="0"/>
    </c:title>
    <c:autoTitleDeleted val="0"/>
    <c:plotArea>
      <c:layout>
        <c:manualLayout>
          <c:layoutTarget val="inner"/>
          <c:xMode val="edge"/>
          <c:yMode val="edge"/>
          <c:x val="0.27358963004465298"/>
          <c:y val="7.3545889685474999E-2"/>
          <c:w val="0.47262842840532299"/>
          <c:h val="0.89028786279732497"/>
        </c:manualLayout>
      </c:layout>
      <c:pieChart>
        <c:varyColors val="1"/>
        <c:ser>
          <c:idx val="0"/>
          <c:order val="0"/>
          <c:dLbls>
            <c:delete val="1"/>
          </c:dLbls>
          <c:cat>
            <c:strRef>
              <c:f>'Summary-Emissions'!$X$42:$X$61</c:f>
              <c:strCache>
                <c:ptCount val="6"/>
                <c:pt idx="0">
                  <c:v>Residential (0%)</c:v>
                </c:pt>
                <c:pt idx="1">
                  <c:v>Commercial/Institutional (0%)</c:v>
                </c:pt>
                <c:pt idx="2">
                  <c:v>Industrial (0%)</c:v>
                </c:pt>
                <c:pt idx="3">
                  <c:v>Energy Generation (0%)</c:v>
                </c:pt>
                <c:pt idx="4">
                  <c:v>0 (0%)</c:v>
                </c:pt>
                <c:pt idx="5">
                  <c:v>0 (0%)</c:v>
                </c:pt>
              </c:strCache>
            </c:strRef>
          </c:cat>
          <c:val>
            <c:numRef>
              <c:f>'Summary-Emissions'!$C$44:$C$63</c:f>
              <c:numCache>
                <c:formatCode>_(* #,##0.00_);_(* \(#,##0.00\);_(* "-"??_);_(@_)</c:formatCode>
                <c:ptCount val="4"/>
                <c:pt idx="0">
                  <c:v>0</c:v>
                </c:pt>
                <c:pt idx="1">
                  <c:v>0</c:v>
                </c:pt>
                <c:pt idx="2">
                  <c:v>0</c:v>
                </c:pt>
                <c:pt idx="3">
                  <c:v>0</c:v>
                </c:pt>
              </c:numCache>
            </c:numRef>
          </c:val>
          <c:extLst>
            <c:ext xmlns:c16="http://schemas.microsoft.com/office/drawing/2014/chart" uri="{C3380CC4-5D6E-409C-BE32-E72D297353CC}">
              <c16:uniqueId val="{00000000-3529-48BB-AC05-FFDD00BBA6D6}"/>
            </c:ext>
          </c:extLst>
        </c:ser>
        <c:dLbls>
          <c:showLegendKey val="0"/>
          <c:showVal val="0"/>
          <c:showCatName val="1"/>
          <c:showSerName val="0"/>
          <c:showPercent val="1"/>
          <c:showBubbleSize val="0"/>
          <c:showLeaderLines val="1"/>
        </c:dLbls>
        <c:firstSliceAng val="0"/>
      </c:pieChart>
    </c:plotArea>
    <c:legend>
      <c:legendPos val="l"/>
      <c:layout>
        <c:manualLayout>
          <c:xMode val="edge"/>
          <c:yMode val="edge"/>
          <c:x val="6.5904637805367502E-3"/>
          <c:y val="0.11051400889803301"/>
          <c:w val="0.23936486610785199"/>
          <c:h val="0.85404663847953299"/>
        </c:manualLayout>
      </c:layout>
      <c:overlay val="0"/>
    </c:legend>
    <c:plotVisOnly val="1"/>
    <c:dispBlanksAs val="gap"/>
    <c:showDLblsOverMax val="0"/>
  </c:chart>
  <c:printSettings>
    <c:headerFooter/>
    <c:pageMargins b="0.75000000000001199" l="0.70000000000000095" r="0.70000000000000095" t="0.75000000000001199"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Emissions by Source</a:t>
            </a:r>
          </a:p>
        </c:rich>
      </c:tx>
      <c:overlay val="0"/>
    </c:title>
    <c:autoTitleDeleted val="0"/>
    <c:plotArea>
      <c:layout>
        <c:manualLayout>
          <c:layoutTarget val="inner"/>
          <c:xMode val="edge"/>
          <c:yMode val="edge"/>
          <c:x val="0.105738837190805"/>
          <c:y val="0.13518891055525101"/>
          <c:w val="0.87648338503140399"/>
          <c:h val="0.62846798128754"/>
        </c:manualLayout>
      </c:layout>
      <c:barChart>
        <c:barDir val="col"/>
        <c:grouping val="clustered"/>
        <c:varyColors val="0"/>
        <c:ser>
          <c:idx val="0"/>
          <c:order val="0"/>
          <c:tx>
            <c:strRef>
              <c:f>'Summary-Emissions'!$B$12:$J$12</c:f>
              <c:strCache>
                <c:ptCount val="1"/>
                <c:pt idx="0">
                  <c:v>Emissions by Source (MT CO2e)</c:v>
                </c:pt>
              </c:strCache>
            </c:strRef>
          </c:tx>
          <c:spPr>
            <a:solidFill>
              <a:schemeClr val="accent3"/>
            </a:solidFill>
          </c:spPr>
          <c:invertIfNegative val="0"/>
          <c:cat>
            <c:strRef>
              <c:f>'Summary-Emissions'!$W$13:$W$22</c:f>
              <c:strCache>
                <c:ptCount val="10"/>
                <c:pt idx="0">
                  <c:v>Stationary Combustion</c:v>
                </c:pt>
                <c:pt idx="1">
                  <c:v>Mobile Combustion</c:v>
                </c:pt>
                <c:pt idx="2">
                  <c:v>Solid Waste</c:v>
                </c:pt>
                <c:pt idx="3">
                  <c:v>Wastewater Treatment</c:v>
                </c:pt>
                <c:pt idx="4">
                  <c:v>Electricity - Market Based</c:v>
                </c:pt>
                <c:pt idx="5">
                  <c:v>Water</c:v>
                </c:pt>
                <c:pt idx="6">
                  <c:v>Ag &amp; :and Management</c:v>
                </c:pt>
                <c:pt idx="7">
                  <c:v>Urban Forestry</c:v>
                </c:pt>
                <c:pt idx="8">
                  <c:v>Waste Generation</c:v>
                </c:pt>
                <c:pt idx="9">
                  <c:v>Other</c:v>
                </c:pt>
              </c:strCache>
            </c:strRef>
          </c:cat>
          <c:val>
            <c:numRef>
              <c:f>'Summary-Emissions'!$AD$13:$AD$22</c:f>
              <c:numCache>
                <c:formatCode>#,##0.00_);\(#,##0.00\);"-"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7F8-443D-A145-47CC6BFCE291}"/>
            </c:ext>
          </c:extLst>
        </c:ser>
        <c:dLbls>
          <c:showLegendKey val="0"/>
          <c:showVal val="0"/>
          <c:showCatName val="0"/>
          <c:showSerName val="0"/>
          <c:showPercent val="0"/>
          <c:showBubbleSize val="0"/>
        </c:dLbls>
        <c:gapWidth val="150"/>
        <c:axId val="564171944"/>
        <c:axId val="780302184"/>
      </c:barChart>
      <c:catAx>
        <c:axId val="564171944"/>
        <c:scaling>
          <c:orientation val="minMax"/>
        </c:scaling>
        <c:delete val="0"/>
        <c:axPos val="b"/>
        <c:numFmt formatCode="General" sourceLinked="0"/>
        <c:majorTickMark val="out"/>
        <c:minorTickMark val="none"/>
        <c:tickLblPos val="nextTo"/>
        <c:crossAx val="780302184"/>
        <c:crosses val="autoZero"/>
        <c:auto val="1"/>
        <c:lblAlgn val="ctr"/>
        <c:lblOffset val="100"/>
        <c:noMultiLvlLbl val="0"/>
      </c:catAx>
      <c:valAx>
        <c:axId val="780302184"/>
        <c:scaling>
          <c:orientation val="minMax"/>
        </c:scaling>
        <c:delete val="0"/>
        <c:axPos val="l"/>
        <c:majorGridlines>
          <c:spPr>
            <a:ln>
              <a:prstDash val="sysDot"/>
            </a:ln>
          </c:spPr>
        </c:majorGridlines>
        <c:title>
          <c:tx>
            <c:rich>
              <a:bodyPr rot="-5400000" vert="horz"/>
              <a:lstStyle/>
              <a:p>
                <a:pPr>
                  <a:defRPr/>
                </a:pPr>
                <a:r>
                  <a:rPr lang="en-US"/>
                  <a:t>MT CO</a:t>
                </a:r>
                <a:r>
                  <a:rPr lang="en-US" baseline="-25000"/>
                  <a:t>2</a:t>
                </a:r>
                <a:r>
                  <a:rPr lang="en-US"/>
                  <a:t>e</a:t>
                </a:r>
              </a:p>
            </c:rich>
          </c:tx>
          <c:overlay val="0"/>
        </c:title>
        <c:numFmt formatCode="#,##0.00_);\(#,##0.00\);&quot;-&quot;" sourceLinked="1"/>
        <c:majorTickMark val="out"/>
        <c:minorTickMark val="none"/>
        <c:tickLblPos val="nextTo"/>
        <c:crossAx val="564171944"/>
        <c:crosses val="autoZero"/>
        <c:crossBetween val="between"/>
      </c:valAx>
    </c:plotArea>
    <c:plotVisOnly val="1"/>
    <c:dispBlanksAs val="gap"/>
    <c:showDLblsOverMax val="0"/>
  </c:chart>
  <c:printSettings>
    <c:headerFooter/>
    <c:pageMargins b="0.75000000000001199" l="0.70000000000000095" r="0.70000000000000095" t="0.75000000000001199"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by Source (MT CO</a:t>
            </a:r>
            <a:r>
              <a:rPr lang="en-US" baseline="-25000"/>
              <a:t>2</a:t>
            </a:r>
            <a:r>
              <a:rPr lang="en-US"/>
              <a:t>e)</a:t>
            </a:r>
          </a:p>
        </c:rich>
      </c:tx>
      <c:layout>
        <c:manualLayout>
          <c:xMode val="edge"/>
          <c:yMode val="edge"/>
          <c:x val="1.589110067262E-2"/>
          <c:y val="2.9850746268656699E-2"/>
        </c:manualLayout>
      </c:layout>
      <c:overlay val="0"/>
    </c:title>
    <c:autoTitleDeleted val="0"/>
    <c:plotArea>
      <c:layout>
        <c:manualLayout>
          <c:layoutTarget val="inner"/>
          <c:xMode val="edge"/>
          <c:yMode val="edge"/>
          <c:x val="0.48287533631417501"/>
          <c:y val="7.6068868257139502E-2"/>
          <c:w val="0.46399515445184703"/>
          <c:h val="0.84786263162889897"/>
        </c:manualLayout>
      </c:layout>
      <c:pieChart>
        <c:varyColors val="1"/>
        <c:ser>
          <c:idx val="0"/>
          <c:order val="0"/>
          <c:tx>
            <c:strRef>
              <c:f>'Summary-Emissions'!$B$12:$J$12</c:f>
              <c:strCache>
                <c:ptCount val="1"/>
                <c:pt idx="0">
                  <c:v>Emissions by Source (MT CO2e)</c:v>
                </c:pt>
              </c:strCache>
            </c:strRef>
          </c:tx>
          <c:dLbls>
            <c:delete val="1"/>
          </c:dLbls>
          <c:cat>
            <c:strRef>
              <c:f>'Summary-Emissions'!$W$13:$W$22</c:f>
              <c:strCache>
                <c:ptCount val="10"/>
                <c:pt idx="0">
                  <c:v>Stationary Combustion</c:v>
                </c:pt>
                <c:pt idx="1">
                  <c:v>Mobile Combustion</c:v>
                </c:pt>
                <c:pt idx="2">
                  <c:v>Solid Waste</c:v>
                </c:pt>
                <c:pt idx="3">
                  <c:v>Wastewater Treatment</c:v>
                </c:pt>
                <c:pt idx="4">
                  <c:v>Electricity - Market Based</c:v>
                </c:pt>
                <c:pt idx="5">
                  <c:v>Water</c:v>
                </c:pt>
                <c:pt idx="6">
                  <c:v>Ag &amp; :and Management</c:v>
                </c:pt>
                <c:pt idx="7">
                  <c:v>Urban Forestry</c:v>
                </c:pt>
                <c:pt idx="8">
                  <c:v>Waste Generation</c:v>
                </c:pt>
                <c:pt idx="9">
                  <c:v>Other</c:v>
                </c:pt>
              </c:strCache>
            </c:strRef>
          </c:cat>
          <c:val>
            <c:numRef>
              <c:f>'Summary-Emissions'!$AD$13:$AD$22</c:f>
              <c:numCache>
                <c:formatCode>#,##0.00_);\(#,##0.00\);"-"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5335-40A3-9632-5E685F720BB8}"/>
            </c:ext>
          </c:extLst>
        </c:ser>
        <c:dLbls>
          <c:showLegendKey val="0"/>
          <c:showVal val="1"/>
          <c:showCatName val="0"/>
          <c:showSerName val="0"/>
          <c:showPercent val="0"/>
          <c:showBubbleSize val="0"/>
          <c:showLeaderLines val="1"/>
        </c:dLbls>
        <c:firstSliceAng val="0"/>
      </c:pieChart>
    </c:plotArea>
    <c:legend>
      <c:legendPos val="r"/>
      <c:layout>
        <c:manualLayout>
          <c:xMode val="edge"/>
          <c:yMode val="edge"/>
          <c:x val="7.1742096067778996E-3"/>
          <c:y val="0.174416511189113"/>
          <c:w val="0.417801898558399"/>
          <c:h val="0.79498054882316704"/>
        </c:manualLayout>
      </c:layout>
      <c:overlay val="0"/>
    </c:legend>
    <c:plotVisOnly val="1"/>
    <c:dispBlanksAs val="gap"/>
    <c:showDLblsOverMax val="0"/>
  </c:chart>
  <c:printSettings>
    <c:headerFooter/>
    <c:pageMargins b="0.75000000000001199" l="0.70000000000000095" r="0.70000000000000095" t="0.75000000000001199"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D$6" max="2025" min="1990" page="10" val="199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X$46" lockText="1" noThreeD="1"/>
</file>

<file path=xl/ctrlProps/ctrlProp8.xml><?xml version="1.0" encoding="utf-8"?>
<formControlPr xmlns="http://schemas.microsoft.com/office/spreadsheetml/2009/9/main" objectType="CheckBox" checked="Checked" fmlaLink="$X$47" lockText="1" noThreeD="1"/>
</file>

<file path=xl/ctrlProps/ctrlProp9.xml><?xml version="1.0" encoding="utf-8"?>
<formControlPr xmlns="http://schemas.microsoft.com/office/spreadsheetml/2009/9/main" objectType="CheckBox" checked="Checked" fmlaLink="$X$93" lockText="1" noThreeD="1"/>
</file>

<file path=xl/ctrlProps/ctrlProp10.xml><?xml version="1.0" encoding="utf-8"?>
<formControlPr xmlns="http://schemas.microsoft.com/office/spreadsheetml/2009/9/main" objectType="CheckBox" checked="Checked" fmlaLink="$X$94"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S$58" lockText="1" noThreeD="1"/>
</file>

<file path=xl/ctrlProps/ctrlProp16.xml><?xml version="1.0" encoding="utf-8"?>
<formControlPr xmlns="http://schemas.microsoft.com/office/spreadsheetml/2009/9/main" objectType="CheckBox" checked="Checked" fmlaLink="$S$59" lockText="1" noThreeD="1"/>
</file>

<file path=xl/ctrlProps/ctrlProp17.xml><?xml version="1.0" encoding="utf-8"?>
<formControlPr xmlns="http://schemas.microsoft.com/office/spreadsheetml/2009/9/main" objectType="Drop" dropStyle="combo" dx="31" fmlaLink="$A$10" fmlaRange="yes_no" noThreeD="1" sel="1" val="0"/>
</file>

<file path=xl/ctrlProps/ctrlProp18.xml><?xml version="1.0" encoding="utf-8"?>
<formControlPr xmlns="http://schemas.microsoft.com/office/spreadsheetml/2009/9/main" objectType="Spin" dx="15" fmlaLink="MyLFCount" max="10" min="1" page="10"/>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fmlaLink="$R$11"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fmlaLink="$R$13"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checked="Checked" firstButton="1" fmlaLink="$R$15"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Radio" checked="Checked" firstButton="1" fmlaLink="$R$16"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checked="Checked" firstButton="1" fmlaLink="$R$17"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Radio" firstButton="1" fmlaLink="$R$19" lockText="1" noThreeD="1"/>
</file>

<file path=xl/ctrlProps/ctrlProp36.xml><?xml version="1.0" encoding="utf-8"?>
<formControlPr xmlns="http://schemas.microsoft.com/office/spreadsheetml/2009/9/main" objectType="Radio" checked="Checked"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checked="Checked" firstButton="1" fmlaLink="$R$12"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Radio" firstButton="1" fmlaLink="$R$14" lockText="1" noThreeD="1"/>
</file>

<file path=xl/ctrlProps/ctrlProp42.xml><?xml version="1.0" encoding="utf-8"?>
<formControlPr xmlns="http://schemas.microsoft.com/office/spreadsheetml/2009/9/main" objectType="Radio" checked="Checked"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checked="Checked" firstButton="1" fmlaLink="$R$18"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Drop" dropStyle="combo" dx="31" fmlaLink="$Q$13" fmlaRange="yes_no" noThreeD="1" sel="1" val="0"/>
</file>

<file path=xl/ctrlProps/ctrlProp54.xml><?xml version="1.0" encoding="utf-8"?>
<formControlPr xmlns="http://schemas.microsoft.com/office/spreadsheetml/2009/9/main" objectType="CheckBox" checked="Checked" fmlaLink="$R$75" lockText="1" noThreeD="1"/>
</file>

<file path=xl/ctrlProps/ctrlProp55.xml><?xml version="1.0" encoding="utf-8"?>
<formControlPr xmlns="http://schemas.microsoft.com/office/spreadsheetml/2009/9/main" objectType="CheckBox" checked="Checked" fmlaLink="$R$76" lockText="1" noThreeD="1"/>
</file>

<file path=xl/ctrlProps/ctrlProp56.xml><?xml version="1.0" encoding="utf-8"?>
<formControlPr xmlns="http://schemas.microsoft.com/office/spreadsheetml/2009/9/main" objectType="CheckBox" checked="Checked" fmlaLink="$R$100" lockText="1" noThreeD="1"/>
</file>

<file path=xl/ctrlProps/ctrlProp57.xml><?xml version="1.0" encoding="utf-8"?>
<formControlPr xmlns="http://schemas.microsoft.com/office/spreadsheetml/2009/9/main" objectType="CheckBox" checked="Checked" fmlaLink="$R$101" lockText="1" noThreeD="1"/>
</file>

<file path=xl/ctrlProps/ctrlProp58.xml><?xml version="1.0" encoding="utf-8"?>
<formControlPr xmlns="http://schemas.microsoft.com/office/spreadsheetml/2009/9/main" objectType="Drop" dropLines="2" dropStyle="combo" dx="31" fmlaLink="$Q$9" fmlaRange="yes_no"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1.png"/><Relationship Id="rId1" Type="http://schemas.openxmlformats.org/officeDocument/2006/relationships/hyperlink" Target="#TOC!A1"/><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png"/><Relationship Id="rId1" Type="http://schemas.openxmlformats.org/officeDocument/2006/relationships/hyperlink" Target="#TOC!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hyperlink" Target="#'Mobile-Data'!A1"/><Relationship Id="rId13" Type="http://schemas.openxmlformats.org/officeDocument/2006/relationships/hyperlink" Target="#'Solid Waste-Entry'!A1"/><Relationship Id="rId18" Type="http://schemas.openxmlformats.org/officeDocument/2006/relationships/hyperlink" Target="#'Summary-Emissions'!A1"/><Relationship Id="rId26" Type="http://schemas.openxmlformats.org/officeDocument/2006/relationships/hyperlink" Target="#'Electricity LocationBased-Calcs'!A1"/><Relationship Id="rId3" Type="http://schemas.openxmlformats.org/officeDocument/2006/relationships/hyperlink" Target="#'Stationary-Data'!A1"/><Relationship Id="rId21" Type="http://schemas.openxmlformats.org/officeDocument/2006/relationships/hyperlink" Target="#Definitions!A2"/><Relationship Id="rId7" Type="http://schemas.openxmlformats.org/officeDocument/2006/relationships/hyperlink" Target="#'Electricity MarketBased-Calcs'!A1"/><Relationship Id="rId12" Type="http://schemas.openxmlformats.org/officeDocument/2006/relationships/hyperlink" Target="#'Solid Waste-Control'!A1"/><Relationship Id="rId17" Type="http://schemas.openxmlformats.org/officeDocument/2006/relationships/hyperlink" Target="#'Additional Emission Sources'!A1"/><Relationship Id="rId25" Type="http://schemas.openxmlformats.org/officeDocument/2006/relationships/hyperlink" Target="#'Waste Production'!A1"/><Relationship Id="rId2" Type="http://schemas.openxmlformats.org/officeDocument/2006/relationships/hyperlink" Target="#'Stationary-Entry'!A1"/><Relationship Id="rId16" Type="http://schemas.openxmlformats.org/officeDocument/2006/relationships/hyperlink" Target="#'Wastewater- Calcs'!A1"/><Relationship Id="rId20" Type="http://schemas.openxmlformats.org/officeDocument/2006/relationships/hyperlink" Target="#'Read Me'!A1"/><Relationship Id="rId1" Type="http://schemas.openxmlformats.org/officeDocument/2006/relationships/hyperlink" Target="#'Control Sheet'!A1"/><Relationship Id="rId6" Type="http://schemas.openxmlformats.org/officeDocument/2006/relationships/hyperlink" Target="#'Electricity-Data'!A1"/><Relationship Id="rId11" Type="http://schemas.openxmlformats.org/officeDocument/2006/relationships/hyperlink" Target="#'Mobile-Entry'!A1"/><Relationship Id="rId24" Type="http://schemas.openxmlformats.org/officeDocument/2006/relationships/hyperlink" Target="#'Urban Forestry'!A1"/><Relationship Id="rId5" Type="http://schemas.openxmlformats.org/officeDocument/2006/relationships/hyperlink" Target="#'Electricity-Entry'!A1"/><Relationship Id="rId15" Type="http://schemas.openxmlformats.org/officeDocument/2006/relationships/hyperlink" Target="#'Wastewater-Entry'!A1"/><Relationship Id="rId23" Type="http://schemas.openxmlformats.org/officeDocument/2006/relationships/hyperlink" Target="#Water!A1"/><Relationship Id="rId28" Type="http://schemas.openxmlformats.org/officeDocument/2006/relationships/image" Target="../media/image5.png"/><Relationship Id="rId10" Type="http://schemas.openxmlformats.org/officeDocument/2006/relationships/hyperlink" Target="#'Mobile-Detail Calcs'!A1"/><Relationship Id="rId19" Type="http://schemas.openxmlformats.org/officeDocument/2006/relationships/hyperlink" Target="#Introduction!A1"/><Relationship Id="rId4" Type="http://schemas.openxmlformats.org/officeDocument/2006/relationships/hyperlink" Target="#'Stationary-Calcs'!A1"/><Relationship Id="rId9" Type="http://schemas.openxmlformats.org/officeDocument/2006/relationships/hyperlink" Target="#'Mobile-Summary'!A1"/><Relationship Id="rId14" Type="http://schemas.openxmlformats.org/officeDocument/2006/relationships/hyperlink" Target="#'Wastewater-Control'!A1"/><Relationship Id="rId22" Type="http://schemas.openxmlformats.org/officeDocument/2006/relationships/hyperlink" Target="#'Agriculture &amp; Land Management'!A1"/><Relationship Id="rId27"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5.xml.rels><?xml version="1.0" encoding="UTF-8" standalone="yes"?>
<Relationships xmlns="http://schemas.openxmlformats.org/package/2006/relationships"><Relationship Id="rId8" Type="http://schemas.openxmlformats.org/officeDocument/2006/relationships/hyperlink" Target="https://www.epa.gov/system/files/documents/2023-10/ag_land_management_county_regional_guidance_9.20.23_508.pdf" TargetMode="External"/><Relationship Id="rId3" Type="http://schemas.openxmlformats.org/officeDocument/2006/relationships/image" Target="../media/image1.png"/><Relationship Id="rId7" Type="http://schemas.openxmlformats.org/officeDocument/2006/relationships/hyperlink" Target="https://www.epa.gov/system/files/documents/2023-10/slope_emissions-data_county_and_regional_guidance_8.21.23_508c.pdf" TargetMode="External"/><Relationship Id="rId2" Type="http://schemas.openxmlformats.org/officeDocument/2006/relationships/hyperlink" Target="#Factors!C19"/><Relationship Id="rId1" Type="http://schemas.openxmlformats.org/officeDocument/2006/relationships/hyperlink" Target="#TOC!A1"/><Relationship Id="rId6" Type="http://schemas.openxmlformats.org/officeDocument/2006/relationships/image" Target="../media/image12.png"/><Relationship Id="rId11" Type="http://schemas.openxmlformats.org/officeDocument/2006/relationships/hyperlink" Target="https://ghgprotocol.org/greenhouse-gas-protocol-accounting-reporting-standard-cities" TargetMode="External"/><Relationship Id="rId5" Type="http://schemas.openxmlformats.org/officeDocument/2006/relationships/hyperlink" Target="https://www.epa.gov/egrid/power-profiler#/" TargetMode="External"/><Relationship Id="rId10" Type="http://schemas.openxmlformats.org/officeDocument/2006/relationships/hyperlink" Target="https://www.epa.gov/system/files/documents/2023-10/community-ghg-data-collection-template_6.22.23.xlsx" TargetMode="External"/><Relationship Id="rId4" Type="http://schemas.openxmlformats.org/officeDocument/2006/relationships/image" Target="../media/image5.png"/><Relationship Id="rId9" Type="http://schemas.openxmlformats.org/officeDocument/2006/relationships/hyperlink" Target="https://www.epa.gov/system/files/documents/2023-10/nei_emissions-data_county_and_regional_guidance_9.6.2023-508c.pdf"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7.xml.rels><?xml version="1.0" encoding="UTF-8" standalone="yes"?>
<Relationships xmlns="http://schemas.openxmlformats.org/package/2006/relationships"><Relationship Id="rId1" Type="http://schemas.openxmlformats.org/officeDocument/2006/relationships/hyperlink" Target="#TOC!A1"/></Relationships>
</file>

<file path=xl/drawings/_rels/drawing8.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hyperlink" Target="#TOC!A1"/><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10.xml.rels><?xml version="1.0" encoding="UTF-8" standalone="yes"?>
<Relationships xmlns="http://schemas.openxmlformats.org/package/2006/relationships"><Relationship Id="rId1" Type="http://schemas.openxmlformats.org/officeDocument/2006/relationships/hyperlink" Target="#TOC!A1"/></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Waste Production'!A1"/><Relationship Id="rId1" Type="http://schemas.openxmlformats.org/officeDocument/2006/relationships/hyperlink" Target="#TOC!A1"/><Relationship Id="rId4" Type="http://schemas.openxmlformats.org/officeDocument/2006/relationships/image" Target="../media/image5.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www.arb.ca.gov/cc/protocols/localgov/localgov.htm" TargetMode="External"/><Relationship Id="rId1" Type="http://schemas.openxmlformats.org/officeDocument/2006/relationships/hyperlink" Target="#TOC!A1"/><Relationship Id="rId5" Type="http://schemas.openxmlformats.org/officeDocument/2006/relationships/image" Target="../media/image5.png"/><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Wastewater-Entry'!A1"/><Relationship Id="rId1" Type="http://schemas.openxmlformats.org/officeDocument/2006/relationships/hyperlink" Target="#TOC!A1"/><Relationship Id="rId4" Type="http://schemas.openxmlformats.org/officeDocument/2006/relationships/image" Target="../media/image5.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1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1.xml"/><Relationship Id="rId1" Type="http://schemas.openxmlformats.org/officeDocument/2006/relationships/hyperlink" Target="#TOC!A1"/><Relationship Id="rId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19.xml.rels><?xml version="1.0" encoding="UTF-8" standalone="yes"?>
<Relationships xmlns="http://schemas.openxmlformats.org/package/2006/relationships"><Relationship Id="rId1" Type="http://schemas.openxmlformats.org/officeDocument/2006/relationships/hyperlink" Target="#TOC!A1"/></Relationships>
</file>

<file path=xl/drawings/_rels/drawing20.xml.rels><?xml version="1.0" encoding="UTF-8" standalone="yes"?>
<Relationships xmlns="http://schemas.openxmlformats.org/package/2006/relationships"><Relationship Id="rId3" Type="http://schemas.openxmlformats.org/officeDocument/2006/relationships/hyperlink" Target="#TOC!A1"/><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image" Target="../media/image5.png"/><Relationship Id="rId4" Type="http://schemas.openxmlformats.org/officeDocument/2006/relationships/image" Target="../media/image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chart" Target="../charts/chart14.xml"/><Relationship Id="rId1" Type="http://schemas.openxmlformats.org/officeDocument/2006/relationships/hyperlink" Target="#TOC!A1"/><Relationship Id="rId4" Type="http://schemas.openxmlformats.org/officeDocument/2006/relationships/image" Target="../media/image29.png"/></Relationships>
</file>

<file path=xl/drawings/_rels/drawing22.xml.rels><?xml version="1.0" encoding="UTF-8" standalone="yes"?>
<Relationships xmlns="http://schemas.openxmlformats.org/package/2006/relationships"><Relationship Id="rId3" Type="http://schemas.openxmlformats.org/officeDocument/2006/relationships/hyperlink" Target="#TOC!A1"/><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image" Target="../media/image5.png"/><Relationship Id="rId4" Type="http://schemas.openxmlformats.org/officeDocument/2006/relationships/image" Target="../media/image1.png"/></Relationships>
</file>

<file path=xl/drawings/_rels/drawing23.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image" Target="../media/image5.png"/><Relationship Id="rId7" Type="http://schemas.openxmlformats.org/officeDocument/2006/relationships/chart" Target="../charts/chart20.xml"/><Relationship Id="rId2" Type="http://schemas.openxmlformats.org/officeDocument/2006/relationships/image" Target="../media/image1.png"/><Relationship Id="rId1" Type="http://schemas.openxmlformats.org/officeDocument/2006/relationships/hyperlink" Target="#TOC!A1"/><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 Id="rId9" Type="http://schemas.openxmlformats.org/officeDocument/2006/relationships/chart" Target="../charts/chart22.xml"/></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2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26.xml.rels><?xml version="1.0" encoding="UTF-8" standalone="yes"?>
<Relationships xmlns="http://schemas.openxmlformats.org/package/2006/relationships"><Relationship Id="rId3" Type="http://schemas.openxmlformats.org/officeDocument/2006/relationships/hyperlink" Target="http://www.epa.gov/climatechange/wycd/waste/calculators/Warm_home.html" TargetMode="External"/><Relationship Id="rId2" Type="http://schemas.openxmlformats.org/officeDocument/2006/relationships/hyperlink" Target="#'Solid Waste-Control'!A1"/><Relationship Id="rId1" Type="http://schemas.openxmlformats.org/officeDocument/2006/relationships/hyperlink" Target="#TOC!A1"/><Relationship Id="rId5" Type="http://schemas.openxmlformats.org/officeDocument/2006/relationships/image" Target="../media/image5.png"/><Relationship Id="rId4" Type="http://schemas.openxmlformats.org/officeDocument/2006/relationships/image" Target="../media/image1.png"/></Relationships>
</file>

<file path=xl/drawings/_rels/drawing2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TOC!A1"/></Relationships>
</file>

<file path=xl/drawings/_rels/drawing28.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25.xml"/><Relationship Id="rId7" Type="http://schemas.openxmlformats.org/officeDocument/2006/relationships/image" Target="../media/image1.png"/><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hyperlink" Target="#TOC!A1"/><Relationship Id="rId5" Type="http://schemas.openxmlformats.org/officeDocument/2006/relationships/chart" Target="../charts/chart27.xml"/><Relationship Id="rId4" Type="http://schemas.openxmlformats.org/officeDocument/2006/relationships/chart" Target="../charts/chart26.xml"/></Relationships>
</file>

<file path=xl/drawings/_rels/drawing29.xml.rels><?xml version="1.0" encoding="UTF-8" standalone="yes"?>
<Relationships xmlns="http://schemas.openxmlformats.org/package/2006/relationships"><Relationship Id="rId1" Type="http://schemas.openxmlformats.org/officeDocument/2006/relationships/hyperlink" Target="#TOC!A1"/></Relationships>
</file>

<file path=xl/drawings/_rels/drawing30.xml.rels><?xml version="1.0" encoding="UTF-8" standalone="yes"?>
<Relationships xmlns="http://schemas.openxmlformats.org/package/2006/relationships"><Relationship Id="rId1" Type="http://schemas.openxmlformats.org/officeDocument/2006/relationships/hyperlink" Target="#TOC!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5" Type="http://schemas.openxmlformats.org/officeDocument/2006/relationships/image" Target="../media/image7.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5" Type="http://schemas.openxmlformats.org/officeDocument/2006/relationships/image" Target="../media/image18.emf"/><Relationship Id="rId4" Type="http://schemas.openxmlformats.org/officeDocument/2006/relationships/image" Target="../media/image1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twoCellAnchor>
    <xdr:from>
      <xdr:col>0</xdr:col>
      <xdr:colOff>82550</xdr:colOff>
      <xdr:row>1</xdr:row>
      <xdr:rowOff>158749</xdr:rowOff>
    </xdr:from>
    <xdr:to>
      <xdr:col>12</xdr:col>
      <xdr:colOff>552450</xdr:colOff>
      <xdr:row>34</xdr:row>
      <xdr:rowOff>142874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2550" y="644524"/>
          <a:ext cx="9023350" cy="6042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b="1" i="0" u="none" strike="noStrike">
            <a:solidFill>
              <a:schemeClr val="dk1"/>
            </a:solidFill>
            <a:latin typeface="+mn-lt"/>
            <a:ea typeface="+mn-ea"/>
            <a:cs typeface="+mn-cs"/>
          </a:endParaRPr>
        </a:p>
        <a:p>
          <a:pPr algn="l"/>
          <a:r>
            <a:rPr lang="en-US" sz="1800" b="1">
              <a:solidFill>
                <a:schemeClr val="dk1"/>
              </a:solidFill>
              <a:latin typeface="+mn-lt"/>
              <a:ea typeface="+mn-ea"/>
              <a:cs typeface="+mn-cs"/>
            </a:rPr>
            <a:t>Local GHG </a:t>
          </a:r>
          <a:r>
            <a:rPr lang="en-US" sz="1800" b="1" baseline="0">
              <a:solidFill>
                <a:schemeClr val="dk1"/>
              </a:solidFill>
              <a:latin typeface="+mn-lt"/>
              <a:ea typeface="+mn-ea"/>
              <a:cs typeface="+mn-cs"/>
            </a:rPr>
            <a:t>Inventory Tool: Community Module</a:t>
          </a:r>
          <a:endParaRPr lang="en-US" sz="1800" b="1">
            <a:solidFill>
              <a:schemeClr val="dk1"/>
            </a:solidFill>
            <a:latin typeface="+mn-lt"/>
            <a:ea typeface="+mn-ea"/>
            <a:cs typeface="+mn-cs"/>
          </a:endParaRPr>
        </a:p>
        <a:p>
          <a:pPr algn="l"/>
          <a:r>
            <a:rPr lang="en-US" sz="1050" b="1" i="1" u="none" strike="noStrike">
              <a:solidFill>
                <a:schemeClr val="dk1"/>
              </a:solidFill>
              <a:latin typeface="+mn-lt"/>
              <a:ea typeface="+mn-ea"/>
              <a:cs typeface="+mn-cs"/>
            </a:rPr>
            <a:t>Version 2024.1</a:t>
          </a:r>
        </a:p>
        <a:p>
          <a:pPr algn="l"/>
          <a:endParaRPr lang="en-US" sz="1200" b="1" i="0" u="none" strike="noStrike">
            <a:solidFill>
              <a:schemeClr val="dk1"/>
            </a:solidFill>
            <a:latin typeface="+mn-lt"/>
            <a:ea typeface="+mn-ea"/>
            <a:cs typeface="+mn-cs"/>
          </a:endParaRPr>
        </a:p>
        <a:p>
          <a:pPr algn="l"/>
          <a:r>
            <a:rPr lang="en-US" sz="1200" b="1" i="0" u="none" strike="noStrike">
              <a:solidFill>
                <a:schemeClr val="dk1"/>
              </a:solidFill>
              <a:latin typeface="+mn-lt"/>
              <a:ea typeface="+mn-ea"/>
              <a:cs typeface="+mn-cs"/>
            </a:rPr>
            <a:t>What is the Local GHG Inventory Tool: Community Module?</a:t>
          </a:r>
          <a:r>
            <a:rPr lang="en-US" sz="1200"/>
            <a:t> </a:t>
          </a:r>
          <a:endParaRPr lang="en-US" sz="1200" baseline="0"/>
        </a:p>
        <a:p>
          <a:endParaRPr lang="en-US" sz="1100" b="0" i="0" u="none" strike="noStrike">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This tool is designed to help communities evaluate and estimate greenhouse gas emissions </a:t>
          </a:r>
          <a:r>
            <a:rPr lang="en-US" sz="1100" baseline="0">
              <a:solidFill>
                <a:schemeClr val="dk1"/>
              </a:solidFill>
              <a:latin typeface="+mn-lt"/>
              <a:ea typeface="+mn-ea"/>
              <a:cs typeface="+mn-cs"/>
            </a:rPr>
            <a:t>within their communities</a:t>
          </a:r>
          <a:r>
            <a:rPr lang="en-US" sz="1100">
              <a:solidFill>
                <a:schemeClr val="dk1"/>
              </a:solidFill>
              <a:latin typeface="+mn-lt"/>
              <a:ea typeface="+mn-ea"/>
              <a:cs typeface="+mn-cs"/>
            </a:rPr>
            <a:t>. This tool can help communities</a:t>
          </a:r>
          <a:r>
            <a:rPr lang="en-US" sz="1100" baseline="0">
              <a:solidFill>
                <a:schemeClr val="dk1"/>
              </a:solidFill>
              <a:latin typeface="+mn-lt"/>
              <a:ea typeface="+mn-ea"/>
              <a:cs typeface="+mn-cs"/>
            </a:rPr>
            <a:t> </a:t>
          </a:r>
          <a:r>
            <a:rPr lang="en-US" sz="1100">
              <a:solidFill>
                <a:schemeClr val="dk1"/>
              </a:solidFill>
              <a:latin typeface="+mn-lt"/>
              <a:ea typeface="+mn-ea"/>
              <a:cs typeface="+mn-cs"/>
            </a:rPr>
            <a:t>understand</a:t>
          </a:r>
          <a:r>
            <a:rPr lang="en-US" sz="1100" baseline="0">
              <a:solidFill>
                <a:schemeClr val="dk1"/>
              </a:solidFill>
              <a:latin typeface="+mn-lt"/>
              <a:ea typeface="+mn-ea"/>
              <a:cs typeface="+mn-cs"/>
            </a:rPr>
            <a:t> their greenhouse gas emissions profile and the sectors driving emissions, provides a baseline for tracking emission trends, and can feed into an action plan that will address and reduce emissions.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The tool helps users to develop a base year greenhouse gas inventory for local</a:t>
          </a:r>
          <a:r>
            <a:rPr lang="en-US" sz="1100" baseline="0">
              <a:solidFill>
                <a:schemeClr val="dk1"/>
              </a:solidFill>
              <a:latin typeface="+mn-lt"/>
              <a:ea typeface="+mn-ea"/>
              <a:cs typeface="+mn-cs"/>
            </a:rPr>
            <a:t> </a:t>
          </a:r>
          <a:r>
            <a:rPr lang="en-US" sz="1100">
              <a:solidFill>
                <a:schemeClr val="dk1"/>
              </a:solidFill>
              <a:latin typeface="+mn-lt"/>
              <a:ea typeface="+mn-ea"/>
              <a:cs typeface="+mn-cs"/>
            </a:rPr>
            <a:t>communities, according to the Global Protocol for Community-Scale GHG Emissions (GPC).   </a:t>
          </a:r>
        </a:p>
        <a:p>
          <a:endParaRPr lang="en-US" sz="1100" b="1">
            <a:solidFill>
              <a:schemeClr val="dk1"/>
            </a:solidFill>
            <a:latin typeface="+mn-lt"/>
            <a:ea typeface="+mn-ea"/>
            <a:cs typeface="+mn-cs"/>
          </a:endParaRPr>
        </a:p>
        <a:p>
          <a:r>
            <a:rPr lang="en-US" sz="1100" b="1">
              <a:solidFill>
                <a:schemeClr val="dk1"/>
              </a:solidFill>
              <a:latin typeface="+mn-lt"/>
              <a:ea typeface="+mn-ea"/>
              <a:cs typeface="+mn-cs"/>
            </a:rPr>
            <a:t>Use of default data:</a:t>
          </a:r>
          <a:endParaRPr lang="en-US" sz="1100">
            <a:solidFill>
              <a:schemeClr val="dk1"/>
            </a:solidFill>
            <a:latin typeface="+mn-lt"/>
            <a:ea typeface="+mn-ea"/>
            <a:cs typeface="+mn-cs"/>
          </a:endParaRPr>
        </a:p>
        <a:p>
          <a:r>
            <a:rPr lang="en-US" sz="1100">
              <a:solidFill>
                <a:schemeClr val="dk1"/>
              </a:solidFill>
              <a:latin typeface="+mn-lt"/>
              <a:ea typeface="+mn-ea"/>
              <a:cs typeface="+mn-cs"/>
            </a:rPr>
            <a:t>This tool</a:t>
          </a:r>
          <a:r>
            <a:rPr lang="en-US" sz="1100" baseline="0">
              <a:solidFill>
                <a:schemeClr val="dk1"/>
              </a:solidFill>
              <a:latin typeface="+mn-lt"/>
              <a:ea typeface="+mn-ea"/>
              <a:cs typeface="+mn-cs"/>
            </a:rPr>
            <a:t> gives users the option of applying their own locality-specific data or in some cases using pre-loaded default data. The default data are gathered by federal agencies and other sources covering </a:t>
          </a:r>
          <a:r>
            <a:rPr lang="en-US" sz="1100">
              <a:solidFill>
                <a:schemeClr val="dk1"/>
              </a:solidFill>
              <a:latin typeface="+mn-lt"/>
              <a:ea typeface="+mn-ea"/>
              <a:cs typeface="+mn-cs"/>
            </a:rPr>
            <a:t>the default emission factors and system assumptions needed to calculate emissions according to the GPC.</a:t>
          </a:r>
          <a:r>
            <a:rPr lang="en-US" sz="1100" baseline="0">
              <a:solidFill>
                <a:schemeClr val="dk1"/>
              </a:solidFill>
              <a:latin typeface="+mn-lt"/>
              <a:ea typeface="+mn-ea"/>
              <a:cs typeface="+mn-cs"/>
            </a:rPr>
            <a:t> </a:t>
          </a:r>
        </a:p>
        <a:p>
          <a:endParaRPr lang="en-US" sz="1100" b="1">
            <a:solidFill>
              <a:schemeClr val="dk1"/>
            </a:solidFill>
            <a:latin typeface="+mn-lt"/>
            <a:ea typeface="+mn-ea"/>
            <a:cs typeface="+mn-cs"/>
          </a:endParaRPr>
        </a:p>
        <a:p>
          <a:r>
            <a:rPr lang="en-US" sz="1100" b="1">
              <a:solidFill>
                <a:schemeClr val="dk1"/>
              </a:solidFill>
              <a:latin typeface="+mn-lt"/>
              <a:ea typeface="+mn-ea"/>
              <a:cs typeface="+mn-cs"/>
            </a:rPr>
            <a:t>Important Terminology:</a:t>
          </a:r>
          <a:r>
            <a:rPr lang="en-US" sz="1100">
              <a:solidFill>
                <a:schemeClr val="dk1"/>
              </a:solidFill>
              <a:latin typeface="+mn-lt"/>
              <a:ea typeface="+mn-ea"/>
              <a:cs typeface="+mn-cs"/>
            </a:rPr>
            <a:t> </a:t>
          </a:r>
        </a:p>
        <a:p>
          <a:r>
            <a:rPr lang="en-US" sz="1100" i="1">
              <a:solidFill>
                <a:schemeClr val="dk1"/>
              </a:solidFill>
              <a:latin typeface="+mn-lt"/>
              <a:ea typeface="+mn-ea"/>
              <a:cs typeface="+mn-cs"/>
            </a:rPr>
            <a:t>Scope</a:t>
          </a:r>
          <a:r>
            <a:rPr lang="en-US" sz="1100">
              <a:solidFill>
                <a:schemeClr val="dk1"/>
              </a:solidFill>
              <a:latin typeface="+mn-lt"/>
              <a:ea typeface="+mn-ea"/>
              <a:cs typeface="+mn-cs"/>
            </a:rPr>
            <a:t> - A common means of categorizing direct and indirect emissions to improve transparency and</a:t>
          </a:r>
          <a:r>
            <a:rPr lang="en-US" sz="1100" baseline="0">
              <a:solidFill>
                <a:schemeClr val="dk1"/>
              </a:solidFill>
              <a:latin typeface="+mn-lt"/>
              <a:ea typeface="+mn-ea"/>
              <a:cs typeface="+mn-cs"/>
            </a:rPr>
            <a:t> for identifying</a:t>
          </a:r>
          <a:r>
            <a:rPr lang="en-US" sz="1100">
              <a:solidFill>
                <a:schemeClr val="dk1"/>
              </a:solidFill>
              <a:latin typeface="+mn-lt"/>
              <a:ea typeface="+mn-ea"/>
              <a:cs typeface="+mn-cs"/>
            </a:rPr>
            <a:t> different types of climate policies and goals. </a:t>
          </a:r>
          <a:r>
            <a:rPr lang="en-US" sz="1100">
              <a:solidFill>
                <a:schemeClr val="dk1"/>
              </a:solidFill>
              <a:effectLst/>
              <a:latin typeface="+mn-lt"/>
              <a:ea typeface="+mn-ea"/>
              <a:cs typeface="+mn-cs"/>
            </a:rPr>
            <a:t>See the GPC for an expanded definition</a:t>
          </a:r>
          <a:r>
            <a:rPr lang="en-US" sz="1100" baseline="0">
              <a:solidFill>
                <a:schemeClr val="dk1"/>
              </a:solidFill>
              <a:effectLst/>
              <a:latin typeface="+mn-lt"/>
              <a:ea typeface="+mn-ea"/>
              <a:cs typeface="+mn-cs"/>
            </a:rPr>
            <a:t> of these terms. </a:t>
          </a:r>
          <a:r>
            <a:rPr lang="en-US" sz="1100">
              <a:solidFill>
                <a:schemeClr val="dk1"/>
              </a:solidFill>
              <a:latin typeface="+mn-lt"/>
              <a:ea typeface="+mn-ea"/>
              <a:cs typeface="+mn-cs"/>
            </a:rPr>
            <a:t>There are three </a:t>
          </a:r>
          <a:r>
            <a:rPr lang="en-US" sz="1100" i="1">
              <a:solidFill>
                <a:schemeClr val="dk1"/>
              </a:solidFill>
              <a:latin typeface="+mn-lt"/>
              <a:ea typeface="+mn-ea"/>
              <a:cs typeface="+mn-cs"/>
            </a:rPr>
            <a:t>scopes</a:t>
          </a:r>
          <a:r>
            <a:rPr lang="en-US" sz="1100">
              <a:solidFill>
                <a:schemeClr val="dk1"/>
              </a:solidFill>
              <a:latin typeface="+mn-lt"/>
              <a:ea typeface="+mn-ea"/>
              <a:cs typeface="+mn-cs"/>
            </a:rPr>
            <a:t> of emissions:</a:t>
          </a:r>
        </a:p>
        <a:p>
          <a:pPr lvl="1"/>
          <a:r>
            <a:rPr lang="en-US" sz="1100" i="1">
              <a:solidFill>
                <a:schemeClr val="dk1"/>
              </a:solidFill>
              <a:latin typeface="+mn-lt"/>
              <a:ea typeface="+mn-ea"/>
              <a:cs typeface="+mn-cs"/>
            </a:rPr>
            <a:t>Scope 1 - </a:t>
          </a:r>
          <a:r>
            <a:rPr lang="en-US" sz="1100">
              <a:solidFill>
                <a:schemeClr val="dk1"/>
              </a:solidFill>
              <a:latin typeface="+mn-lt"/>
              <a:ea typeface="+mn-ea"/>
              <a:cs typeface="+mn-cs"/>
            </a:rPr>
            <a:t>All direct GHG emission sources from activities taking place</a:t>
          </a:r>
          <a:r>
            <a:rPr lang="en-US" sz="1100" baseline="0">
              <a:solidFill>
                <a:schemeClr val="dk1"/>
              </a:solidFill>
              <a:latin typeface="+mn-lt"/>
              <a:ea typeface="+mn-ea"/>
              <a:cs typeface="+mn-cs"/>
            </a:rPr>
            <a:t> within the community's geopolitical boundary.</a:t>
          </a:r>
          <a:endParaRPr lang="en-US" sz="1100">
            <a:solidFill>
              <a:schemeClr val="dk1"/>
            </a:solidFill>
            <a:latin typeface="+mn-lt"/>
            <a:ea typeface="+mn-ea"/>
            <a:cs typeface="+mn-cs"/>
          </a:endParaRPr>
        </a:p>
        <a:p>
          <a:pPr lvl="1"/>
          <a:r>
            <a:rPr lang="en-US" sz="1100" i="1">
              <a:solidFill>
                <a:schemeClr val="dk1"/>
              </a:solidFill>
              <a:latin typeface="+mn-lt"/>
              <a:ea typeface="+mn-ea"/>
              <a:cs typeface="+mn-cs"/>
            </a:rPr>
            <a:t>Scope 2</a:t>
          </a:r>
          <a:r>
            <a:rPr lang="en-US" sz="1100">
              <a:solidFill>
                <a:schemeClr val="dk1"/>
              </a:solidFill>
              <a:latin typeface="+mn-lt"/>
              <a:ea typeface="+mn-ea"/>
              <a:cs typeface="+mn-cs"/>
            </a:rPr>
            <a:t> - Energy-related indirect GHG emissions that result as a consequence of consumption of grid-supplied electricity,</a:t>
          </a:r>
          <a:r>
            <a:rPr lang="en-US" sz="1100" baseline="0">
              <a:solidFill>
                <a:schemeClr val="dk1"/>
              </a:solidFill>
              <a:latin typeface="+mn-lt"/>
              <a:ea typeface="+mn-ea"/>
              <a:cs typeface="+mn-cs"/>
            </a:rPr>
            <a:t> heating and/or cooling, within the community's geopolitical boundary. </a:t>
          </a:r>
        </a:p>
        <a:p>
          <a:r>
            <a:rPr lang="en-US" sz="1100" i="1">
              <a:solidFill>
                <a:schemeClr val="dk1"/>
              </a:solidFill>
              <a:effectLst/>
              <a:latin typeface="+mn-lt"/>
              <a:ea typeface="+mn-ea"/>
              <a:cs typeface="+mn-cs"/>
            </a:rPr>
            <a:t>	▪ Location-based method </a:t>
          </a:r>
          <a:r>
            <a:rPr lang="en-US" sz="1100">
              <a:solidFill>
                <a:schemeClr val="dk1"/>
              </a:solidFill>
              <a:effectLst/>
              <a:latin typeface="+mn-lt"/>
              <a:ea typeface="+mn-ea"/>
              <a:cs typeface="+mn-cs"/>
            </a:rPr>
            <a:t>reflects emissions using only grid-average emission factors. In the United States, the standard grid-average</a:t>
          </a:r>
          <a:r>
            <a:rPr lang="en-US" sz="1100" baseline="0">
              <a:solidFill>
                <a:schemeClr val="dk1"/>
              </a:solidFill>
              <a:effectLst/>
              <a:latin typeface="+mn-lt"/>
              <a:ea typeface="+mn-ea"/>
              <a:cs typeface="+mn-cs"/>
            </a:rPr>
            <a:t> 	emission factors are the U.S. Environmental Protection Agency's Emissions &amp; Generation Resource Integrated Database (eGRID). 	</a:t>
          </a:r>
          <a:r>
            <a:rPr lang="en-US" sz="1100">
              <a:solidFill>
                <a:schemeClr val="dk1"/>
              </a:solidFill>
              <a:effectLst/>
              <a:latin typeface="+mn-lt"/>
              <a:ea typeface="+mn-ea"/>
              <a:cs typeface="+mn-cs"/>
            </a:rPr>
            <a:t>Communities</a:t>
          </a:r>
          <a:r>
            <a:rPr lang="en-US" sz="1100" baseline="0">
              <a:solidFill>
                <a:schemeClr val="dk1"/>
              </a:solidFill>
              <a:effectLst/>
              <a:latin typeface="+mn-lt"/>
              <a:ea typeface="+mn-ea"/>
              <a:cs typeface="+mn-cs"/>
            </a:rPr>
            <a:t> must report Scope 2 emissions using the location-based method. </a:t>
          </a:r>
          <a:endParaRPr lang="en-US">
            <a:effectLst/>
          </a:endParaRPr>
        </a:p>
        <a:p>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 Market-based method </a:t>
          </a:r>
          <a:r>
            <a:rPr lang="en-US" sz="1100">
              <a:solidFill>
                <a:schemeClr val="dk1"/>
              </a:solidFill>
              <a:effectLst/>
              <a:latin typeface="+mn-lt"/>
              <a:ea typeface="+mn-ea"/>
              <a:cs typeface="+mn-cs"/>
            </a:rPr>
            <a:t>reflects emissions from electricity based on where communities</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have specifically chosen to procure power. 	This method derives emission factors from contractual instruments, such as Renewable</a:t>
          </a:r>
          <a:r>
            <a:rPr lang="en-US" sz="1100" baseline="0">
              <a:solidFill>
                <a:schemeClr val="dk1"/>
              </a:solidFill>
              <a:effectLst/>
              <a:latin typeface="+mn-lt"/>
              <a:ea typeface="+mn-ea"/>
              <a:cs typeface="+mn-cs"/>
            </a:rPr>
            <a:t> Energy Credits (</a:t>
          </a:r>
          <a:r>
            <a:rPr lang="en-US" sz="1100">
              <a:solidFill>
                <a:schemeClr val="dk1"/>
              </a:solidFill>
              <a:effectLst/>
              <a:latin typeface="+mn-lt"/>
              <a:ea typeface="+mn-ea"/>
              <a:cs typeface="+mn-cs"/>
            </a:rPr>
            <a:t>RECs) and utility-specific 	emission factors. Communities</a:t>
          </a:r>
          <a:r>
            <a:rPr lang="en-US" sz="1100" baseline="0">
              <a:solidFill>
                <a:schemeClr val="dk1"/>
              </a:solidFill>
              <a:effectLst/>
              <a:latin typeface="+mn-lt"/>
              <a:ea typeface="+mn-ea"/>
              <a:cs typeface="+mn-cs"/>
            </a:rPr>
            <a:t> have the option to report Scope 2 emissions using the market-based method, in addition to the 	location-based 	method, to account for avoided emissions from renewable energy sources. </a:t>
          </a:r>
          <a:endParaRPr lang="en-US" sz="1100" baseline="0">
            <a:solidFill>
              <a:schemeClr val="dk1"/>
            </a:solidFill>
            <a:latin typeface="+mn-lt"/>
            <a:ea typeface="+mn-ea"/>
            <a:cs typeface="+mn-cs"/>
          </a:endParaRPr>
        </a:p>
        <a:p>
          <a:pPr lvl="1"/>
          <a:r>
            <a:rPr lang="en-US" sz="1100" i="1">
              <a:solidFill>
                <a:schemeClr val="dk1"/>
              </a:solidFill>
              <a:latin typeface="+mn-lt"/>
              <a:ea typeface="+mn-ea"/>
              <a:cs typeface="+mn-cs"/>
            </a:rPr>
            <a:t>Scope 3</a:t>
          </a:r>
          <a:r>
            <a:rPr lang="en-US" sz="1100">
              <a:solidFill>
                <a:schemeClr val="dk1"/>
              </a:solidFill>
              <a:latin typeface="+mn-lt"/>
              <a:ea typeface="+mn-ea"/>
              <a:cs typeface="+mn-cs"/>
            </a:rPr>
            <a:t> - All other indirect emissions that occur as a result of activities within the community's geopolitical boundary. These emissions are </a:t>
          </a:r>
          <a:r>
            <a:rPr lang="en-US" sz="1100" b="0">
              <a:solidFill>
                <a:sysClr val="windowText" lastClr="000000"/>
              </a:solidFill>
              <a:latin typeface="+mn-lt"/>
              <a:ea typeface="+mn-ea"/>
              <a:cs typeface="+mn-cs"/>
            </a:rPr>
            <a:t>not covered in Scope 2, such as emissions from waste disposal, or emissions from agriculture,</a:t>
          </a:r>
          <a:r>
            <a:rPr lang="en-US" sz="1100" b="0" baseline="0">
              <a:solidFill>
                <a:sysClr val="windowText" lastClr="000000"/>
              </a:solidFill>
              <a:latin typeface="+mn-lt"/>
              <a:ea typeface="+mn-ea"/>
              <a:cs typeface="+mn-cs"/>
            </a:rPr>
            <a:t> land management, and urban forestry</a:t>
          </a:r>
          <a:r>
            <a:rPr lang="en-US" sz="1100" b="0">
              <a:solidFill>
                <a:sysClr val="windowText" lastClr="000000"/>
              </a:solidFill>
              <a:latin typeface="+mn-lt"/>
              <a:ea typeface="+mn-ea"/>
              <a:cs typeface="+mn-cs"/>
            </a:rPr>
            <a:t>.</a:t>
          </a:r>
        </a:p>
        <a:p>
          <a:pPr lvl="0"/>
          <a:r>
            <a:rPr lang="en-US" sz="1100" i="1">
              <a:solidFill>
                <a:schemeClr val="dk1"/>
              </a:solidFill>
              <a:latin typeface="+mn-lt"/>
              <a:ea typeface="+mn-ea"/>
              <a:cs typeface="+mn-cs"/>
            </a:rPr>
            <a:t>Emission Factors</a:t>
          </a:r>
          <a:r>
            <a:rPr lang="en-US" sz="1100">
              <a:solidFill>
                <a:schemeClr val="dk1"/>
              </a:solidFill>
              <a:latin typeface="+mn-lt"/>
              <a:ea typeface="+mn-ea"/>
              <a:cs typeface="+mn-cs"/>
            </a:rPr>
            <a:t> - An emission factor is an amount of GHG emissions associated with a unit of activity data. For example, kg CO</a:t>
          </a:r>
          <a:r>
            <a:rPr lang="en-US" sz="1100" baseline="-25000">
              <a:solidFill>
                <a:schemeClr val="dk1"/>
              </a:solidFill>
              <a:latin typeface="+mn-lt"/>
              <a:ea typeface="+mn-ea"/>
              <a:cs typeface="+mn-cs"/>
            </a:rPr>
            <a:t>2</a:t>
          </a:r>
          <a:r>
            <a:rPr lang="en-US" sz="1100">
              <a:solidFill>
                <a:schemeClr val="dk1"/>
              </a:solidFill>
              <a:latin typeface="+mn-lt"/>
              <a:ea typeface="+mn-ea"/>
              <a:cs typeface="+mn-cs"/>
            </a:rPr>
            <a:t> emitted per kWh electricity produced (kg CO</a:t>
          </a:r>
          <a:r>
            <a:rPr lang="en-US" sz="1100" baseline="-25000">
              <a:solidFill>
                <a:schemeClr val="dk1"/>
              </a:solidFill>
              <a:latin typeface="+mn-lt"/>
              <a:ea typeface="+mn-ea"/>
              <a:cs typeface="+mn-cs"/>
            </a:rPr>
            <a:t>2</a:t>
          </a:r>
          <a:r>
            <a:rPr lang="en-US" sz="1100">
              <a:solidFill>
                <a:schemeClr val="dk1"/>
              </a:solidFill>
              <a:latin typeface="+mn-lt"/>
              <a:ea typeface="+mn-ea"/>
              <a:cs typeface="+mn-cs"/>
            </a:rPr>
            <a:t>/kWh), or lb CO</a:t>
          </a:r>
          <a:r>
            <a:rPr lang="en-US" sz="1100" baseline="-25000">
              <a:solidFill>
                <a:schemeClr val="dk1"/>
              </a:solidFill>
              <a:latin typeface="+mn-lt"/>
              <a:ea typeface="+mn-ea"/>
              <a:cs typeface="+mn-cs"/>
            </a:rPr>
            <a:t>2</a:t>
          </a:r>
          <a:r>
            <a:rPr lang="en-US" sz="1100">
              <a:solidFill>
                <a:schemeClr val="dk1"/>
              </a:solidFill>
              <a:latin typeface="+mn-lt"/>
              <a:ea typeface="+mn-ea"/>
              <a:cs typeface="+mn-cs"/>
            </a:rPr>
            <a:t> emitted per gallon of gasoline (lb CO</a:t>
          </a:r>
          <a:r>
            <a:rPr lang="en-US" sz="1100" baseline="-25000">
              <a:solidFill>
                <a:schemeClr val="dk1"/>
              </a:solidFill>
              <a:latin typeface="+mn-lt"/>
              <a:ea typeface="+mn-ea"/>
              <a:cs typeface="+mn-cs"/>
            </a:rPr>
            <a:t>2</a:t>
          </a:r>
          <a:r>
            <a:rPr lang="en-US" sz="1100">
              <a:solidFill>
                <a:schemeClr val="dk1"/>
              </a:solidFill>
              <a:latin typeface="+mn-lt"/>
              <a:ea typeface="+mn-ea"/>
              <a:cs typeface="+mn-cs"/>
            </a:rPr>
            <a:t>/gal)</a:t>
          </a:r>
          <a:r>
            <a:rPr lang="en-US" sz="1100" b="1">
              <a:solidFill>
                <a:schemeClr val="dk1"/>
              </a:solidFill>
              <a:latin typeface="+mn-lt"/>
              <a:ea typeface="+mn-ea"/>
              <a:cs typeface="+mn-cs"/>
            </a:rPr>
            <a:t>.</a:t>
          </a:r>
          <a:r>
            <a:rPr lang="en-US" sz="1100">
              <a:solidFill>
                <a:schemeClr val="dk1"/>
              </a:solidFill>
              <a:latin typeface="+mn-lt"/>
              <a:ea typeface="+mn-ea"/>
              <a:cs typeface="+mn-cs"/>
            </a:rPr>
            <a:t> </a:t>
          </a:r>
        </a:p>
      </xdr:txBody>
    </xdr:sp>
    <xdr:clientData/>
  </xdr:twoCellAnchor>
  <xdr:twoCellAnchor editAs="oneCell">
    <xdr:from>
      <xdr:col>10</xdr:col>
      <xdr:colOff>276225</xdr:colOff>
      <xdr:row>0</xdr:row>
      <xdr:rowOff>47625</xdr:rowOff>
    </xdr:from>
    <xdr:to>
      <xdr:col>12</xdr:col>
      <xdr:colOff>550333</xdr:colOff>
      <xdr:row>0</xdr:row>
      <xdr:rowOff>428625</xdr:rowOff>
    </xdr:to>
    <xdr:sp macro="" textlink="">
      <xdr:nvSpPr>
        <xdr:cNvPr id="8" name="Pentagon 7">
          <a:hlinkClick xmlns:r="http://schemas.openxmlformats.org/officeDocument/2006/relationships" r:id="rId1"/>
          <a:extLst>
            <a:ext uri="{FF2B5EF4-FFF2-40B4-BE49-F238E27FC236}">
              <a16:creationId xmlns:a16="http://schemas.microsoft.com/office/drawing/2014/main" id="{00000000-0008-0000-0000-000008000000}"/>
            </a:ext>
          </a:extLst>
        </xdr:cNvPr>
        <xdr:cNvSpPr/>
      </xdr:nvSpPr>
      <xdr:spPr>
        <a:xfrm>
          <a:off x="7229475" y="47625"/>
          <a:ext cx="1493308" cy="381000"/>
        </a:xfrm>
        <a:prstGeom prst="homePlate">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Jump to Table of Contents</a:t>
          </a:r>
        </a:p>
      </xdr:txBody>
    </xdr:sp>
    <xdr:clientData/>
  </xdr:twoCellAnchor>
  <xdr:twoCellAnchor>
    <xdr:from>
      <xdr:col>10</xdr:col>
      <xdr:colOff>606251</xdr:colOff>
      <xdr:row>35</xdr:row>
      <xdr:rowOff>18844</xdr:rowOff>
    </xdr:from>
    <xdr:to>
      <xdr:col>12</xdr:col>
      <xdr:colOff>173667</xdr:colOff>
      <xdr:row>35</xdr:row>
      <xdr:rowOff>731741</xdr:rowOff>
    </xdr:to>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8571" y="6808264"/>
          <a:ext cx="817096" cy="712897"/>
        </a:xfrm>
        <a:prstGeom prst="rect">
          <a:avLst/>
        </a:prstGeom>
      </xdr:spPr>
    </xdr:pic>
    <xdr:clientData/>
  </xdr:twoCellAnchor>
  <xdr:twoCellAnchor editAs="oneCell">
    <xdr:from>
      <xdr:col>10</xdr:col>
      <xdr:colOff>101600</xdr:colOff>
      <xdr:row>1</xdr:row>
      <xdr:rowOff>193674</xdr:rowOff>
    </xdr:from>
    <xdr:to>
      <xdr:col>12</xdr:col>
      <xdr:colOff>281940</xdr:colOff>
      <xdr:row>7</xdr:row>
      <xdr:rowOff>146176</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7410450" y="676274"/>
          <a:ext cx="1463040" cy="1139952"/>
        </a:xfrm>
        <a:prstGeom prst="rect">
          <a:avLst/>
        </a:prstGeom>
      </xdr:spPr>
    </xdr:pic>
    <xdr:clientData/>
  </xdr:twoCellAnchor>
  <xdr:twoCellAnchor editAs="oneCell">
    <xdr:from>
      <xdr:col>9</xdr:col>
      <xdr:colOff>44450</xdr:colOff>
      <xdr:row>1</xdr:row>
      <xdr:rowOff>165100</xdr:rowOff>
    </xdr:from>
    <xdr:to>
      <xdr:col>9</xdr:col>
      <xdr:colOff>569595</xdr:colOff>
      <xdr:row>7</xdr:row>
      <xdr:rowOff>81280</xdr:rowOff>
    </xdr:to>
    <xdr:pic>
      <xdr:nvPicPr>
        <xdr:cNvPr id="2" name="Picture 1" descr="EPA Local Greenhouse Gas Inventory Tools&#10;" title="EPA Local Greenhouse Gas Inventory Tool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11950" y="647700"/>
          <a:ext cx="525145" cy="1103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76200</xdr:colOff>
      <xdr:row>1</xdr:row>
      <xdr:rowOff>171452</xdr:rowOff>
    </xdr:from>
    <xdr:to>
      <xdr:col>19</xdr:col>
      <xdr:colOff>374649</xdr:colOff>
      <xdr:row>60</xdr:row>
      <xdr:rowOff>123825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267450" y="657227"/>
          <a:ext cx="5870574" cy="10629898"/>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baseline="0"/>
            <a:t>How to use this tool:</a:t>
          </a:r>
        </a:p>
        <a:p>
          <a:endParaRPr lang="en-US" sz="1100" b="1" baseline="0"/>
        </a:p>
        <a:p>
          <a:r>
            <a:rPr lang="en-US" sz="1100">
              <a:solidFill>
                <a:sysClr val="windowText" lastClr="000000"/>
              </a:solidFill>
              <a:latin typeface="+mn-lt"/>
              <a:ea typeface="+mn-ea"/>
              <a:cs typeface="+mn-cs"/>
            </a:rPr>
            <a:t>This tool is designed to be flexible to your community's needs, and can be conducted at any scale you decide. For example, you may choose to conduct a high-level inventory, entering fuel consumption and electricity use data for the community as a whole. Alternatively, you can enter data at the sector level, at the facility/building type level, at the account level, or any combination of the above. The more specific the data provided, the more accurate the tool will be for estimating your community's emissions and the impacts of emissions reduction measures.</a:t>
          </a:r>
        </a:p>
        <a:p>
          <a:endParaRPr lang="en-US" sz="1100" b="1">
            <a:solidFill>
              <a:schemeClr val="dk1"/>
            </a:solidFill>
            <a:latin typeface="+mn-lt"/>
            <a:ea typeface="+mn-ea"/>
            <a:cs typeface="+mn-cs"/>
          </a:endParaRPr>
        </a:p>
        <a:p>
          <a:r>
            <a:rPr lang="en-US" sz="1100" b="1">
              <a:solidFill>
                <a:schemeClr val="dk1"/>
              </a:solidFill>
              <a:latin typeface="+mn-lt"/>
              <a:ea typeface="+mn-ea"/>
              <a:cs typeface="+mn-cs"/>
            </a:rPr>
            <a:t>Configuration:</a:t>
          </a:r>
          <a:r>
            <a:rPr lang="en-US" sz="1100">
              <a:solidFill>
                <a:schemeClr val="dk1"/>
              </a:solidFill>
              <a:latin typeface="+mn-lt"/>
              <a:ea typeface="+mn-ea"/>
              <a:cs typeface="+mn-cs"/>
            </a:rPr>
            <a:t> </a:t>
          </a:r>
        </a:p>
        <a:p>
          <a:r>
            <a:rPr lang="en-US" sz="1100">
              <a:solidFill>
                <a:sysClr val="windowText" lastClr="000000"/>
              </a:solidFill>
              <a:latin typeface="+mn-lt"/>
              <a:ea typeface="+mn-ea"/>
              <a:cs typeface="+mn-cs"/>
            </a:rPr>
            <a:t>Use the Control Sheet to configure the tool to your community. Select a baseline year, identify eGRID regions , and click the "Set Up" button to get started. </a:t>
          </a:r>
          <a:endParaRPr lang="en-US" sz="1100" b="1">
            <a:solidFill>
              <a:sysClr val="windowText" lastClr="000000"/>
            </a:solidFill>
            <a:latin typeface="+mn-lt"/>
            <a:ea typeface="+mn-ea"/>
            <a:cs typeface="+mn-cs"/>
          </a:endParaRPr>
        </a:p>
        <a:p>
          <a:endParaRPr lang="en-US" sz="1100" b="1">
            <a:solidFill>
              <a:schemeClr val="dk1"/>
            </a:solidFill>
            <a:latin typeface="+mn-lt"/>
            <a:ea typeface="+mn-ea"/>
            <a:cs typeface="+mn-cs"/>
          </a:endParaRPr>
        </a:p>
        <a:p>
          <a:r>
            <a:rPr lang="en-US" sz="1100" b="1">
              <a:solidFill>
                <a:schemeClr val="dk1"/>
              </a:solidFill>
              <a:latin typeface="+mn-lt"/>
              <a:ea typeface="+mn-ea"/>
              <a:cs typeface="+mn-cs"/>
            </a:rPr>
            <a:t>Data entry:</a:t>
          </a:r>
          <a:endParaRPr lang="en-US" sz="1100">
            <a:solidFill>
              <a:schemeClr val="dk1"/>
            </a:solidFill>
            <a:latin typeface="+mn-lt"/>
            <a:ea typeface="+mn-ea"/>
            <a:cs typeface="+mn-cs"/>
          </a:endParaRPr>
        </a:p>
        <a:p>
          <a:r>
            <a:rPr lang="en-US" sz="1100">
              <a:solidFill>
                <a:schemeClr val="dk1"/>
              </a:solidFill>
              <a:latin typeface="+mn-lt"/>
              <a:ea typeface="+mn-ea"/>
              <a:cs typeface="+mn-cs"/>
            </a:rPr>
            <a:t>As you move through the tool, enter data in yellow cells. Instructions at the top of each sheet will explain which data fields require user input, and which have default values that the user can choose to override.</a:t>
          </a:r>
        </a:p>
        <a:p>
          <a:endParaRPr lang="en-US" sz="1100">
            <a:solidFill>
              <a:schemeClr val="dk1"/>
            </a:solidFill>
            <a:latin typeface="+mn-lt"/>
            <a:ea typeface="+mn-ea"/>
            <a:cs typeface="+mn-cs"/>
          </a:endParaRPr>
        </a:p>
        <a:p>
          <a:r>
            <a:rPr lang="en-US" sz="1100">
              <a:solidFill>
                <a:schemeClr val="dk1"/>
              </a:solidFill>
              <a:latin typeface="+mn-lt"/>
              <a:ea typeface="+mn-ea"/>
              <a:cs typeface="+mn-cs"/>
            </a:rPr>
            <a:t>On the </a:t>
          </a:r>
          <a:r>
            <a:rPr lang="en-US" sz="1100" u="sng">
              <a:solidFill>
                <a:schemeClr val="dk1"/>
              </a:solidFill>
              <a:latin typeface="+mn-lt"/>
              <a:ea typeface="+mn-ea"/>
              <a:cs typeface="+mn-cs"/>
            </a:rPr>
            <a:t>Mobile Combustion</a:t>
          </a:r>
          <a:r>
            <a:rPr lang="en-US" sz="1100" u="none">
              <a:solidFill>
                <a:schemeClr val="dk1"/>
              </a:solidFill>
              <a:latin typeface="+mn-lt"/>
              <a:ea typeface="+mn-ea"/>
              <a:cs typeface="+mn-cs"/>
            </a:rPr>
            <a:t> </a:t>
          </a:r>
          <a:r>
            <a:rPr lang="en-US" sz="1100">
              <a:solidFill>
                <a:schemeClr val="dk1"/>
              </a:solidFill>
              <a:latin typeface="+mn-lt"/>
              <a:ea typeface="+mn-ea"/>
              <a:cs typeface="+mn-cs"/>
            </a:rPr>
            <a:t> worksheet, you will be asked to calculate emissions one sector at a time. This is because the necessary background calculations are too complex to calculate all sectors at once. On this sheet, follow the instructions, enter the necessary sector, data, and click the "Update CH</a:t>
          </a:r>
          <a:r>
            <a:rPr lang="en-US" sz="1100" baseline="-25000">
              <a:solidFill>
                <a:schemeClr val="dk1"/>
              </a:solidFill>
              <a:latin typeface="+mn-lt"/>
              <a:ea typeface="+mn-ea"/>
              <a:cs typeface="+mn-cs"/>
            </a:rPr>
            <a:t>4</a:t>
          </a:r>
          <a:r>
            <a:rPr lang="en-US" sz="1100">
              <a:solidFill>
                <a:schemeClr val="dk1"/>
              </a:solidFill>
              <a:latin typeface="+mn-lt"/>
              <a:ea typeface="+mn-ea"/>
              <a:cs typeface="+mn-cs"/>
            </a:rPr>
            <a:t>/N</a:t>
          </a:r>
          <a:r>
            <a:rPr lang="en-US" sz="1100" baseline="-25000">
              <a:solidFill>
                <a:schemeClr val="dk1"/>
              </a:solidFill>
              <a:latin typeface="+mn-lt"/>
              <a:ea typeface="+mn-ea"/>
              <a:cs typeface="+mn-cs"/>
            </a:rPr>
            <a:t>2</a:t>
          </a:r>
          <a:r>
            <a:rPr lang="en-US" sz="1100">
              <a:solidFill>
                <a:schemeClr val="dk1"/>
              </a:solidFill>
              <a:latin typeface="+mn-lt"/>
              <a:ea typeface="+mn-ea"/>
              <a:cs typeface="+mn-cs"/>
            </a:rPr>
            <a:t>O Calcs" button to run the calculations. </a:t>
          </a:r>
        </a:p>
        <a:p>
          <a:endParaRPr lang="en-US" sz="1100" b="1">
            <a:solidFill>
              <a:schemeClr val="dk1"/>
            </a:solidFill>
            <a:latin typeface="+mn-lt"/>
            <a:ea typeface="+mn-ea"/>
            <a:cs typeface="+mn-cs"/>
          </a:endParaRPr>
        </a:p>
        <a:p>
          <a:r>
            <a:rPr lang="en-US" sz="1100" b="1">
              <a:solidFill>
                <a:sysClr val="windowText" lastClr="000000"/>
              </a:solidFill>
              <a:latin typeface="+mn-lt"/>
              <a:ea typeface="+mn-ea"/>
              <a:cs typeface="+mn-cs"/>
            </a:rPr>
            <a:t>Navigation:</a:t>
          </a:r>
          <a:r>
            <a:rPr lang="en-US" sz="1100">
              <a:solidFill>
                <a:sysClr val="windowText" lastClr="000000"/>
              </a:solidFill>
              <a:latin typeface="+mn-lt"/>
              <a:ea typeface="+mn-ea"/>
              <a:cs typeface="+mn-cs"/>
            </a:rPr>
            <a:t>  </a:t>
          </a:r>
        </a:p>
        <a:p>
          <a:r>
            <a:rPr lang="en-US" sz="1100">
              <a:solidFill>
                <a:schemeClr val="dk1"/>
              </a:solidFill>
              <a:latin typeface="+mn-lt"/>
              <a:ea typeface="+mn-ea"/>
              <a:cs typeface="+mn-cs"/>
            </a:rPr>
            <a:t>The tool is designed to move from left to right by the sheet tabs at the bottom of your screen. Once you have completed a tab, check the box provided to help track your progress throughout the tool. Progress is tracked on the Table of Contents, which can be quickly reached by clicking the large navigational arrows at the top of each tab.</a:t>
          </a:r>
          <a:r>
            <a:rPr lang="en-US" sz="1100" b="1">
              <a:solidFill>
                <a:schemeClr val="dk1"/>
              </a:solidFill>
              <a:latin typeface="+mn-lt"/>
              <a:ea typeface="+mn-ea"/>
              <a:cs typeface="+mn-cs"/>
            </a:rPr>
            <a:t>  </a:t>
          </a:r>
          <a:r>
            <a:rPr lang="en-US" sz="1100" b="0">
              <a:solidFill>
                <a:schemeClr val="dk1"/>
              </a:solidFill>
              <a:latin typeface="+mn-lt"/>
              <a:ea typeface="+mn-ea"/>
              <a:cs typeface="+mn-cs"/>
            </a:rPr>
            <a:t>The</a:t>
          </a:r>
          <a:r>
            <a:rPr lang="en-US" sz="1100" b="0" baseline="0">
              <a:solidFill>
                <a:schemeClr val="dk1"/>
              </a:solidFill>
              <a:latin typeface="+mn-lt"/>
              <a:ea typeface="+mn-ea"/>
              <a:cs typeface="+mn-cs"/>
            </a:rPr>
            <a:t> image below provides an example.</a:t>
          </a:r>
          <a:endParaRPr lang="en-US" sz="1100" b="1">
            <a:solidFill>
              <a:schemeClr val="dk1"/>
            </a:solidFill>
            <a:latin typeface="+mn-lt"/>
            <a:ea typeface="+mn-ea"/>
            <a:cs typeface="+mn-cs"/>
          </a:endParaRPr>
        </a:p>
        <a:p>
          <a:endParaRPr lang="en-US" sz="1100">
            <a:solidFill>
              <a:schemeClr val="dk1"/>
            </a:solidFill>
            <a:latin typeface="+mn-lt"/>
            <a:ea typeface="+mn-ea"/>
            <a:cs typeface="+mn-cs"/>
          </a:endParaRPr>
        </a:p>
        <a:p>
          <a:endParaRPr lang="en-US" sz="1100">
            <a:solidFill>
              <a:schemeClr val="dk1"/>
            </a:solidFill>
            <a:latin typeface="+mn-lt"/>
            <a:ea typeface="+mn-ea"/>
            <a:cs typeface="+mn-cs"/>
          </a:endParaRPr>
        </a:p>
      </xdr:txBody>
    </xdr:sp>
    <xdr:clientData/>
  </xdr:twoCellAnchor>
  <xdr:twoCellAnchor>
    <xdr:from>
      <xdr:col>0</xdr:col>
      <xdr:colOff>238126</xdr:colOff>
      <xdr:row>1</xdr:row>
      <xdr:rowOff>171449</xdr:rowOff>
    </xdr:from>
    <xdr:to>
      <xdr:col>9</xdr:col>
      <xdr:colOff>533400</xdr:colOff>
      <xdr:row>60</xdr:row>
      <xdr:rowOff>142875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38126" y="657224"/>
          <a:ext cx="5867399" cy="10648951"/>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none" strike="noStrike" baseline="0">
              <a:solidFill>
                <a:srgbClr val="000000"/>
              </a:solidFill>
              <a:latin typeface="Calibri"/>
            </a:rPr>
            <a:t>How this tool is organized:</a:t>
          </a:r>
        </a:p>
        <a:p>
          <a:endParaRPr lang="en-US" sz="1100" b="0" i="0" u="none" strike="noStrike" baseline="0">
            <a:solidFill>
              <a:srgbClr val="000000"/>
            </a:solidFill>
            <a:latin typeface="Calibri"/>
          </a:endParaRPr>
        </a:p>
        <a:p>
          <a:r>
            <a:rPr lang="en-US" sz="1100" b="0" i="0" u="none" strike="noStrike" baseline="0">
              <a:solidFill>
                <a:srgbClr val="000000"/>
              </a:solidFill>
              <a:latin typeface="Calibri"/>
            </a:rPr>
            <a:t>There are two main sections of this tool: 1) Background Data Collection and 2) Emissions Calculations. In each, the user will enter data according to the sectors outlined in the GPC and will receive customized results. Please refer to the </a:t>
          </a:r>
          <a:r>
            <a:rPr lang="en-US" sz="1100" b="0" i="1" u="none" strike="noStrike" baseline="0">
              <a:solidFill>
                <a:srgbClr val="000000"/>
              </a:solidFill>
              <a:latin typeface="Calibri"/>
            </a:rPr>
            <a:t>User's Guide </a:t>
          </a:r>
          <a:r>
            <a:rPr lang="en-US" sz="1100" b="0" i="0" u="none" strike="noStrike" baseline="0">
              <a:solidFill>
                <a:srgbClr val="000000"/>
              </a:solidFill>
              <a:latin typeface="Calibri"/>
            </a:rPr>
            <a:t>for more detailed instructions.</a:t>
          </a:r>
        </a:p>
        <a:p>
          <a:endParaRPr lang="en-US" sz="1100" b="0" i="0" u="none" strike="noStrike" baseline="0">
            <a:solidFill>
              <a:srgbClr val="000000"/>
            </a:solidFill>
            <a:latin typeface="Calibri"/>
          </a:endParaRPr>
        </a:p>
        <a:p>
          <a:r>
            <a:rPr lang="en-US" sz="1100" b="1" i="0" u="none" strike="noStrike" baseline="0">
              <a:solidFill>
                <a:srgbClr val="000000"/>
              </a:solidFill>
              <a:latin typeface="Calibri"/>
            </a:rPr>
            <a:t>1) Background Data Collection</a:t>
          </a:r>
        </a:p>
        <a:p>
          <a:r>
            <a:rPr lang="en-US" sz="1100">
              <a:solidFill>
                <a:schemeClr val="dk1"/>
              </a:solidFill>
              <a:latin typeface="+mn-lt"/>
              <a:ea typeface="+mn-ea"/>
              <a:cs typeface="+mn-cs"/>
            </a:rPr>
            <a:t>On the Control Sheet, the user will identify the community and the inventory year for baseline measurements. Depending on what data is available and at what scale, the user can determine how to configure the tool. </a:t>
          </a:r>
        </a:p>
        <a:p>
          <a:endParaRPr lang="en-US" sz="1100">
            <a:solidFill>
              <a:schemeClr val="dk1"/>
            </a:solidFill>
            <a:latin typeface="+mn-lt"/>
            <a:ea typeface="+mn-ea"/>
            <a:cs typeface="+mn-cs"/>
          </a:endParaRPr>
        </a:p>
        <a:p>
          <a:r>
            <a:rPr lang="en-US" sz="1100">
              <a:solidFill>
                <a:schemeClr val="dk1"/>
              </a:solidFill>
              <a:latin typeface="+mn-lt"/>
              <a:ea typeface="+mn-ea"/>
              <a:cs typeface="+mn-cs"/>
            </a:rPr>
            <a:t>Also on the</a:t>
          </a:r>
          <a:r>
            <a:rPr lang="en-US" sz="1100" baseline="0">
              <a:solidFill>
                <a:schemeClr val="dk1"/>
              </a:solidFill>
              <a:latin typeface="+mn-lt"/>
              <a:ea typeface="+mn-ea"/>
              <a:cs typeface="+mn-cs"/>
            </a:rPr>
            <a:t> Control Sheet, </a:t>
          </a:r>
          <a:r>
            <a:rPr lang="en-US" sz="1100">
              <a:solidFill>
                <a:schemeClr val="dk1"/>
              </a:solidFill>
              <a:latin typeface="+mn-lt"/>
              <a:ea typeface="+mn-ea"/>
              <a:cs typeface="+mn-cs"/>
            </a:rPr>
            <a:t>the user will set up information about their electricity providers. Users can select their</a:t>
          </a:r>
          <a:r>
            <a:rPr lang="en-US" sz="1100" baseline="0">
              <a:solidFill>
                <a:schemeClr val="dk1"/>
              </a:solidFill>
              <a:latin typeface="+mn-lt"/>
              <a:ea typeface="+mn-ea"/>
              <a:cs typeface="+mn-cs"/>
            </a:rPr>
            <a:t> eGRID region, </a:t>
          </a:r>
          <a:r>
            <a:rPr lang="en-US" sz="1100">
              <a:solidFill>
                <a:schemeClr val="dk1"/>
              </a:solidFill>
              <a:latin typeface="+mn-lt"/>
              <a:ea typeface="+mn-ea"/>
              <a:cs typeface="+mn-cs"/>
            </a:rPr>
            <a:t>view the default emission factors for the region, and set new emission factors, including </a:t>
          </a:r>
          <a:r>
            <a:rPr lang="en-US" sz="1100" baseline="0">
              <a:solidFill>
                <a:schemeClr val="dk1"/>
              </a:solidFill>
              <a:latin typeface="+mn-lt"/>
              <a:ea typeface="+mn-ea"/>
              <a:cs typeface="+mn-cs"/>
            </a:rPr>
            <a:t>utility-specific emission factors</a:t>
          </a:r>
          <a:r>
            <a:rPr lang="en-US" sz="1100">
              <a:solidFill>
                <a:schemeClr val="dk1"/>
              </a:solidFill>
              <a:latin typeface="+mn-lt"/>
              <a:ea typeface="+mn-ea"/>
              <a:cs typeface="+mn-cs"/>
            </a:rPr>
            <a:t> (if desired).</a:t>
          </a:r>
        </a:p>
        <a:p>
          <a:endParaRPr lang="en-US" sz="1100" b="1">
            <a:solidFill>
              <a:schemeClr val="dk1"/>
            </a:solidFill>
            <a:latin typeface="+mn-lt"/>
            <a:ea typeface="+mn-ea"/>
            <a:cs typeface="+mn-cs"/>
          </a:endParaRPr>
        </a:p>
        <a:p>
          <a:r>
            <a:rPr lang="en-US" sz="1100" b="1">
              <a:solidFill>
                <a:schemeClr val="dk1"/>
              </a:solidFill>
              <a:latin typeface="+mn-lt"/>
              <a:ea typeface="+mn-ea"/>
              <a:cs typeface="+mn-cs"/>
            </a:rPr>
            <a:t>2) Emissions</a:t>
          </a:r>
          <a:endParaRPr lang="en-US" sz="1100">
            <a:solidFill>
              <a:schemeClr val="dk1"/>
            </a:solidFill>
            <a:latin typeface="+mn-lt"/>
            <a:ea typeface="+mn-ea"/>
            <a:cs typeface="+mn-cs"/>
          </a:endParaRPr>
        </a:p>
        <a:p>
          <a:r>
            <a:rPr lang="en-US" sz="1100">
              <a:solidFill>
                <a:schemeClr val="dk1"/>
              </a:solidFill>
              <a:latin typeface="+mn-lt"/>
              <a:ea typeface="+mn-ea"/>
              <a:cs typeface="+mn-cs"/>
            </a:rPr>
            <a:t>After the user configures the tool on the Control Sheet, the tool calculates the community's emissions, or the baseline greenhouse gas inventory for the community. The inventory is separated into </a:t>
          </a:r>
          <a:r>
            <a:rPr lang="en-US" sz="1100" b="0">
              <a:solidFill>
                <a:sysClr val="windowText" lastClr="000000"/>
              </a:solidFill>
              <a:latin typeface="+mn-lt"/>
              <a:ea typeface="+mn-ea"/>
              <a:cs typeface="+mn-cs"/>
            </a:rPr>
            <a:t>eight </a:t>
          </a:r>
          <a:r>
            <a:rPr lang="en-US" sz="1100">
              <a:solidFill>
                <a:schemeClr val="dk1"/>
              </a:solidFill>
              <a:latin typeface="+mn-lt"/>
              <a:ea typeface="+mn-ea"/>
              <a:cs typeface="+mn-cs"/>
            </a:rPr>
            <a:t>main emission sectors categorized into three scopes, as shown below</a:t>
          </a:r>
          <a:r>
            <a:rPr lang="en-US" sz="1100" baseline="0">
              <a:solidFill>
                <a:schemeClr val="dk1"/>
              </a:solidFill>
              <a:latin typeface="+mn-lt"/>
              <a:ea typeface="+mn-ea"/>
              <a:cs typeface="+mn-cs"/>
            </a:rPr>
            <a:t>. </a:t>
          </a:r>
          <a:r>
            <a:rPr lang="en-US" sz="1100">
              <a:solidFill>
                <a:schemeClr val="dk1"/>
              </a:solidFill>
              <a:latin typeface="+mn-lt"/>
              <a:ea typeface="+mn-ea"/>
              <a:cs typeface="+mn-cs"/>
            </a:rPr>
            <a:t>Users can also enter emissions for any additional sources they desire.</a:t>
          </a:r>
        </a:p>
        <a:p>
          <a:endParaRPr lang="en-US" sz="1100">
            <a:solidFill>
              <a:schemeClr val="dk1"/>
            </a:solidFill>
            <a:latin typeface="+mn-lt"/>
            <a:ea typeface="+mn-ea"/>
            <a:cs typeface="+mn-cs"/>
          </a:endParaRPr>
        </a:p>
        <a:p>
          <a:r>
            <a:rPr lang="en-US" sz="1100">
              <a:solidFill>
                <a:schemeClr val="dk1"/>
              </a:solidFill>
              <a:latin typeface="+mn-lt"/>
              <a:ea typeface="+mn-ea"/>
              <a:cs typeface="+mn-cs"/>
            </a:rPr>
            <a:t>	</a:t>
          </a:r>
          <a:r>
            <a:rPr lang="en-US" sz="1100" b="1">
              <a:solidFill>
                <a:schemeClr val="dk1"/>
              </a:solidFill>
              <a:latin typeface="+mn-lt"/>
              <a:ea typeface="+mn-ea"/>
              <a:cs typeface="+mn-cs"/>
            </a:rPr>
            <a:t>Scope 1</a:t>
          </a:r>
        </a:p>
        <a:p>
          <a:r>
            <a:rPr lang="en-US" sz="1100">
              <a:solidFill>
                <a:schemeClr val="dk1"/>
              </a:solidFill>
              <a:latin typeface="+mn-lt"/>
              <a:ea typeface="+mn-ea"/>
              <a:cs typeface="+mn-cs"/>
            </a:rPr>
            <a:t>	1. Stationary Combustion of Fossil Fuels</a:t>
          </a:r>
        </a:p>
        <a:p>
          <a:r>
            <a:rPr lang="en-US" sz="1100">
              <a:solidFill>
                <a:schemeClr val="dk1"/>
              </a:solidFill>
              <a:latin typeface="+mn-lt"/>
              <a:ea typeface="+mn-ea"/>
              <a:cs typeface="+mn-cs"/>
            </a:rPr>
            <a:t>	2. Mobile Combustion of Fossil Fuels </a:t>
          </a:r>
        </a:p>
        <a:p>
          <a:r>
            <a:rPr lang="en-US" sz="1100">
              <a:solidFill>
                <a:schemeClr val="dk1"/>
              </a:solidFill>
              <a:latin typeface="+mn-lt"/>
              <a:ea typeface="+mn-ea"/>
              <a:cs typeface="+mn-cs"/>
            </a:rPr>
            <a:t>	3. Solid Waste Disposal  </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	4.</a:t>
          </a:r>
          <a:r>
            <a:rPr lang="en-US" sz="1100" baseline="0">
              <a:solidFill>
                <a:schemeClr val="dk1"/>
              </a:solidFill>
              <a:latin typeface="+mn-lt"/>
              <a:ea typeface="+mn-ea"/>
              <a:cs typeface="+mn-cs"/>
            </a:rPr>
            <a:t> </a:t>
          </a:r>
          <a:r>
            <a:rPr lang="en-US" sz="1100">
              <a:solidFill>
                <a:schemeClr val="dk1"/>
              </a:solidFill>
              <a:effectLst/>
              <a:latin typeface="+mn-lt"/>
              <a:ea typeface="+mn-ea"/>
              <a:cs typeface="+mn-cs"/>
            </a:rPr>
            <a:t>Wastewater Treatment</a:t>
          </a:r>
          <a:endParaRPr lang="en-US">
            <a:effectLst/>
          </a:endParaRPr>
        </a:p>
        <a:p>
          <a:r>
            <a:rPr lang="en-US" sz="1100" b="1">
              <a:solidFill>
                <a:schemeClr val="dk1"/>
              </a:solidFill>
              <a:latin typeface="+mn-lt"/>
              <a:ea typeface="+mn-ea"/>
              <a:cs typeface="+mn-cs"/>
            </a:rPr>
            <a:t>	Scope</a:t>
          </a:r>
          <a:r>
            <a:rPr lang="en-US" sz="1100" b="1" baseline="0">
              <a:solidFill>
                <a:schemeClr val="dk1"/>
              </a:solidFill>
              <a:latin typeface="+mn-lt"/>
              <a:ea typeface="+mn-ea"/>
              <a:cs typeface="+mn-cs"/>
            </a:rPr>
            <a:t> 2</a:t>
          </a:r>
          <a:endParaRPr lang="en-US" sz="1100" b="1">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	5. </a:t>
          </a:r>
          <a:r>
            <a:rPr lang="en-US" sz="1100">
              <a:solidFill>
                <a:schemeClr val="dk1"/>
              </a:solidFill>
              <a:effectLst/>
              <a:latin typeface="+mn-lt"/>
              <a:ea typeface="+mn-ea"/>
              <a:cs typeface="+mn-cs"/>
            </a:rPr>
            <a:t>Building/Facility Electricity Consumption</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1">
              <a:solidFill>
                <a:schemeClr val="dk1"/>
              </a:solidFill>
              <a:effectLst/>
              <a:latin typeface="+mn-lt"/>
              <a:ea typeface="+mn-ea"/>
              <a:cs typeface="+mn-cs"/>
            </a:rPr>
            <a:t>Scope 3</a:t>
          </a:r>
          <a:endParaRPr lang="en-US">
            <a:effectLst/>
          </a:endParaRPr>
        </a:p>
        <a:p>
          <a:r>
            <a:rPr lang="en-US" sz="1100">
              <a:solidFill>
                <a:schemeClr val="dk1"/>
              </a:solidFill>
              <a:latin typeface="+mn-lt"/>
              <a:ea typeface="+mn-ea"/>
              <a:cs typeface="+mn-cs"/>
            </a:rPr>
            <a:t>	6. Water Consumption </a:t>
          </a:r>
        </a:p>
        <a:p>
          <a:r>
            <a:rPr lang="en-US" sz="1100">
              <a:solidFill>
                <a:schemeClr val="dk1"/>
              </a:solidFill>
              <a:latin typeface="+mn-lt"/>
              <a:ea typeface="+mn-ea"/>
              <a:cs typeface="+mn-cs"/>
            </a:rPr>
            <a:t>	7. Agriculture</a:t>
          </a:r>
          <a:r>
            <a:rPr lang="en-US" sz="1100" baseline="0">
              <a:solidFill>
                <a:schemeClr val="dk1"/>
              </a:solidFill>
              <a:latin typeface="+mn-lt"/>
              <a:ea typeface="+mn-ea"/>
              <a:cs typeface="+mn-cs"/>
            </a:rPr>
            <a:t> &amp; Land Management</a:t>
          </a:r>
        </a:p>
        <a:p>
          <a:r>
            <a:rPr lang="en-US" sz="1100" baseline="0">
              <a:solidFill>
                <a:schemeClr val="dk1"/>
              </a:solidFill>
              <a:latin typeface="+mn-lt"/>
              <a:ea typeface="+mn-ea"/>
              <a:cs typeface="+mn-cs"/>
            </a:rPr>
            <a:t>	8. Urban Forestry</a:t>
          </a:r>
          <a:endParaRPr lang="en-US" sz="1100">
            <a:solidFill>
              <a:schemeClr val="dk1"/>
            </a:solidFill>
            <a:latin typeface="+mn-lt"/>
            <a:ea typeface="+mn-ea"/>
            <a:cs typeface="+mn-cs"/>
          </a:endParaRPr>
        </a:p>
        <a:p>
          <a:r>
            <a:rPr lang="en-US" sz="1100">
              <a:solidFill>
                <a:schemeClr val="dk1"/>
              </a:solidFill>
              <a:latin typeface="+mn-lt"/>
              <a:ea typeface="+mn-ea"/>
              <a:cs typeface="+mn-cs"/>
            </a:rPr>
            <a:t>	+ Other Additional Emission Sources (optional)</a:t>
          </a:r>
        </a:p>
        <a:p>
          <a:endParaRPr lang="en-US" sz="1100">
            <a:solidFill>
              <a:schemeClr val="dk1"/>
            </a:solidFill>
            <a:latin typeface="+mn-lt"/>
            <a:ea typeface="+mn-ea"/>
            <a:cs typeface="+mn-cs"/>
          </a:endParaRPr>
        </a:p>
        <a:p>
          <a:r>
            <a:rPr lang="en-US" sz="1100">
              <a:solidFill>
                <a:schemeClr val="dk1"/>
              </a:solidFill>
              <a:latin typeface="+mn-lt"/>
              <a:ea typeface="+mn-ea"/>
              <a:cs typeface="+mn-cs"/>
            </a:rPr>
            <a:t>For each source, the user will be asked to enter data about their</a:t>
          </a:r>
          <a:r>
            <a:rPr lang="en-US" sz="1100" baseline="0">
              <a:solidFill>
                <a:schemeClr val="dk1"/>
              </a:solidFill>
              <a:latin typeface="+mn-lt"/>
              <a:ea typeface="+mn-ea"/>
              <a:cs typeface="+mn-cs"/>
            </a:rPr>
            <a:t> community's </a:t>
          </a:r>
          <a:r>
            <a:rPr lang="en-US" sz="1100">
              <a:solidFill>
                <a:schemeClr val="dk1"/>
              </a:solidFill>
              <a:latin typeface="+mn-lt"/>
              <a:ea typeface="+mn-ea"/>
              <a:cs typeface="+mn-cs"/>
            </a:rPr>
            <a:t>activities (e.g., electricity consumed, fuel used) during the inventory baseline year. Default emission factors for each activity are provided, and users are given the option to override these factors, if necessary. There are multiple sheets for some emissions sources, but not for all sources. Each emissions source follows a distinct process that users will follow to determine the emissions, as explained below:</a:t>
          </a:r>
        </a:p>
        <a:p>
          <a:endParaRPr lang="en-US" sz="1100" i="1">
            <a:solidFill>
              <a:schemeClr val="dk1"/>
            </a:solidFill>
            <a:latin typeface="+mn-lt"/>
            <a:ea typeface="+mn-ea"/>
            <a:cs typeface="+mn-cs"/>
          </a:endParaRPr>
        </a:p>
        <a:p>
          <a:r>
            <a:rPr lang="en-US" sz="1100" i="1">
              <a:solidFill>
                <a:schemeClr val="dk1"/>
              </a:solidFill>
              <a:latin typeface="+mn-lt"/>
              <a:ea typeface="+mn-ea"/>
              <a:cs typeface="+mn-cs"/>
            </a:rPr>
            <a:t>Stationary Combustion, Electricity Use, and Mobile Combustion</a:t>
          </a:r>
          <a:endParaRPr lang="en-US" sz="1100">
            <a:solidFill>
              <a:schemeClr val="dk1"/>
            </a:solidFill>
            <a:latin typeface="+mn-lt"/>
            <a:ea typeface="+mn-ea"/>
            <a:cs typeface="+mn-cs"/>
          </a:endParaRPr>
        </a:p>
        <a:p>
          <a:r>
            <a:rPr lang="en-US" sz="1100">
              <a:solidFill>
                <a:schemeClr val="dk1"/>
              </a:solidFill>
              <a:latin typeface="+mn-lt"/>
              <a:ea typeface="+mn-ea"/>
              <a:cs typeface="+mn-cs"/>
            </a:rPr>
            <a:t>	1) Users enter activity/fuel use data on Entry Sheet OR </a:t>
          </a:r>
        </a:p>
        <a:p>
          <a:r>
            <a:rPr lang="en-US" sz="1100">
              <a:solidFill>
                <a:schemeClr val="dk1"/>
              </a:solidFill>
              <a:latin typeface="+mn-lt"/>
              <a:ea typeface="+mn-ea"/>
              <a:cs typeface="+mn-cs"/>
            </a:rPr>
            <a:t>	2) Users can batch import data on Data Sheet;</a:t>
          </a:r>
        </a:p>
        <a:p>
          <a:r>
            <a:rPr lang="en-US" sz="1100">
              <a:solidFill>
                <a:schemeClr val="dk1"/>
              </a:solidFill>
              <a:latin typeface="+mn-lt"/>
              <a:ea typeface="+mn-ea"/>
              <a:cs typeface="+mn-cs"/>
            </a:rPr>
            <a:t>	3) Emissions are calculated and summarized on the Calculation Sheet.</a:t>
          </a:r>
        </a:p>
        <a:p>
          <a:r>
            <a:rPr lang="en-US" sz="1100" i="1">
              <a:solidFill>
                <a:schemeClr val="dk1"/>
              </a:solidFill>
              <a:latin typeface="+mn-lt"/>
              <a:ea typeface="+mn-ea"/>
              <a:cs typeface="+mn-cs"/>
            </a:rPr>
            <a:t>Solid Waste</a:t>
          </a:r>
          <a:endParaRPr lang="en-US" sz="1100">
            <a:solidFill>
              <a:schemeClr val="dk1"/>
            </a:solidFill>
            <a:latin typeface="+mn-lt"/>
            <a:ea typeface="+mn-ea"/>
            <a:cs typeface="+mn-cs"/>
          </a:endParaRPr>
        </a:p>
        <a:p>
          <a:r>
            <a:rPr lang="en-US" sz="1100">
              <a:solidFill>
                <a:schemeClr val="dk1"/>
              </a:solidFill>
              <a:latin typeface="+mn-lt"/>
              <a:ea typeface="+mn-ea"/>
              <a:cs typeface="+mn-cs"/>
            </a:rPr>
            <a:t>	1) Users answer questions about their </a:t>
          </a:r>
          <a:r>
            <a:rPr lang="en-US" sz="1100">
              <a:solidFill>
                <a:schemeClr val="dk1"/>
              </a:solidFill>
              <a:effectLst/>
              <a:latin typeface="+mn-lt"/>
              <a:ea typeface="+mn-ea"/>
              <a:cs typeface="+mn-cs"/>
            </a:rPr>
            <a:t>community's</a:t>
          </a:r>
          <a:r>
            <a:rPr lang="en-US" sz="1100">
              <a:solidFill>
                <a:schemeClr val="dk1"/>
              </a:solidFill>
              <a:latin typeface="+mn-lt"/>
              <a:ea typeface="+mn-ea"/>
              <a:cs typeface="+mn-cs"/>
            </a:rPr>
            <a:t> solid waste disposal system 	on the</a:t>
          </a:r>
          <a:r>
            <a:rPr lang="en-US" sz="1100" baseline="0">
              <a:solidFill>
                <a:schemeClr val="dk1"/>
              </a:solidFill>
              <a:latin typeface="+mn-lt"/>
              <a:ea typeface="+mn-ea"/>
              <a:cs typeface="+mn-cs"/>
            </a:rPr>
            <a:t> </a:t>
          </a:r>
          <a:r>
            <a:rPr lang="en-US" sz="1100">
              <a:solidFill>
                <a:schemeClr val="dk1"/>
              </a:solidFill>
              <a:latin typeface="+mn-lt"/>
              <a:ea typeface="+mn-ea"/>
              <a:cs typeface="+mn-cs"/>
            </a:rPr>
            <a:t>Control Sheet; </a:t>
          </a:r>
        </a:p>
        <a:p>
          <a:r>
            <a:rPr lang="en-US" sz="1100">
              <a:solidFill>
                <a:schemeClr val="dk1"/>
              </a:solidFill>
              <a:latin typeface="+mn-lt"/>
              <a:ea typeface="+mn-ea"/>
              <a:cs typeface="+mn-cs"/>
            </a:rPr>
            <a:t>	2) Based on the answers to the questions, users enter data about their solid 	waste system and view emissions summary on the Entry Sheet.</a:t>
          </a:r>
        </a:p>
        <a:p>
          <a:r>
            <a:rPr lang="en-US" sz="1100" i="1">
              <a:solidFill>
                <a:schemeClr val="dk1"/>
              </a:solidFill>
              <a:latin typeface="+mn-lt"/>
              <a:ea typeface="+mn-ea"/>
              <a:cs typeface="+mn-cs"/>
            </a:rPr>
            <a:t>Wastewater Treatment</a:t>
          </a:r>
          <a:endParaRPr lang="en-US" sz="1100">
            <a:solidFill>
              <a:schemeClr val="dk1"/>
            </a:solidFill>
            <a:latin typeface="+mn-lt"/>
            <a:ea typeface="+mn-ea"/>
            <a:cs typeface="+mn-cs"/>
          </a:endParaRPr>
        </a:p>
        <a:p>
          <a:r>
            <a:rPr lang="en-US" sz="1100">
              <a:solidFill>
                <a:schemeClr val="dk1"/>
              </a:solidFill>
              <a:latin typeface="+mn-lt"/>
              <a:ea typeface="+mn-ea"/>
              <a:cs typeface="+mn-cs"/>
            </a:rPr>
            <a:t>	1) Users answer questions about their community's wastewater treatment</a:t>
          </a:r>
          <a:r>
            <a:rPr lang="en-US" sz="1100" baseline="0">
              <a:solidFill>
                <a:schemeClr val="dk1"/>
              </a:solidFill>
              <a:latin typeface="+mn-lt"/>
              <a:ea typeface="+mn-ea"/>
              <a:cs typeface="+mn-cs"/>
            </a:rPr>
            <a:t> 	</a:t>
          </a:r>
          <a:r>
            <a:rPr lang="en-US" sz="1100">
              <a:solidFill>
                <a:schemeClr val="dk1"/>
              </a:solidFill>
              <a:latin typeface="+mn-lt"/>
              <a:ea typeface="+mn-ea"/>
              <a:cs typeface="+mn-cs"/>
            </a:rPr>
            <a:t>system(s) on the Control Sheet; </a:t>
          </a:r>
        </a:p>
        <a:p>
          <a:r>
            <a:rPr lang="en-US" sz="1100">
              <a:solidFill>
                <a:schemeClr val="dk1"/>
              </a:solidFill>
              <a:latin typeface="+mn-lt"/>
              <a:ea typeface="+mn-ea"/>
              <a:cs typeface="+mn-cs"/>
            </a:rPr>
            <a:t>	2) Based on the answers to the questions, users enter data about their 	wastewater treatment systems on the Entry Sheet; and </a:t>
          </a:r>
        </a:p>
        <a:p>
          <a:r>
            <a:rPr lang="en-US" sz="1100">
              <a:solidFill>
                <a:schemeClr val="dk1"/>
              </a:solidFill>
              <a:latin typeface="+mn-lt"/>
              <a:ea typeface="+mn-ea"/>
              <a:cs typeface="+mn-cs"/>
            </a:rPr>
            <a:t>	3) Emissions are calculated and summarized on the Calculation Sheet.</a:t>
          </a:r>
        </a:p>
        <a:p>
          <a:r>
            <a:rPr lang="en-US" sz="1100" i="1">
              <a:solidFill>
                <a:schemeClr val="dk1"/>
              </a:solidFill>
              <a:latin typeface="+mn-lt"/>
              <a:ea typeface="+mn-ea"/>
              <a:cs typeface="+mn-cs"/>
            </a:rPr>
            <a:t>Employee Commutes, Water Consumption, Agriculture &amp; Land Management, Urban</a:t>
          </a:r>
          <a:r>
            <a:rPr lang="en-US" sz="1100" i="1" baseline="0">
              <a:solidFill>
                <a:schemeClr val="dk1"/>
              </a:solidFill>
              <a:latin typeface="+mn-lt"/>
              <a:ea typeface="+mn-ea"/>
              <a:cs typeface="+mn-cs"/>
            </a:rPr>
            <a:t> Forestry</a:t>
          </a:r>
          <a:endParaRPr lang="en-US" sz="1100">
            <a:solidFill>
              <a:schemeClr val="dk1"/>
            </a:solidFill>
            <a:latin typeface="+mn-lt"/>
            <a:ea typeface="+mn-ea"/>
            <a:cs typeface="+mn-cs"/>
          </a:endParaRPr>
        </a:p>
        <a:p>
          <a:r>
            <a:rPr lang="en-US" sz="1100">
              <a:solidFill>
                <a:schemeClr val="dk1"/>
              </a:solidFill>
              <a:latin typeface="+mn-lt"/>
              <a:ea typeface="+mn-ea"/>
              <a:cs typeface="+mn-cs"/>
            </a:rPr>
            <a:t>	1) Users enter necessary data and view emissions on a single sheet.</a:t>
          </a:r>
        </a:p>
        <a:p>
          <a:r>
            <a:rPr lang="en-US" sz="1100" i="1">
              <a:solidFill>
                <a:schemeClr val="dk1"/>
              </a:solidFill>
              <a:latin typeface="+mn-lt"/>
              <a:ea typeface="+mn-ea"/>
              <a:cs typeface="+mn-cs"/>
            </a:rPr>
            <a:t>Additional Emission Sources</a:t>
          </a:r>
          <a:endParaRPr lang="en-US" sz="1100">
            <a:solidFill>
              <a:schemeClr val="dk1"/>
            </a:solidFill>
            <a:latin typeface="+mn-lt"/>
            <a:ea typeface="+mn-ea"/>
            <a:cs typeface="+mn-cs"/>
          </a:endParaRPr>
        </a:p>
        <a:p>
          <a:r>
            <a:rPr lang="en-US" sz="1100">
              <a:solidFill>
                <a:schemeClr val="dk1"/>
              </a:solidFill>
              <a:latin typeface="+mn-lt"/>
              <a:ea typeface="+mn-ea"/>
              <a:cs typeface="+mn-cs"/>
            </a:rPr>
            <a:t>	1) Users may</a:t>
          </a:r>
          <a:r>
            <a:rPr lang="en-US" sz="1100" baseline="0">
              <a:solidFill>
                <a:schemeClr val="dk1"/>
              </a:solidFill>
              <a:latin typeface="+mn-lt"/>
              <a:ea typeface="+mn-ea"/>
              <a:cs typeface="+mn-cs"/>
            </a:rPr>
            <a:t> </a:t>
          </a:r>
          <a:r>
            <a:rPr lang="en-US" sz="1100">
              <a:solidFill>
                <a:schemeClr val="dk1"/>
              </a:solidFill>
              <a:latin typeface="+mn-lt"/>
              <a:ea typeface="+mn-ea"/>
              <a:cs typeface="+mn-cs"/>
            </a:rPr>
            <a:t>enter emissions from any additional sources on a single sheet.</a:t>
          </a:r>
        </a:p>
        <a:p>
          <a:endParaRPr lang="en-US" sz="1100">
            <a:solidFill>
              <a:schemeClr val="dk1"/>
            </a:solidFill>
            <a:latin typeface="+mn-lt"/>
            <a:ea typeface="+mn-ea"/>
            <a:cs typeface="+mn-cs"/>
          </a:endParaRPr>
        </a:p>
        <a:p>
          <a:r>
            <a:rPr lang="en-US" sz="1100">
              <a:solidFill>
                <a:schemeClr val="dk1"/>
              </a:solidFill>
              <a:latin typeface="+mn-lt"/>
              <a:ea typeface="+mn-ea"/>
              <a:cs typeface="+mn-cs"/>
            </a:rPr>
            <a:t>Community's emissions for the inventory year are summarized on the Emissions Summary sheet.</a:t>
          </a:r>
        </a:p>
      </xdr:txBody>
    </xdr:sp>
    <xdr:clientData/>
  </xdr:twoCellAnchor>
  <xdr:twoCellAnchor editAs="oneCell">
    <xdr:from>
      <xdr:col>17</xdr:col>
      <xdr:colOff>295275</xdr:colOff>
      <xdr:row>0</xdr:row>
      <xdr:rowOff>47625</xdr:rowOff>
    </xdr:from>
    <xdr:to>
      <xdr:col>19</xdr:col>
      <xdr:colOff>569383</xdr:colOff>
      <xdr:row>0</xdr:row>
      <xdr:rowOff>428625</xdr:rowOff>
    </xdr:to>
    <xdr:sp macro="" textlink="">
      <xdr:nvSpPr>
        <xdr:cNvPr id="34" name="Pentagon 33">
          <a:hlinkClick xmlns:r="http://schemas.openxmlformats.org/officeDocument/2006/relationships" r:id="rId1"/>
          <a:extLst>
            <a:ext uri="{FF2B5EF4-FFF2-40B4-BE49-F238E27FC236}">
              <a16:creationId xmlns:a16="http://schemas.microsoft.com/office/drawing/2014/main" id="{00000000-0008-0000-0100-000022000000}"/>
            </a:ext>
          </a:extLst>
        </xdr:cNvPr>
        <xdr:cNvSpPr/>
      </xdr:nvSpPr>
      <xdr:spPr>
        <a:xfrm>
          <a:off x="10658475" y="47625"/>
          <a:ext cx="1493308" cy="381000"/>
        </a:xfrm>
        <a:prstGeom prst="homePlate">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Jump to Table of Contents</a:t>
          </a:r>
        </a:p>
      </xdr:txBody>
    </xdr:sp>
    <xdr:clientData/>
  </xdr:twoCellAnchor>
  <xdr:twoCellAnchor editAs="oneCell">
    <xdr:from>
      <xdr:col>10</xdr:col>
      <xdr:colOff>161926</xdr:colOff>
      <xdr:row>30</xdr:row>
      <xdr:rowOff>114301</xdr:rowOff>
    </xdr:from>
    <xdr:to>
      <xdr:col>18</xdr:col>
      <xdr:colOff>573896</xdr:colOff>
      <xdr:row>37</xdr:row>
      <xdr:rowOff>133350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srcRect l="3221" t="22138" r="51458" b="56636"/>
        <a:stretch/>
      </xdr:blipFill>
      <xdr:spPr>
        <a:xfrm>
          <a:off x="6067426" y="6124576"/>
          <a:ext cx="5136370" cy="1352549"/>
        </a:xfrm>
        <a:prstGeom prst="rect">
          <a:avLst/>
        </a:prstGeom>
        <a:ln>
          <a:solidFill>
            <a:schemeClr val="tx1"/>
          </a:solidFill>
        </a:ln>
      </xdr:spPr>
    </xdr:pic>
    <xdr:clientData/>
  </xdr:twoCellAnchor>
  <xdr:twoCellAnchor>
    <xdr:from>
      <xdr:col>14</xdr:col>
      <xdr:colOff>381001</xdr:colOff>
      <xdr:row>32</xdr:row>
      <xdr:rowOff>57150</xdr:rowOff>
    </xdr:from>
    <xdr:to>
      <xdr:col>17</xdr:col>
      <xdr:colOff>457280</xdr:colOff>
      <xdr:row>34</xdr:row>
      <xdr:rowOff>66675</xdr:rowOff>
    </xdr:to>
    <xdr:grpSp>
      <xdr:nvGrpSpPr>
        <xdr:cNvPr id="74766" name="Group 14">
          <a:extLst>
            <a:ext uri="{FF2B5EF4-FFF2-40B4-BE49-F238E27FC236}">
              <a16:creationId xmlns:a16="http://schemas.microsoft.com/office/drawing/2014/main" id="{00000000-0008-0000-0100-00000E240100}"/>
            </a:ext>
          </a:extLst>
        </xdr:cNvPr>
        <xdr:cNvGrpSpPr>
          <a:grpSpLocks/>
        </xdr:cNvGrpSpPr>
      </xdr:nvGrpSpPr>
      <xdr:grpSpPr bwMode="auto">
        <a:xfrm>
          <a:off x="9004301" y="6248400"/>
          <a:ext cx="1924129" cy="377825"/>
          <a:chOff x="4965" y="2670"/>
          <a:chExt cx="3003" cy="615"/>
        </a:xfrm>
      </xdr:grpSpPr>
      <xdr:sp macro="" textlink="">
        <xdr:nvSpPr>
          <xdr:cNvPr id="74767" name="Text Box 15">
            <a:extLst>
              <a:ext uri="{FF2B5EF4-FFF2-40B4-BE49-F238E27FC236}">
                <a16:creationId xmlns:a16="http://schemas.microsoft.com/office/drawing/2014/main" id="{00000000-0008-0000-0100-00000F240100}"/>
              </a:ext>
            </a:extLst>
          </xdr:cNvPr>
          <xdr:cNvSpPr txBox="1">
            <a:spLocks noChangeArrowheads="1"/>
          </xdr:cNvSpPr>
        </xdr:nvSpPr>
        <xdr:spPr bwMode="auto">
          <a:xfrm>
            <a:off x="6690" y="2925"/>
            <a:ext cx="1278" cy="360"/>
          </a:xfrm>
          <a:prstGeom prst="rect">
            <a:avLst/>
          </a:prstGeom>
          <a:solidFill>
            <a:srgbClr val="FFFFFF"/>
          </a:solidFill>
          <a:ln w="9525">
            <a:solidFill>
              <a:srgbClr val="FF0000"/>
            </a:solidFill>
            <a:miter lim="800000"/>
            <a:headEnd/>
            <a:tailEnd/>
          </a:ln>
        </xdr:spPr>
        <xdr:txBody>
          <a:bodyPr vertOverflow="clip" wrap="square" lIns="91440" tIns="45720" rIns="91440" bIns="45720" anchor="t" upright="1"/>
          <a:lstStyle/>
          <a:p>
            <a:pPr algn="l" rtl="0">
              <a:defRPr sz="1000"/>
            </a:pPr>
            <a:r>
              <a:rPr lang="en-US" sz="900" b="0" i="0" u="none" strike="noStrike" baseline="0">
                <a:solidFill>
                  <a:srgbClr val="FF0000"/>
                </a:solidFill>
                <a:latin typeface="Calibri"/>
              </a:rPr>
              <a:t>Check here.</a:t>
            </a:r>
          </a:p>
          <a:p>
            <a:pPr algn="l" rtl="0">
              <a:defRPr sz="1000"/>
            </a:pPr>
            <a:endParaRPr lang="en-US" sz="900" b="0" i="0" u="none" strike="noStrike" baseline="0">
              <a:solidFill>
                <a:srgbClr val="FF0000"/>
              </a:solidFill>
              <a:latin typeface="Calibri"/>
            </a:endParaRPr>
          </a:p>
        </xdr:txBody>
      </xdr:sp>
      <xdr:sp macro="" textlink="">
        <xdr:nvSpPr>
          <xdr:cNvPr id="74768" name="Text Box 16">
            <a:extLst>
              <a:ext uri="{FF2B5EF4-FFF2-40B4-BE49-F238E27FC236}">
                <a16:creationId xmlns:a16="http://schemas.microsoft.com/office/drawing/2014/main" id="{00000000-0008-0000-0100-000010240100}"/>
              </a:ext>
            </a:extLst>
          </xdr:cNvPr>
          <xdr:cNvSpPr txBox="1">
            <a:spLocks noChangeArrowheads="1"/>
          </xdr:cNvSpPr>
        </xdr:nvSpPr>
        <xdr:spPr bwMode="auto">
          <a:xfrm>
            <a:off x="4965" y="2925"/>
            <a:ext cx="1410" cy="345"/>
          </a:xfrm>
          <a:prstGeom prst="rect">
            <a:avLst/>
          </a:prstGeom>
          <a:solidFill>
            <a:srgbClr val="FFFFFF"/>
          </a:solidFill>
          <a:ln w="9525">
            <a:solidFill>
              <a:srgbClr val="FF0000"/>
            </a:solidFill>
            <a:miter lim="800000"/>
            <a:headEnd/>
            <a:tailEnd/>
          </a:ln>
        </xdr:spPr>
        <xdr:txBody>
          <a:bodyPr vertOverflow="clip" wrap="square" lIns="91440" tIns="45720" rIns="91440" bIns="45720" anchor="t" upright="1"/>
          <a:lstStyle/>
          <a:p>
            <a:pPr algn="l" rtl="0">
              <a:defRPr sz="1000"/>
            </a:pPr>
            <a:r>
              <a:rPr lang="en-US" sz="900" b="0" i="0" u="none" strike="noStrike" baseline="0">
                <a:solidFill>
                  <a:srgbClr val="FF0000"/>
                </a:solidFill>
                <a:latin typeface="Calibri"/>
              </a:rPr>
              <a:t>Navigate here.</a:t>
            </a:r>
          </a:p>
          <a:p>
            <a:pPr algn="l" rtl="0">
              <a:defRPr sz="1000"/>
            </a:pPr>
            <a:endParaRPr lang="en-US" sz="900" b="0" i="0" u="none" strike="noStrike" baseline="0">
              <a:solidFill>
                <a:srgbClr val="FF0000"/>
              </a:solidFill>
              <a:latin typeface="Calibri"/>
            </a:endParaRPr>
          </a:p>
        </xdr:txBody>
      </xdr:sp>
      <xdr:cxnSp macro="">
        <xdr:nvCxnSpPr>
          <xdr:cNvPr id="74769" name="AutoShape 17">
            <a:extLst>
              <a:ext uri="{FF2B5EF4-FFF2-40B4-BE49-F238E27FC236}">
                <a16:creationId xmlns:a16="http://schemas.microsoft.com/office/drawing/2014/main" id="{00000000-0008-0000-0100-000011240100}"/>
              </a:ext>
            </a:extLst>
          </xdr:cNvPr>
          <xdr:cNvCxnSpPr>
            <a:cxnSpLocks noChangeShapeType="1"/>
          </xdr:cNvCxnSpPr>
        </xdr:nvCxnSpPr>
        <xdr:spPr bwMode="auto">
          <a:xfrm flipH="1" flipV="1">
            <a:off x="6570" y="2685"/>
            <a:ext cx="255" cy="255"/>
          </a:xfrm>
          <a:prstGeom prst="straightConnector1">
            <a:avLst/>
          </a:prstGeom>
          <a:noFill/>
          <a:ln w="9525">
            <a:solidFill>
              <a:srgbClr val="FF0000"/>
            </a:solidFill>
            <a:round/>
            <a:headEnd/>
            <a:tailEnd type="triangle" w="med" len="med"/>
          </a:ln>
        </xdr:spPr>
      </xdr:cxnSp>
      <xdr:cxnSp macro="">
        <xdr:nvCxnSpPr>
          <xdr:cNvPr id="74770" name="AutoShape 18">
            <a:extLst>
              <a:ext uri="{FF2B5EF4-FFF2-40B4-BE49-F238E27FC236}">
                <a16:creationId xmlns:a16="http://schemas.microsoft.com/office/drawing/2014/main" id="{00000000-0008-0000-0100-000012240100}"/>
              </a:ext>
            </a:extLst>
          </xdr:cNvPr>
          <xdr:cNvCxnSpPr>
            <a:cxnSpLocks noChangeShapeType="1"/>
          </xdr:cNvCxnSpPr>
        </xdr:nvCxnSpPr>
        <xdr:spPr bwMode="auto">
          <a:xfrm flipV="1">
            <a:off x="5325" y="2670"/>
            <a:ext cx="120" cy="345"/>
          </a:xfrm>
          <a:prstGeom prst="straightConnector1">
            <a:avLst/>
          </a:prstGeom>
          <a:noFill/>
          <a:ln w="9525">
            <a:solidFill>
              <a:srgbClr val="FF0000"/>
            </a:solidFill>
            <a:round/>
            <a:headEnd/>
            <a:tailEnd type="triangle" w="med" len="med"/>
          </a:ln>
        </xdr:spPr>
      </xdr:cxnSp>
    </xdr:grpSp>
    <xdr:clientData/>
  </xdr:twoCellAnchor>
  <xdr:twoCellAnchor>
    <xdr:from>
      <xdr:col>0</xdr:col>
      <xdr:colOff>266700</xdr:colOff>
      <xdr:row>67</xdr:row>
      <xdr:rowOff>177800</xdr:rowOff>
    </xdr:from>
    <xdr:to>
      <xdr:col>3</xdr:col>
      <xdr:colOff>374329</xdr:colOff>
      <xdr:row>69</xdr:row>
      <xdr:rowOff>4082</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266700" y="12814300"/>
          <a:ext cx="1955479" cy="842282"/>
          <a:chOff x="482600" y="12822918"/>
          <a:chExt cx="1955479" cy="842282"/>
        </a:xfrm>
      </xdr:grpSpPr>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stretch>
            <a:fillRect/>
          </a:stretch>
        </xdr:blipFill>
        <xdr:spPr>
          <a:xfrm>
            <a:off x="482600" y="12822918"/>
            <a:ext cx="1071996" cy="842282"/>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390708</xdr:colOff>
      <xdr:row>16</xdr:row>
      <xdr:rowOff>177801</xdr:rowOff>
    </xdr:from>
    <xdr:to>
      <xdr:col>21</xdr:col>
      <xdr:colOff>311334</xdr:colOff>
      <xdr:row>40</xdr:row>
      <xdr:rowOff>101600</xdr:rowOff>
    </xdr:to>
    <xdr:sp macro="" textlink="">
      <xdr:nvSpPr>
        <xdr:cNvPr id="38" name="Down Arrow Callout 37">
          <a:extLst>
            <a:ext uri="{FF2B5EF4-FFF2-40B4-BE49-F238E27FC236}">
              <a16:creationId xmlns:a16="http://schemas.microsoft.com/office/drawing/2014/main" id="{00000000-0008-0000-0200-000026000000}"/>
            </a:ext>
          </a:extLst>
        </xdr:cNvPr>
        <xdr:cNvSpPr/>
      </xdr:nvSpPr>
      <xdr:spPr>
        <a:xfrm>
          <a:off x="390708" y="3378201"/>
          <a:ext cx="12922251" cy="4267199"/>
        </a:xfrm>
        <a:prstGeom prst="downArrowCallout">
          <a:avLst>
            <a:gd name="adj1" fmla="val 20005"/>
            <a:gd name="adj2" fmla="val 18960"/>
            <a:gd name="adj3" fmla="val 25520"/>
            <a:gd name="adj4" fmla="val 64977"/>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8</xdr:col>
      <xdr:colOff>543563</xdr:colOff>
      <xdr:row>10</xdr:row>
      <xdr:rowOff>133350</xdr:rowOff>
    </xdr:from>
    <xdr:to>
      <xdr:col>13</xdr:col>
      <xdr:colOff>158480</xdr:colOff>
      <xdr:row>13</xdr:row>
      <xdr:rowOff>142875</xdr:rowOff>
    </xdr:to>
    <xdr:sp macro="" textlink="">
      <xdr:nvSpPr>
        <xdr:cNvPr id="3" name="toc_control">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5267963" y="2333625"/>
          <a:ext cx="2567667" cy="58102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ysClr val="windowText" lastClr="000000"/>
              </a:solidFill>
              <a:effectLst/>
            </a:rPr>
            <a:t>Inventory Control Sheet</a:t>
          </a:r>
        </a:p>
      </xdr:txBody>
    </xdr:sp>
    <xdr:clientData/>
  </xdr:twoCellAnchor>
  <xdr:twoCellAnchor>
    <xdr:from>
      <xdr:col>0</xdr:col>
      <xdr:colOff>453796</xdr:colOff>
      <xdr:row>17</xdr:row>
      <xdr:rowOff>116682</xdr:rowOff>
    </xdr:from>
    <xdr:to>
      <xdr:col>3</xdr:col>
      <xdr:colOff>328066</xdr:colOff>
      <xdr:row>20</xdr:row>
      <xdr:rowOff>107157</xdr:rowOff>
    </xdr:to>
    <xdr:sp macro="" textlink="">
      <xdr:nvSpPr>
        <xdr:cNvPr id="4" name="toc_StatEntry">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453796"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Stationary Units</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Entry Sheet</a:t>
          </a:r>
        </a:p>
      </xdr:txBody>
    </xdr:sp>
    <xdr:clientData/>
  </xdr:twoCellAnchor>
  <xdr:twoCellAnchor>
    <xdr:from>
      <xdr:col>0</xdr:col>
      <xdr:colOff>453796</xdr:colOff>
      <xdr:row>21</xdr:row>
      <xdr:rowOff>45244</xdr:rowOff>
    </xdr:from>
    <xdr:to>
      <xdr:col>3</xdr:col>
      <xdr:colOff>328066</xdr:colOff>
      <xdr:row>24</xdr:row>
      <xdr:rowOff>35719</xdr:rowOff>
    </xdr:to>
    <xdr:sp macro="" textlink="">
      <xdr:nvSpPr>
        <xdr:cNvPr id="5" name="toc_StatData">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a:off x="453796"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Stationary Units</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Data Sheet</a:t>
          </a:r>
        </a:p>
      </xdr:txBody>
    </xdr:sp>
    <xdr:clientData/>
  </xdr:twoCellAnchor>
  <xdr:twoCellAnchor>
    <xdr:from>
      <xdr:col>0</xdr:col>
      <xdr:colOff>453796</xdr:colOff>
      <xdr:row>24</xdr:row>
      <xdr:rowOff>147638</xdr:rowOff>
    </xdr:from>
    <xdr:to>
      <xdr:col>3</xdr:col>
      <xdr:colOff>328066</xdr:colOff>
      <xdr:row>27</xdr:row>
      <xdr:rowOff>138113</xdr:rowOff>
    </xdr:to>
    <xdr:sp macro="" textlink="">
      <xdr:nvSpPr>
        <xdr:cNvPr id="7" name="toc_StatSummary">
          <a:hlinkClick xmlns:r="http://schemas.openxmlformats.org/officeDocument/2006/relationships" r:id="rId4"/>
          <a:extLst>
            <a:ext uri="{FF2B5EF4-FFF2-40B4-BE49-F238E27FC236}">
              <a16:creationId xmlns:a16="http://schemas.microsoft.com/office/drawing/2014/main" id="{00000000-0008-0000-0200-000007000000}"/>
            </a:ext>
          </a:extLst>
        </xdr:cNvPr>
        <xdr:cNvSpPr/>
      </xdr:nvSpPr>
      <xdr:spPr>
        <a:xfrm>
          <a:off x="453796" y="5014913"/>
          <a:ext cx="1645920" cy="561975"/>
        </a:xfrm>
        <a:prstGeom prst="roundRect">
          <a:avLst/>
        </a:prstGeom>
        <a:solidFill>
          <a:schemeClr val="bg1">
            <a:lumMod val="85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Stationary Units</a:t>
          </a:r>
          <a:r>
            <a:rPr lang="en-US" sz="1100" b="0" cap="none" spc="0" baseline="0">
              <a:ln>
                <a:noFill/>
              </a:ln>
              <a:solidFill>
                <a:schemeClr val="tx1"/>
              </a:solidFill>
              <a:effectLst/>
            </a:rPr>
            <a:t> - Calculation &amp; Summary</a:t>
          </a:r>
        </a:p>
      </xdr:txBody>
    </xdr:sp>
    <xdr:clientData/>
  </xdr:twoCellAnchor>
  <xdr:twoCellAnchor>
    <xdr:from>
      <xdr:col>12</xdr:col>
      <xdr:colOff>400615</xdr:colOff>
      <xdr:row>17</xdr:row>
      <xdr:rowOff>116682</xdr:rowOff>
    </xdr:from>
    <xdr:to>
      <xdr:col>15</xdr:col>
      <xdr:colOff>274885</xdr:colOff>
      <xdr:row>20</xdr:row>
      <xdr:rowOff>107157</xdr:rowOff>
    </xdr:to>
    <xdr:sp macro="" textlink="">
      <xdr:nvSpPr>
        <xdr:cNvPr id="8" name="toc_ElectricityEntry">
          <a:hlinkClick xmlns:r="http://schemas.openxmlformats.org/officeDocument/2006/relationships" r:id="rId5"/>
          <a:extLst>
            <a:ext uri="{FF2B5EF4-FFF2-40B4-BE49-F238E27FC236}">
              <a16:creationId xmlns:a16="http://schemas.microsoft.com/office/drawing/2014/main" id="{00000000-0008-0000-0200-000008000000}"/>
            </a:ext>
          </a:extLst>
        </xdr:cNvPr>
        <xdr:cNvSpPr/>
      </xdr:nvSpPr>
      <xdr:spPr>
        <a:xfrm>
          <a:off x="7487215"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4"/>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Electricity</a:t>
          </a:r>
          <a:r>
            <a:rPr lang="en-US" sz="1100" b="1" cap="none" spc="0" baseline="0">
              <a:ln>
                <a:noFill/>
              </a:ln>
              <a:solidFill>
                <a:schemeClr val="tx1"/>
              </a:solidFill>
              <a:effectLst/>
            </a:rPr>
            <a:t> Use </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Entry Sheet</a:t>
          </a:r>
        </a:p>
      </xdr:txBody>
    </xdr:sp>
    <xdr:clientData/>
  </xdr:twoCellAnchor>
  <xdr:twoCellAnchor>
    <xdr:from>
      <xdr:col>12</xdr:col>
      <xdr:colOff>400615</xdr:colOff>
      <xdr:row>21</xdr:row>
      <xdr:rowOff>45244</xdr:rowOff>
    </xdr:from>
    <xdr:to>
      <xdr:col>15</xdr:col>
      <xdr:colOff>274885</xdr:colOff>
      <xdr:row>24</xdr:row>
      <xdr:rowOff>35719</xdr:rowOff>
    </xdr:to>
    <xdr:sp macro="" textlink="">
      <xdr:nvSpPr>
        <xdr:cNvPr id="9" name="toc_ElectricityData">
          <a:hlinkClick xmlns:r="http://schemas.openxmlformats.org/officeDocument/2006/relationships" r:id="rId6"/>
          <a:extLst>
            <a:ext uri="{FF2B5EF4-FFF2-40B4-BE49-F238E27FC236}">
              <a16:creationId xmlns:a16="http://schemas.microsoft.com/office/drawing/2014/main" id="{00000000-0008-0000-0200-000009000000}"/>
            </a:ext>
          </a:extLst>
        </xdr:cNvPr>
        <xdr:cNvSpPr/>
      </xdr:nvSpPr>
      <xdr:spPr>
        <a:xfrm>
          <a:off x="7487215"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4"/>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Electricity Use - </a:t>
          </a:r>
        </a:p>
        <a:p>
          <a:pPr algn="ctr"/>
          <a:r>
            <a:rPr lang="en-US" sz="1100" b="0" cap="none" spc="0">
              <a:ln>
                <a:noFill/>
              </a:ln>
              <a:solidFill>
                <a:schemeClr val="tx1"/>
              </a:solidFill>
              <a:effectLst/>
            </a:rPr>
            <a:t>Data Sheet</a:t>
          </a:r>
        </a:p>
      </xdr:txBody>
    </xdr:sp>
    <xdr:clientData/>
  </xdr:twoCellAnchor>
  <xdr:twoCellAnchor>
    <xdr:from>
      <xdr:col>12</xdr:col>
      <xdr:colOff>410140</xdr:colOff>
      <xdr:row>28</xdr:row>
      <xdr:rowOff>141288</xdr:rowOff>
    </xdr:from>
    <xdr:to>
      <xdr:col>15</xdr:col>
      <xdr:colOff>287585</xdr:colOff>
      <xdr:row>31</xdr:row>
      <xdr:rowOff>144463</xdr:rowOff>
    </xdr:to>
    <xdr:sp macro="" textlink="">
      <xdr:nvSpPr>
        <xdr:cNvPr id="10" name="toc_ElectricityCalcs">
          <a:hlinkClick xmlns:r="http://schemas.openxmlformats.org/officeDocument/2006/relationships" r:id="rId7"/>
          <a:extLst>
            <a:ext uri="{FF2B5EF4-FFF2-40B4-BE49-F238E27FC236}">
              <a16:creationId xmlns:a16="http://schemas.microsoft.com/office/drawing/2014/main" id="{00000000-0008-0000-0200-00000A000000}"/>
            </a:ext>
          </a:extLst>
        </xdr:cNvPr>
        <xdr:cNvSpPr/>
      </xdr:nvSpPr>
      <xdr:spPr>
        <a:xfrm>
          <a:off x="7839640" y="5513388"/>
          <a:ext cx="1734820" cy="546100"/>
        </a:xfrm>
        <a:prstGeom prst="roundRect">
          <a:avLst/>
        </a:prstGeom>
        <a:solidFill>
          <a:schemeClr val="bg1">
            <a:lumMod val="85000"/>
          </a:schemeClr>
        </a:solidFill>
        <a:ln>
          <a:solidFill>
            <a:schemeClr val="accent4"/>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Electricity Market-based </a:t>
          </a:r>
          <a:r>
            <a:rPr lang="en-US" sz="1100" b="0" cap="none" spc="0" baseline="0">
              <a:ln>
                <a:noFill/>
              </a:ln>
              <a:solidFill>
                <a:schemeClr val="tx1"/>
              </a:solidFill>
              <a:effectLst/>
            </a:rPr>
            <a:t>-</a:t>
          </a:r>
        </a:p>
        <a:p>
          <a:pPr algn="ctr"/>
          <a:r>
            <a:rPr lang="en-US" sz="1100" b="0" cap="none" spc="0" baseline="0">
              <a:ln>
                <a:noFill/>
              </a:ln>
              <a:solidFill>
                <a:schemeClr val="tx1"/>
              </a:solidFill>
              <a:effectLst/>
            </a:rPr>
            <a:t>Calculation &amp; Summary</a:t>
          </a:r>
        </a:p>
      </xdr:txBody>
    </xdr:sp>
    <xdr:clientData/>
  </xdr:twoCellAnchor>
  <xdr:twoCellAnchor>
    <xdr:from>
      <xdr:col>3</xdr:col>
      <xdr:colOff>432762</xdr:colOff>
      <xdr:row>21</xdr:row>
      <xdr:rowOff>45244</xdr:rowOff>
    </xdr:from>
    <xdr:to>
      <xdr:col>6</xdr:col>
      <xdr:colOff>307032</xdr:colOff>
      <xdr:row>24</xdr:row>
      <xdr:rowOff>35719</xdr:rowOff>
    </xdr:to>
    <xdr:sp macro="" textlink="">
      <xdr:nvSpPr>
        <xdr:cNvPr id="12" name="toc_MobileData">
          <a:hlinkClick xmlns:r="http://schemas.openxmlformats.org/officeDocument/2006/relationships" r:id="rId8"/>
          <a:extLst>
            <a:ext uri="{FF2B5EF4-FFF2-40B4-BE49-F238E27FC236}">
              <a16:creationId xmlns:a16="http://schemas.microsoft.com/office/drawing/2014/main" id="{00000000-0008-0000-0200-00000C000000}"/>
            </a:ext>
          </a:extLst>
        </xdr:cNvPr>
        <xdr:cNvSpPr/>
      </xdr:nvSpPr>
      <xdr:spPr>
        <a:xfrm>
          <a:off x="2204412"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Mobile Units- </a:t>
          </a:r>
        </a:p>
        <a:p>
          <a:pPr algn="ctr"/>
          <a:r>
            <a:rPr lang="en-US" sz="1100" b="0" cap="none" spc="0">
              <a:ln>
                <a:noFill/>
              </a:ln>
              <a:solidFill>
                <a:schemeClr val="tx1"/>
              </a:solidFill>
              <a:effectLst/>
            </a:rPr>
            <a:t>Data Sheet</a:t>
          </a:r>
          <a:endParaRPr lang="en-US" sz="1100" b="0" cap="none" spc="0" baseline="0">
            <a:ln>
              <a:noFill/>
            </a:ln>
            <a:solidFill>
              <a:schemeClr val="tx1"/>
            </a:solidFill>
            <a:effectLst/>
          </a:endParaRPr>
        </a:p>
        <a:p>
          <a:pPr algn="ctr"/>
          <a:endParaRPr lang="en-US" sz="1100" b="0" cap="none" spc="0">
            <a:ln>
              <a:noFill/>
            </a:ln>
            <a:solidFill>
              <a:schemeClr val="tx1"/>
            </a:solidFill>
            <a:effectLst/>
          </a:endParaRPr>
        </a:p>
      </xdr:txBody>
    </xdr:sp>
    <xdr:clientData/>
  </xdr:twoCellAnchor>
  <xdr:twoCellAnchor>
    <xdr:from>
      <xdr:col>3</xdr:col>
      <xdr:colOff>432762</xdr:colOff>
      <xdr:row>24</xdr:row>
      <xdr:rowOff>147638</xdr:rowOff>
    </xdr:from>
    <xdr:to>
      <xdr:col>6</xdr:col>
      <xdr:colOff>307032</xdr:colOff>
      <xdr:row>27</xdr:row>
      <xdr:rowOff>138113</xdr:rowOff>
    </xdr:to>
    <xdr:sp macro="" textlink="">
      <xdr:nvSpPr>
        <xdr:cNvPr id="13" name="toc_MobileSummary">
          <a:hlinkClick xmlns:r="http://schemas.openxmlformats.org/officeDocument/2006/relationships" r:id="rId9"/>
          <a:extLst>
            <a:ext uri="{FF2B5EF4-FFF2-40B4-BE49-F238E27FC236}">
              <a16:creationId xmlns:a16="http://schemas.microsoft.com/office/drawing/2014/main" id="{00000000-0008-0000-0200-00000D000000}"/>
            </a:ext>
          </a:extLst>
        </xdr:cNvPr>
        <xdr:cNvSpPr/>
      </xdr:nvSpPr>
      <xdr:spPr>
        <a:xfrm>
          <a:off x="2204412" y="5014913"/>
          <a:ext cx="1645920" cy="561975"/>
        </a:xfrm>
        <a:prstGeom prst="roundRect">
          <a:avLst/>
        </a:prstGeom>
        <a:solidFill>
          <a:schemeClr val="bg1">
            <a:lumMod val="85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Mobile Units</a:t>
          </a:r>
          <a:r>
            <a:rPr lang="en-US" sz="1100" b="0" cap="none" spc="0" baseline="0">
              <a:ln>
                <a:noFill/>
              </a:ln>
              <a:solidFill>
                <a:schemeClr val="tx1"/>
              </a:solidFill>
              <a:effectLst/>
            </a:rPr>
            <a:t>-</a:t>
          </a:r>
        </a:p>
        <a:p>
          <a:pPr algn="ctr"/>
          <a:r>
            <a:rPr lang="en-US" sz="1100" b="0" cap="none" spc="0" baseline="0">
              <a:ln>
                <a:noFill/>
              </a:ln>
              <a:solidFill>
                <a:schemeClr val="tx1"/>
              </a:solidFill>
              <a:effectLst/>
            </a:rPr>
            <a:t>Summary Sheet</a:t>
          </a:r>
        </a:p>
      </xdr:txBody>
    </xdr:sp>
    <xdr:clientData/>
  </xdr:twoCellAnchor>
  <xdr:twoCellAnchor>
    <xdr:from>
      <xdr:col>3</xdr:col>
      <xdr:colOff>432762</xdr:colOff>
      <xdr:row>28</xdr:row>
      <xdr:rowOff>75407</xdr:rowOff>
    </xdr:from>
    <xdr:to>
      <xdr:col>6</xdr:col>
      <xdr:colOff>307032</xdr:colOff>
      <xdr:row>31</xdr:row>
      <xdr:rowOff>65882</xdr:rowOff>
    </xdr:to>
    <xdr:sp macro="" textlink="">
      <xdr:nvSpPr>
        <xdr:cNvPr id="14" name="toc_MobileCalcs">
          <a:hlinkClick xmlns:r="http://schemas.openxmlformats.org/officeDocument/2006/relationships" r:id="rId10"/>
          <a:extLst>
            <a:ext uri="{FF2B5EF4-FFF2-40B4-BE49-F238E27FC236}">
              <a16:creationId xmlns:a16="http://schemas.microsoft.com/office/drawing/2014/main" id="{00000000-0008-0000-0200-00000E000000}"/>
            </a:ext>
          </a:extLst>
        </xdr:cNvPr>
        <xdr:cNvSpPr/>
      </xdr:nvSpPr>
      <xdr:spPr>
        <a:xfrm>
          <a:off x="2204412" y="5704682"/>
          <a:ext cx="1645920" cy="561975"/>
        </a:xfrm>
        <a:prstGeom prst="roundRect">
          <a:avLst/>
        </a:prstGeom>
        <a:solidFill>
          <a:schemeClr val="bg1">
            <a:lumMod val="85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baseline="0">
              <a:ln>
                <a:noFill/>
              </a:ln>
              <a:solidFill>
                <a:schemeClr val="tx1"/>
              </a:solidFill>
              <a:effectLst/>
            </a:rPr>
            <a:t>Mobile Units-</a:t>
          </a:r>
        </a:p>
        <a:p>
          <a:pPr algn="ctr"/>
          <a:r>
            <a:rPr lang="en-US" sz="1100" b="0" cap="none" spc="0" baseline="0">
              <a:ln>
                <a:noFill/>
              </a:ln>
              <a:solidFill>
                <a:schemeClr val="tx1"/>
              </a:solidFill>
              <a:effectLst/>
            </a:rPr>
            <a:t>Calculation Sheet</a:t>
          </a:r>
        </a:p>
      </xdr:txBody>
    </xdr:sp>
    <xdr:clientData/>
  </xdr:twoCellAnchor>
  <xdr:twoCellAnchor>
    <xdr:from>
      <xdr:col>3</xdr:col>
      <xdr:colOff>432762</xdr:colOff>
      <xdr:row>17</xdr:row>
      <xdr:rowOff>116682</xdr:rowOff>
    </xdr:from>
    <xdr:to>
      <xdr:col>6</xdr:col>
      <xdr:colOff>307032</xdr:colOff>
      <xdr:row>20</xdr:row>
      <xdr:rowOff>107157</xdr:rowOff>
    </xdr:to>
    <xdr:sp macro="" textlink="">
      <xdr:nvSpPr>
        <xdr:cNvPr id="11" name="toc_MobileEntry">
          <a:hlinkClick xmlns:r="http://schemas.openxmlformats.org/officeDocument/2006/relationships" r:id="rId11"/>
          <a:extLst>
            <a:ext uri="{FF2B5EF4-FFF2-40B4-BE49-F238E27FC236}">
              <a16:creationId xmlns:a16="http://schemas.microsoft.com/office/drawing/2014/main" id="{00000000-0008-0000-0200-00000B000000}"/>
            </a:ext>
          </a:extLst>
        </xdr:cNvPr>
        <xdr:cNvSpPr/>
      </xdr:nvSpPr>
      <xdr:spPr>
        <a:xfrm>
          <a:off x="2204412"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Mobile Units</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Entry Sheet</a:t>
          </a:r>
        </a:p>
      </xdr:txBody>
    </xdr:sp>
    <xdr:clientData/>
  </xdr:twoCellAnchor>
  <xdr:twoCellAnchor>
    <xdr:from>
      <xdr:col>6</xdr:col>
      <xdr:colOff>422046</xdr:colOff>
      <xdr:row>17</xdr:row>
      <xdr:rowOff>116682</xdr:rowOff>
    </xdr:from>
    <xdr:to>
      <xdr:col>9</xdr:col>
      <xdr:colOff>296316</xdr:colOff>
      <xdr:row>20</xdr:row>
      <xdr:rowOff>107157</xdr:rowOff>
    </xdr:to>
    <xdr:sp macro="" textlink="">
      <xdr:nvSpPr>
        <xdr:cNvPr id="15" name="toc_SWControl">
          <a:hlinkClick xmlns:r="http://schemas.openxmlformats.org/officeDocument/2006/relationships" r:id="rId12"/>
          <a:extLst>
            <a:ext uri="{FF2B5EF4-FFF2-40B4-BE49-F238E27FC236}">
              <a16:creationId xmlns:a16="http://schemas.microsoft.com/office/drawing/2014/main" id="{00000000-0008-0000-0200-00000F000000}"/>
            </a:ext>
          </a:extLst>
        </xdr:cNvPr>
        <xdr:cNvSpPr/>
      </xdr:nvSpPr>
      <xdr:spPr>
        <a:xfrm>
          <a:off x="3965346"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Solid Waste </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Control Sheet</a:t>
          </a:r>
          <a:endParaRPr lang="en-US" sz="1100" b="0" cap="none" spc="0">
            <a:ln>
              <a:noFill/>
            </a:ln>
            <a:solidFill>
              <a:schemeClr val="tx1"/>
            </a:solidFill>
            <a:effectLst/>
          </a:endParaRPr>
        </a:p>
      </xdr:txBody>
    </xdr:sp>
    <xdr:clientData/>
  </xdr:twoCellAnchor>
  <xdr:twoCellAnchor>
    <xdr:from>
      <xdr:col>6</xdr:col>
      <xdr:colOff>422046</xdr:colOff>
      <xdr:row>21</xdr:row>
      <xdr:rowOff>45244</xdr:rowOff>
    </xdr:from>
    <xdr:to>
      <xdr:col>9</xdr:col>
      <xdr:colOff>296316</xdr:colOff>
      <xdr:row>24</xdr:row>
      <xdr:rowOff>35719</xdr:rowOff>
    </xdr:to>
    <xdr:sp macro="" textlink="">
      <xdr:nvSpPr>
        <xdr:cNvPr id="16" name="toc_SWEntry">
          <a:hlinkClick xmlns:r="http://schemas.openxmlformats.org/officeDocument/2006/relationships" r:id="rId13"/>
          <a:extLst>
            <a:ext uri="{FF2B5EF4-FFF2-40B4-BE49-F238E27FC236}">
              <a16:creationId xmlns:a16="http://schemas.microsoft.com/office/drawing/2014/main" id="{00000000-0008-0000-0200-000010000000}"/>
            </a:ext>
          </a:extLst>
        </xdr:cNvPr>
        <xdr:cNvSpPr/>
      </xdr:nvSpPr>
      <xdr:spPr>
        <a:xfrm>
          <a:off x="3965346"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Solid Waste </a:t>
          </a:r>
          <a:r>
            <a:rPr lang="en-US" sz="1100" b="0" cap="none" spc="0" baseline="0">
              <a:ln>
                <a:noFill/>
              </a:ln>
              <a:solidFill>
                <a:schemeClr val="tx1"/>
              </a:solidFill>
              <a:effectLst/>
            </a:rPr>
            <a:t>- Entry, Calculation &amp; Summary</a:t>
          </a:r>
        </a:p>
        <a:p>
          <a:pPr algn="ctr"/>
          <a:endParaRPr lang="en-US" sz="1100" b="0" cap="none" spc="0">
            <a:ln>
              <a:noFill/>
            </a:ln>
            <a:solidFill>
              <a:schemeClr val="tx1"/>
            </a:solidFill>
            <a:effectLst/>
          </a:endParaRPr>
        </a:p>
      </xdr:txBody>
    </xdr:sp>
    <xdr:clientData/>
  </xdr:twoCellAnchor>
  <xdr:twoCellAnchor>
    <xdr:from>
      <xdr:col>9</xdr:col>
      <xdr:colOff>413886</xdr:colOff>
      <xdr:row>17</xdr:row>
      <xdr:rowOff>116682</xdr:rowOff>
    </xdr:from>
    <xdr:to>
      <xdr:col>12</xdr:col>
      <xdr:colOff>288156</xdr:colOff>
      <xdr:row>20</xdr:row>
      <xdr:rowOff>107157</xdr:rowOff>
    </xdr:to>
    <xdr:sp macro="" textlink="">
      <xdr:nvSpPr>
        <xdr:cNvPr id="19" name="toc_WWControl">
          <a:hlinkClick xmlns:r="http://schemas.openxmlformats.org/officeDocument/2006/relationships" r:id="rId14"/>
          <a:extLst>
            <a:ext uri="{FF2B5EF4-FFF2-40B4-BE49-F238E27FC236}">
              <a16:creationId xmlns:a16="http://schemas.microsoft.com/office/drawing/2014/main" id="{00000000-0008-0000-0200-000013000000}"/>
            </a:ext>
          </a:extLst>
        </xdr:cNvPr>
        <xdr:cNvSpPr/>
      </xdr:nvSpPr>
      <xdr:spPr>
        <a:xfrm>
          <a:off x="5728836"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Wastewater</a:t>
          </a:r>
          <a:r>
            <a:rPr lang="en-US" sz="1100" b="0" cap="none" spc="0">
              <a:ln>
                <a:noFill/>
              </a:ln>
              <a:solidFill>
                <a:schemeClr val="tx1"/>
              </a:solidFill>
              <a:effectLst/>
            </a:rPr>
            <a:t> </a:t>
          </a:r>
          <a:r>
            <a:rPr lang="en-US" sz="1100" b="0" cap="none" spc="0" baseline="0">
              <a:ln>
                <a:noFill/>
              </a:ln>
              <a:solidFill>
                <a:schemeClr val="tx1"/>
              </a:solidFill>
              <a:effectLst/>
            </a:rPr>
            <a:t>- </a:t>
          </a:r>
        </a:p>
        <a:p>
          <a:pPr algn="ctr"/>
          <a:r>
            <a:rPr lang="en-US" sz="1100" b="0" cap="none" spc="0" baseline="0">
              <a:ln>
                <a:noFill/>
              </a:ln>
              <a:solidFill>
                <a:schemeClr val="tx1"/>
              </a:solidFill>
              <a:effectLst/>
            </a:rPr>
            <a:t>Control Sheet</a:t>
          </a:r>
          <a:endParaRPr lang="en-US" sz="1100" b="0" cap="none" spc="0">
            <a:ln>
              <a:noFill/>
            </a:ln>
            <a:solidFill>
              <a:schemeClr val="tx1"/>
            </a:solidFill>
            <a:effectLst/>
          </a:endParaRPr>
        </a:p>
      </xdr:txBody>
    </xdr:sp>
    <xdr:clientData/>
  </xdr:twoCellAnchor>
  <xdr:twoCellAnchor>
    <xdr:from>
      <xdr:col>9</xdr:col>
      <xdr:colOff>413886</xdr:colOff>
      <xdr:row>21</xdr:row>
      <xdr:rowOff>45244</xdr:rowOff>
    </xdr:from>
    <xdr:to>
      <xdr:col>12</xdr:col>
      <xdr:colOff>288156</xdr:colOff>
      <xdr:row>24</xdr:row>
      <xdr:rowOff>35719</xdr:rowOff>
    </xdr:to>
    <xdr:sp macro="" textlink="">
      <xdr:nvSpPr>
        <xdr:cNvPr id="20" name="toc_WWEntry">
          <a:hlinkClick xmlns:r="http://schemas.openxmlformats.org/officeDocument/2006/relationships" r:id="rId15"/>
          <a:extLst>
            <a:ext uri="{FF2B5EF4-FFF2-40B4-BE49-F238E27FC236}">
              <a16:creationId xmlns:a16="http://schemas.microsoft.com/office/drawing/2014/main" id="{00000000-0008-0000-0200-000014000000}"/>
            </a:ext>
          </a:extLst>
        </xdr:cNvPr>
        <xdr:cNvSpPr/>
      </xdr:nvSpPr>
      <xdr:spPr>
        <a:xfrm>
          <a:off x="5728836"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Wastewater </a:t>
          </a:r>
          <a:r>
            <a:rPr lang="en-US" sz="1100" b="0" cap="none" spc="0" baseline="0">
              <a:ln>
                <a:noFill/>
              </a:ln>
              <a:solidFill>
                <a:schemeClr val="tx1"/>
              </a:solidFill>
              <a:effectLst/>
            </a:rPr>
            <a:t>- Entry Sheet</a:t>
          </a:r>
          <a:endParaRPr lang="en-US" sz="1100" b="0" cap="none" spc="0">
            <a:ln>
              <a:noFill/>
            </a:ln>
            <a:solidFill>
              <a:schemeClr val="tx1"/>
            </a:solidFill>
            <a:effectLst/>
          </a:endParaRPr>
        </a:p>
      </xdr:txBody>
    </xdr:sp>
    <xdr:clientData/>
  </xdr:twoCellAnchor>
  <xdr:twoCellAnchor>
    <xdr:from>
      <xdr:col>9</xdr:col>
      <xdr:colOff>413886</xdr:colOff>
      <xdr:row>24</xdr:row>
      <xdr:rowOff>147638</xdr:rowOff>
    </xdr:from>
    <xdr:to>
      <xdr:col>12</xdr:col>
      <xdr:colOff>288156</xdr:colOff>
      <xdr:row>27</xdr:row>
      <xdr:rowOff>138113</xdr:rowOff>
    </xdr:to>
    <xdr:sp macro="" textlink="">
      <xdr:nvSpPr>
        <xdr:cNvPr id="21" name="toc_WWCalcs">
          <a:hlinkClick xmlns:r="http://schemas.openxmlformats.org/officeDocument/2006/relationships" r:id="rId16"/>
          <a:extLst>
            <a:ext uri="{FF2B5EF4-FFF2-40B4-BE49-F238E27FC236}">
              <a16:creationId xmlns:a16="http://schemas.microsoft.com/office/drawing/2014/main" id="{00000000-0008-0000-0200-000015000000}"/>
            </a:ext>
          </a:extLst>
        </xdr:cNvPr>
        <xdr:cNvSpPr/>
      </xdr:nvSpPr>
      <xdr:spPr>
        <a:xfrm>
          <a:off x="5728836" y="5014913"/>
          <a:ext cx="1645920" cy="561975"/>
        </a:xfrm>
        <a:prstGeom prst="roundRect">
          <a:avLst/>
        </a:prstGeom>
        <a:solidFill>
          <a:schemeClr val="bg1">
            <a:lumMod val="85000"/>
          </a:schemeClr>
        </a:solidFill>
        <a:ln>
          <a:solidFill>
            <a:schemeClr val="accent6"/>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Wastewater </a:t>
          </a:r>
          <a:r>
            <a:rPr lang="en-US" sz="1100" b="0" cap="none" spc="0" baseline="0">
              <a:ln>
                <a:noFill/>
              </a:ln>
              <a:solidFill>
                <a:schemeClr val="tx1"/>
              </a:solidFill>
              <a:effectLst/>
            </a:rPr>
            <a:t>- Calculation &amp; Summary</a:t>
          </a:r>
          <a:endParaRPr lang="en-US" sz="1100" b="0" cap="none" spc="0">
            <a:ln>
              <a:noFill/>
            </a:ln>
            <a:solidFill>
              <a:schemeClr val="tx1"/>
            </a:solidFill>
            <a:effectLst/>
          </a:endParaRPr>
        </a:p>
      </xdr:txBody>
    </xdr:sp>
    <xdr:clientData/>
  </xdr:twoCellAnchor>
  <xdr:twoCellAnchor>
    <xdr:from>
      <xdr:col>17</xdr:col>
      <xdr:colOff>182476</xdr:colOff>
      <xdr:row>25</xdr:row>
      <xdr:rowOff>56357</xdr:rowOff>
    </xdr:from>
    <xdr:to>
      <xdr:col>20</xdr:col>
      <xdr:colOff>56746</xdr:colOff>
      <xdr:row>28</xdr:row>
      <xdr:rowOff>46832</xdr:rowOff>
    </xdr:to>
    <xdr:sp macro="" textlink="">
      <xdr:nvSpPr>
        <xdr:cNvPr id="24" name="toc_AdditionalSources">
          <a:hlinkClick xmlns:r="http://schemas.openxmlformats.org/officeDocument/2006/relationships" r:id="rId17"/>
          <a:extLst>
            <a:ext uri="{FF2B5EF4-FFF2-40B4-BE49-F238E27FC236}">
              <a16:creationId xmlns:a16="http://schemas.microsoft.com/office/drawing/2014/main" id="{00000000-0008-0000-0200-000018000000}"/>
            </a:ext>
          </a:extLst>
        </xdr:cNvPr>
        <xdr:cNvSpPr/>
      </xdr:nvSpPr>
      <xdr:spPr>
        <a:xfrm>
          <a:off x="10221826" y="5114132"/>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2"/>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Additional Emission Sources</a:t>
          </a:r>
          <a:endParaRPr lang="en-US" sz="1100" b="0" cap="none" spc="0">
            <a:ln>
              <a:noFill/>
            </a:ln>
            <a:solidFill>
              <a:schemeClr val="tx1"/>
            </a:solidFill>
            <a:effectLst/>
          </a:endParaRPr>
        </a:p>
      </xdr:txBody>
    </xdr:sp>
    <xdr:clientData/>
  </xdr:twoCellAnchor>
  <xdr:twoCellAnchor>
    <xdr:from>
      <xdr:col>0</xdr:col>
      <xdr:colOff>425316</xdr:colOff>
      <xdr:row>34</xdr:row>
      <xdr:rowOff>161925</xdr:rowOff>
    </xdr:from>
    <xdr:to>
      <xdr:col>21</xdr:col>
      <xdr:colOff>276726</xdr:colOff>
      <xdr:row>37</xdr:row>
      <xdr:rowOff>171450</xdr:rowOff>
    </xdr:to>
    <xdr:sp macro="" textlink="">
      <xdr:nvSpPr>
        <xdr:cNvPr id="25" name="toc_emissions_summary">
          <a:hlinkClick xmlns:r="http://schemas.openxmlformats.org/officeDocument/2006/relationships" r:id="rId18"/>
          <a:extLst>
            <a:ext uri="{FF2B5EF4-FFF2-40B4-BE49-F238E27FC236}">
              <a16:creationId xmlns:a16="http://schemas.microsoft.com/office/drawing/2014/main" id="{00000000-0008-0000-0200-000019000000}"/>
            </a:ext>
          </a:extLst>
        </xdr:cNvPr>
        <xdr:cNvSpPr/>
      </xdr:nvSpPr>
      <xdr:spPr>
        <a:xfrm>
          <a:off x="425316" y="6934200"/>
          <a:ext cx="12252960" cy="581025"/>
        </a:xfrm>
        <a:prstGeom prst="roundRect">
          <a:avLst/>
        </a:prstGeom>
        <a:solidFill>
          <a:schemeClr val="bg1">
            <a:lumMod val="85000"/>
          </a:schemeClr>
        </a:solidFill>
        <a:ln/>
      </xdr:spPr>
      <xdr:style>
        <a:lnRef idx="2">
          <a:schemeClr val="accent3"/>
        </a:lnRef>
        <a:fillRef idx="1">
          <a:schemeClr val="lt1"/>
        </a:fillRef>
        <a:effectRef idx="0">
          <a:schemeClr val="accent3"/>
        </a:effectRef>
        <a:fontRef idx="minor">
          <a:schemeClr val="dk1"/>
        </a:fontRef>
      </xdr:style>
      <xdr:txBody>
        <a:bodyPr vertOverflow="clip" rtlCol="0" anchor="ctr"/>
        <a:lstStyle/>
        <a:p>
          <a:pPr algn="ctr"/>
          <a:r>
            <a:rPr lang="en-US" sz="1100" b="1" cap="none" spc="0">
              <a:ln>
                <a:noFill/>
              </a:ln>
              <a:solidFill>
                <a:sysClr val="windowText" lastClr="000000"/>
              </a:solidFill>
              <a:effectLst/>
            </a:rPr>
            <a:t>Inventory</a:t>
          </a:r>
          <a:r>
            <a:rPr lang="en-US" sz="1100" b="1" cap="none" spc="0" baseline="0">
              <a:ln>
                <a:noFill/>
              </a:ln>
              <a:solidFill>
                <a:sysClr val="windowText" lastClr="000000"/>
              </a:solidFill>
              <a:effectLst/>
            </a:rPr>
            <a:t> Emissions Summary</a:t>
          </a:r>
          <a:endParaRPr lang="en-US" sz="1100" b="1" cap="none" spc="0">
            <a:ln>
              <a:noFill/>
            </a:ln>
            <a:solidFill>
              <a:sysClr val="windowText" lastClr="000000"/>
            </a:solidFill>
            <a:effectLst/>
          </a:endParaRPr>
        </a:p>
      </xdr:txBody>
    </xdr:sp>
    <xdr:clientData/>
  </xdr:twoCellAnchor>
  <xdr:twoCellAnchor>
    <xdr:from>
      <xdr:col>0</xdr:col>
      <xdr:colOff>349021</xdr:colOff>
      <xdr:row>1</xdr:row>
      <xdr:rowOff>142876</xdr:rowOff>
    </xdr:from>
    <xdr:to>
      <xdr:col>21</xdr:col>
      <xdr:colOff>264439</xdr:colOff>
      <xdr:row>5</xdr:row>
      <xdr:rowOff>28576</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349021" y="632733"/>
          <a:ext cx="12202668" cy="647700"/>
        </a:xfrm>
        <a:prstGeom prst="rect">
          <a:avLst/>
        </a:prstGeom>
        <a:solidFill>
          <a:schemeClr val="bg1"/>
        </a:solid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a:t>Click</a:t>
          </a:r>
          <a:r>
            <a:rPr lang="en-US" sz="1100" baseline="0"/>
            <a:t>ing on each box will take you to its respective worksheet in the tool. Use this table of contents to keep track of your progress as you move through the tool. </a:t>
          </a:r>
        </a:p>
        <a:p>
          <a:pPr algn="ctr"/>
          <a:endParaRPr lang="en-US" sz="1100" baseline="0"/>
        </a:p>
        <a:p>
          <a:pPr algn="ctr"/>
          <a:r>
            <a:rPr lang="en-US" sz="1100" baseline="0"/>
            <a:t>The background color of completed sheets are filled in below. Incomplete sheets have a white background, while sheets that require no action by the user are grey. </a:t>
          </a:r>
          <a:endParaRPr lang="en-US" sz="1100"/>
        </a:p>
      </xdr:txBody>
    </xdr:sp>
    <xdr:clientData/>
  </xdr:twoCellAnchor>
  <xdr:twoCellAnchor>
    <xdr:from>
      <xdr:col>6</xdr:col>
      <xdr:colOff>525234</xdr:colOff>
      <xdr:row>6</xdr:row>
      <xdr:rowOff>52388</xdr:rowOff>
    </xdr:from>
    <xdr:to>
      <xdr:col>9</xdr:col>
      <xdr:colOff>334734</xdr:colOff>
      <xdr:row>9</xdr:row>
      <xdr:rowOff>42863</xdr:rowOff>
    </xdr:to>
    <xdr:sp macro="" textlink="">
      <xdr:nvSpPr>
        <xdr:cNvPr id="28" name="toc_StatSummary">
          <a:hlinkClick xmlns:r="http://schemas.openxmlformats.org/officeDocument/2006/relationships" r:id="rId19"/>
          <a:extLst>
            <a:ext uri="{FF2B5EF4-FFF2-40B4-BE49-F238E27FC236}">
              <a16:creationId xmlns:a16="http://schemas.microsoft.com/office/drawing/2014/main" id="{00000000-0008-0000-0200-00001C000000}"/>
            </a:ext>
          </a:extLst>
        </xdr:cNvPr>
        <xdr:cNvSpPr/>
      </xdr:nvSpPr>
      <xdr:spPr>
        <a:xfrm>
          <a:off x="4068534" y="1490663"/>
          <a:ext cx="1581150" cy="561975"/>
        </a:xfrm>
        <a:prstGeom prst="roundRect">
          <a:avLst/>
        </a:prstGeom>
        <a:solidFill>
          <a:schemeClr val="bg1">
            <a:lumMod val="85000"/>
          </a:schemeClr>
        </a:solidFill>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baseline="0">
              <a:ln>
                <a:noFill/>
              </a:ln>
              <a:solidFill>
                <a:schemeClr val="tx1"/>
              </a:solidFill>
              <a:effectLst/>
            </a:rPr>
            <a:t>Introduction</a:t>
          </a:r>
        </a:p>
      </xdr:txBody>
    </xdr:sp>
    <xdr:clientData/>
  </xdr:twoCellAnchor>
  <xdr:twoCellAnchor>
    <xdr:from>
      <xdr:col>9</xdr:col>
      <xdr:colOff>446271</xdr:colOff>
      <xdr:row>6</xdr:row>
      <xdr:rowOff>52388</xdr:rowOff>
    </xdr:from>
    <xdr:to>
      <xdr:col>12</xdr:col>
      <xdr:colOff>255771</xdr:colOff>
      <xdr:row>9</xdr:row>
      <xdr:rowOff>42863</xdr:rowOff>
    </xdr:to>
    <xdr:sp macro="" textlink="">
      <xdr:nvSpPr>
        <xdr:cNvPr id="29" name="toc_StatSummary">
          <a:hlinkClick xmlns:r="http://schemas.openxmlformats.org/officeDocument/2006/relationships" r:id="rId20"/>
          <a:extLst>
            <a:ext uri="{FF2B5EF4-FFF2-40B4-BE49-F238E27FC236}">
              <a16:creationId xmlns:a16="http://schemas.microsoft.com/office/drawing/2014/main" id="{00000000-0008-0000-0200-00001D000000}"/>
            </a:ext>
          </a:extLst>
        </xdr:cNvPr>
        <xdr:cNvSpPr/>
      </xdr:nvSpPr>
      <xdr:spPr>
        <a:xfrm>
          <a:off x="5761221" y="1490663"/>
          <a:ext cx="1581150" cy="561975"/>
        </a:xfrm>
        <a:prstGeom prst="roundRect">
          <a:avLst/>
        </a:prstGeom>
        <a:solidFill>
          <a:schemeClr val="bg1">
            <a:lumMod val="85000"/>
          </a:schemeClr>
        </a:solidFill>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Read Me</a:t>
          </a:r>
          <a:endParaRPr lang="en-US" sz="1100" b="0" cap="none" spc="0" baseline="0">
            <a:ln>
              <a:noFill/>
            </a:ln>
            <a:solidFill>
              <a:schemeClr val="tx1"/>
            </a:solidFill>
            <a:effectLst/>
          </a:endParaRPr>
        </a:p>
      </xdr:txBody>
    </xdr:sp>
    <xdr:clientData/>
  </xdr:twoCellAnchor>
  <xdr:twoCellAnchor>
    <xdr:from>
      <xdr:col>12</xdr:col>
      <xdr:colOff>372834</xdr:colOff>
      <xdr:row>6</xdr:row>
      <xdr:rowOff>52388</xdr:rowOff>
    </xdr:from>
    <xdr:to>
      <xdr:col>15</xdr:col>
      <xdr:colOff>182334</xdr:colOff>
      <xdr:row>9</xdr:row>
      <xdr:rowOff>42863</xdr:rowOff>
    </xdr:to>
    <xdr:sp macro="" textlink="">
      <xdr:nvSpPr>
        <xdr:cNvPr id="30" name="toc_StatSummary">
          <a:hlinkClick xmlns:r="http://schemas.openxmlformats.org/officeDocument/2006/relationships" r:id="rId21"/>
          <a:extLst>
            <a:ext uri="{FF2B5EF4-FFF2-40B4-BE49-F238E27FC236}">
              <a16:creationId xmlns:a16="http://schemas.microsoft.com/office/drawing/2014/main" id="{00000000-0008-0000-0200-00001E000000}"/>
            </a:ext>
          </a:extLst>
        </xdr:cNvPr>
        <xdr:cNvSpPr/>
      </xdr:nvSpPr>
      <xdr:spPr>
        <a:xfrm>
          <a:off x="7394120" y="1494745"/>
          <a:ext cx="1564821" cy="561975"/>
        </a:xfrm>
        <a:prstGeom prst="roundRect">
          <a:avLst/>
        </a:prstGeom>
        <a:solidFill>
          <a:schemeClr val="bg1">
            <a:lumMod val="85000"/>
          </a:schemeClr>
        </a:solidFill>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Definitions</a:t>
          </a:r>
          <a:endParaRPr lang="en-US" sz="1100" b="0" cap="none" spc="0" baseline="0">
            <a:ln>
              <a:noFill/>
            </a:ln>
            <a:solidFill>
              <a:schemeClr val="tx1"/>
            </a:solidFill>
            <a:effectLst/>
          </a:endParaRPr>
        </a:p>
      </xdr:txBody>
    </xdr:sp>
    <xdr:clientData/>
  </xdr:twoCellAnchor>
  <xdr:oneCellAnchor>
    <xdr:from>
      <xdr:col>5</xdr:col>
      <xdr:colOff>574216</xdr:colOff>
      <xdr:row>14</xdr:row>
      <xdr:rowOff>146050</xdr:rowOff>
    </xdr:from>
    <xdr:ext cx="761747" cy="307777"/>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526966" y="3108325"/>
          <a:ext cx="761747" cy="307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6"/>
              </a:solidFill>
            </a:rPr>
            <a:t>Scope 1</a:t>
          </a:r>
        </a:p>
      </xdr:txBody>
    </xdr:sp>
    <xdr:clientData/>
  </xdr:oneCellAnchor>
  <xdr:oneCellAnchor>
    <xdr:from>
      <xdr:col>13</xdr:col>
      <xdr:colOff>252152</xdr:colOff>
      <xdr:row>14</xdr:row>
      <xdr:rowOff>146050</xdr:rowOff>
    </xdr:from>
    <xdr:ext cx="761747" cy="307777"/>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7929302" y="3108325"/>
          <a:ext cx="761747" cy="307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4"/>
              </a:solidFill>
            </a:rPr>
            <a:t>Scope 2</a:t>
          </a:r>
        </a:p>
      </xdr:txBody>
    </xdr:sp>
    <xdr:clientData/>
  </xdr:oneCellAnchor>
  <xdr:oneCellAnchor>
    <xdr:from>
      <xdr:col>17</xdr:col>
      <xdr:colOff>538838</xdr:colOff>
      <xdr:row>14</xdr:row>
      <xdr:rowOff>146050</xdr:rowOff>
    </xdr:from>
    <xdr:ext cx="761747" cy="307777"/>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10578188" y="3108325"/>
          <a:ext cx="761747" cy="3077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chemeClr val="accent2"/>
              </a:solidFill>
            </a:rPr>
            <a:t>Scope 3</a:t>
          </a:r>
        </a:p>
      </xdr:txBody>
    </xdr:sp>
    <xdr:clientData/>
  </xdr:oneCellAnchor>
  <xdr:twoCellAnchor>
    <xdr:from>
      <xdr:col>18</xdr:col>
      <xdr:colOff>387121</xdr:colOff>
      <xdr:row>17</xdr:row>
      <xdr:rowOff>116682</xdr:rowOff>
    </xdr:from>
    <xdr:to>
      <xdr:col>21</xdr:col>
      <xdr:colOff>261391</xdr:colOff>
      <xdr:row>20</xdr:row>
      <xdr:rowOff>107157</xdr:rowOff>
    </xdr:to>
    <xdr:sp macro="" textlink="">
      <xdr:nvSpPr>
        <xdr:cNvPr id="43" name="toc_AgLandManagement">
          <a:hlinkClick xmlns:r="http://schemas.openxmlformats.org/officeDocument/2006/relationships" r:id="rId22"/>
          <a:extLst>
            <a:ext uri="{FF2B5EF4-FFF2-40B4-BE49-F238E27FC236}">
              <a16:creationId xmlns:a16="http://schemas.microsoft.com/office/drawing/2014/main" id="{00000000-0008-0000-0200-00002B000000}"/>
            </a:ext>
          </a:extLst>
        </xdr:cNvPr>
        <xdr:cNvSpPr/>
      </xdr:nvSpPr>
      <xdr:spPr>
        <a:xfrm>
          <a:off x="11017021" y="3650457"/>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2"/>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Agriculture &amp;</a:t>
          </a:r>
          <a:r>
            <a:rPr lang="en-US" sz="1100" b="1" cap="none" spc="0" baseline="0">
              <a:ln>
                <a:noFill/>
              </a:ln>
              <a:solidFill>
                <a:schemeClr val="tx1"/>
              </a:solidFill>
              <a:effectLst/>
            </a:rPr>
            <a:t> Land Management</a:t>
          </a:r>
          <a:endParaRPr lang="en-US" sz="1100" b="0" cap="none" spc="0">
            <a:ln>
              <a:noFill/>
            </a:ln>
            <a:solidFill>
              <a:schemeClr val="tx1"/>
            </a:solidFill>
            <a:effectLst/>
          </a:endParaRPr>
        </a:p>
      </xdr:txBody>
    </xdr:sp>
    <xdr:clientData/>
  </xdr:twoCellAnchor>
  <xdr:twoCellAnchor>
    <xdr:from>
      <xdr:col>15</xdr:col>
      <xdr:colOff>362912</xdr:colOff>
      <xdr:row>17</xdr:row>
      <xdr:rowOff>111919</xdr:rowOff>
    </xdr:from>
    <xdr:to>
      <xdr:col>18</xdr:col>
      <xdr:colOff>237182</xdr:colOff>
      <xdr:row>20</xdr:row>
      <xdr:rowOff>102394</xdr:rowOff>
    </xdr:to>
    <xdr:sp macro="" textlink="">
      <xdr:nvSpPr>
        <xdr:cNvPr id="23" name="toc_Water">
          <a:hlinkClick xmlns:r="http://schemas.openxmlformats.org/officeDocument/2006/relationships" r:id="rId23"/>
          <a:extLst>
            <a:ext uri="{FF2B5EF4-FFF2-40B4-BE49-F238E27FC236}">
              <a16:creationId xmlns:a16="http://schemas.microsoft.com/office/drawing/2014/main" id="{00000000-0008-0000-0200-000017000000}"/>
            </a:ext>
          </a:extLst>
        </xdr:cNvPr>
        <xdr:cNvSpPr/>
      </xdr:nvSpPr>
      <xdr:spPr>
        <a:xfrm>
          <a:off x="9221162" y="3645694"/>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2"/>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Water Use</a:t>
          </a:r>
          <a:r>
            <a:rPr lang="en-US" sz="1100" b="1" cap="none" spc="0" baseline="0">
              <a:ln>
                <a:noFill/>
              </a:ln>
              <a:solidFill>
                <a:schemeClr val="tx1"/>
              </a:solidFill>
              <a:effectLst/>
            </a:rPr>
            <a:t> </a:t>
          </a:r>
        </a:p>
      </xdr:txBody>
    </xdr:sp>
    <xdr:clientData/>
  </xdr:twoCellAnchor>
  <xdr:twoCellAnchor>
    <xdr:from>
      <xdr:col>18</xdr:col>
      <xdr:colOff>387121</xdr:colOff>
      <xdr:row>21</xdr:row>
      <xdr:rowOff>45244</xdr:rowOff>
    </xdr:from>
    <xdr:to>
      <xdr:col>21</xdr:col>
      <xdr:colOff>261391</xdr:colOff>
      <xdr:row>24</xdr:row>
      <xdr:rowOff>35719</xdr:rowOff>
    </xdr:to>
    <xdr:sp macro="" textlink="">
      <xdr:nvSpPr>
        <xdr:cNvPr id="44" name="toc_UrbanForestry">
          <a:hlinkClick xmlns:r="http://schemas.openxmlformats.org/officeDocument/2006/relationships" r:id="rId24"/>
          <a:extLst>
            <a:ext uri="{FF2B5EF4-FFF2-40B4-BE49-F238E27FC236}">
              <a16:creationId xmlns:a16="http://schemas.microsoft.com/office/drawing/2014/main" id="{00000000-0008-0000-0200-00002C000000}"/>
            </a:ext>
          </a:extLst>
        </xdr:cNvPr>
        <xdr:cNvSpPr/>
      </xdr:nvSpPr>
      <xdr:spPr>
        <a:xfrm>
          <a:off x="11017021" y="4341019"/>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2"/>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Urban Forestry</a:t>
          </a:r>
        </a:p>
      </xdr:txBody>
    </xdr:sp>
    <xdr:clientData/>
  </xdr:twoCellAnchor>
  <xdr:twoCellAnchor>
    <xdr:from>
      <xdr:col>15</xdr:col>
      <xdr:colOff>411076</xdr:colOff>
      <xdr:row>21</xdr:row>
      <xdr:rowOff>71438</xdr:rowOff>
    </xdr:from>
    <xdr:to>
      <xdr:col>18</xdr:col>
      <xdr:colOff>285346</xdr:colOff>
      <xdr:row>24</xdr:row>
      <xdr:rowOff>61913</xdr:rowOff>
    </xdr:to>
    <xdr:sp macro="" textlink="">
      <xdr:nvSpPr>
        <xdr:cNvPr id="35" name="toc_WasteProd">
          <a:hlinkClick xmlns:r="http://schemas.openxmlformats.org/officeDocument/2006/relationships" r:id="rId25"/>
          <a:extLst>
            <a:ext uri="{FF2B5EF4-FFF2-40B4-BE49-F238E27FC236}">
              <a16:creationId xmlns:a16="http://schemas.microsoft.com/office/drawing/2014/main" id="{00000000-0008-0000-0200-000023000000}"/>
            </a:ext>
          </a:extLst>
        </xdr:cNvPr>
        <xdr:cNvSpPr/>
      </xdr:nvSpPr>
      <xdr:spPr>
        <a:xfrm>
          <a:off x="9269326" y="4367213"/>
          <a:ext cx="1645920" cy="561975"/>
        </a:xfrm>
        <a:prstGeom prst="roundRect">
          <a:avLst/>
        </a:prstGeom>
        <a:solidFill>
          <a:srgbClr xmlns:mc="http://schemas.openxmlformats.org/markup-compatibility/2006" xmlns:a14="http://schemas.microsoft.com/office/drawing/2010/main" val="FFFFFF" mc:Ignorable="a14" a14:legacySpreadsheetColorIndex="9"/>
        </a:solidFill>
        <a:ln>
          <a:solidFill>
            <a:schemeClr val="accent2"/>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1" cap="none" spc="0">
              <a:ln>
                <a:noFill/>
              </a:ln>
              <a:solidFill>
                <a:schemeClr val="tx1"/>
              </a:solidFill>
              <a:effectLst/>
            </a:rPr>
            <a:t>Waste Production</a:t>
          </a:r>
        </a:p>
      </xdr:txBody>
    </xdr:sp>
    <xdr:clientData/>
  </xdr:twoCellAnchor>
  <xdr:twoCellAnchor>
    <xdr:from>
      <xdr:col>12</xdr:col>
      <xdr:colOff>400232</xdr:colOff>
      <xdr:row>24</xdr:row>
      <xdr:rowOff>95250</xdr:rowOff>
    </xdr:from>
    <xdr:to>
      <xdr:col>15</xdr:col>
      <xdr:colOff>276224</xdr:colOff>
      <xdr:row>28</xdr:row>
      <xdr:rowOff>75748</xdr:rowOff>
    </xdr:to>
    <xdr:sp macro="" textlink="">
      <xdr:nvSpPr>
        <xdr:cNvPr id="36" name="toc_ElectricityCalcs">
          <a:hlinkClick xmlns:r="http://schemas.openxmlformats.org/officeDocument/2006/relationships" r:id="rId26"/>
          <a:extLst>
            <a:ext uri="{FF2B5EF4-FFF2-40B4-BE49-F238E27FC236}">
              <a16:creationId xmlns:a16="http://schemas.microsoft.com/office/drawing/2014/main" id="{00000000-0008-0000-0200-000024000000}"/>
            </a:ext>
          </a:extLst>
        </xdr:cNvPr>
        <xdr:cNvSpPr/>
      </xdr:nvSpPr>
      <xdr:spPr>
        <a:xfrm>
          <a:off x="7829732" y="4743450"/>
          <a:ext cx="1733367" cy="704398"/>
        </a:xfrm>
        <a:prstGeom prst="roundRect">
          <a:avLst/>
        </a:prstGeom>
        <a:solidFill>
          <a:schemeClr val="bg1">
            <a:lumMod val="85000"/>
          </a:schemeClr>
        </a:solidFill>
        <a:ln>
          <a:solidFill>
            <a:schemeClr val="accent4"/>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sz="1100" b="0" cap="none" spc="0">
              <a:ln>
                <a:noFill/>
              </a:ln>
              <a:solidFill>
                <a:schemeClr val="tx1"/>
              </a:solidFill>
              <a:effectLst/>
            </a:rPr>
            <a:t>Electricity Location - based </a:t>
          </a:r>
          <a:endParaRPr lang="en-US" sz="1100" b="0" cap="none" spc="0" baseline="0">
            <a:ln>
              <a:noFill/>
            </a:ln>
            <a:solidFill>
              <a:schemeClr val="tx1"/>
            </a:solidFill>
            <a:effectLst/>
          </a:endParaRPr>
        </a:p>
        <a:p>
          <a:pPr algn="ctr"/>
          <a:r>
            <a:rPr lang="en-US" sz="1100" b="0" cap="none" spc="0" baseline="0">
              <a:ln>
                <a:noFill/>
              </a:ln>
              <a:solidFill>
                <a:schemeClr val="tx1"/>
              </a:solidFill>
              <a:effectLst/>
            </a:rPr>
            <a:t>Calculation &amp; Summary</a:t>
          </a:r>
        </a:p>
      </xdr:txBody>
    </xdr:sp>
    <xdr:clientData/>
  </xdr:twoCellAnchor>
  <xdr:twoCellAnchor>
    <xdr:from>
      <xdr:col>0</xdr:col>
      <xdr:colOff>342900</xdr:colOff>
      <xdr:row>40</xdr:row>
      <xdr:rowOff>184150</xdr:rowOff>
    </xdr:from>
    <xdr:to>
      <xdr:col>3</xdr:col>
      <xdr:colOff>450529</xdr:colOff>
      <xdr:row>42</xdr:row>
      <xdr:rowOff>10432</xdr:rowOff>
    </xdr:to>
    <xdr:grpSp>
      <xdr:nvGrpSpPr>
        <xdr:cNvPr id="37" name="Group 36">
          <a:extLst>
            <a:ext uri="{FF2B5EF4-FFF2-40B4-BE49-F238E27FC236}">
              <a16:creationId xmlns:a16="http://schemas.microsoft.com/office/drawing/2014/main" id="{00000000-0008-0000-0200-000025000000}"/>
            </a:ext>
          </a:extLst>
        </xdr:cNvPr>
        <xdr:cNvGrpSpPr/>
      </xdr:nvGrpSpPr>
      <xdr:grpSpPr>
        <a:xfrm>
          <a:off x="342900" y="7848600"/>
          <a:ext cx="1955479" cy="842282"/>
          <a:chOff x="482600" y="12822918"/>
          <a:chExt cx="1955479" cy="842282"/>
        </a:xfrm>
      </xdr:grpSpPr>
      <xdr:pic>
        <xdr:nvPicPr>
          <xdr:cNvPr id="39" name="Picture 38">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28"/>
          <a:stretch>
            <a:fillRect/>
          </a:stretch>
        </xdr:blipFill>
        <xdr:spPr>
          <a:xfrm>
            <a:off x="482600" y="12822918"/>
            <a:ext cx="1071996" cy="842282"/>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276225</xdr:colOff>
      <xdr:row>0</xdr:row>
      <xdr:rowOff>50006</xdr:rowOff>
    </xdr:from>
    <xdr:to>
      <xdr:col>8</xdr:col>
      <xdr:colOff>552450</xdr:colOff>
      <xdr:row>0</xdr:row>
      <xdr:rowOff>431006</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9544050" y="50006"/>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0</xdr:col>
      <xdr:colOff>292100</xdr:colOff>
      <xdr:row>50</xdr:row>
      <xdr:rowOff>177800</xdr:rowOff>
    </xdr:from>
    <xdr:to>
      <xdr:col>2</xdr:col>
      <xdr:colOff>291779</xdr:colOff>
      <xdr:row>52</xdr:row>
      <xdr:rowOff>4082</xdr:rowOff>
    </xdr:to>
    <xdr:grpSp>
      <xdr:nvGrpSpPr>
        <xdr:cNvPr id="6" name="Group 5">
          <a:extLst>
            <a:ext uri="{FF2B5EF4-FFF2-40B4-BE49-F238E27FC236}">
              <a16:creationId xmlns:a16="http://schemas.microsoft.com/office/drawing/2014/main" id="{00000000-0008-0000-0300-000006000000}"/>
            </a:ext>
          </a:extLst>
        </xdr:cNvPr>
        <xdr:cNvGrpSpPr/>
      </xdr:nvGrpSpPr>
      <xdr:grpSpPr>
        <a:xfrm>
          <a:off x="292100" y="16910050"/>
          <a:ext cx="1955479" cy="842282"/>
          <a:chOff x="482600" y="12822918"/>
          <a:chExt cx="1955479" cy="842282"/>
        </a:xfrm>
      </xdr:grpSpPr>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994182</xdr:colOff>
      <xdr:row>0</xdr:row>
      <xdr:rowOff>58007</xdr:rowOff>
    </xdr:from>
    <xdr:to>
      <xdr:col>13</xdr:col>
      <xdr:colOff>211415</xdr:colOff>
      <xdr:row>0</xdr:row>
      <xdr:rowOff>438245</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a:xfrm>
          <a:off x="10482547" y="58007"/>
          <a:ext cx="2681240" cy="38023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7</xdr:col>
      <xdr:colOff>285750</xdr:colOff>
      <xdr:row>0</xdr:row>
      <xdr:rowOff>59531</xdr:rowOff>
    </xdr:from>
    <xdr:to>
      <xdr:col>8</xdr:col>
      <xdr:colOff>638265</xdr:colOff>
      <xdr:row>0</xdr:row>
      <xdr:rowOff>436721</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6550" y="59531"/>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8</xdr:col>
      <xdr:colOff>219076</xdr:colOff>
      <xdr:row>1</xdr:row>
      <xdr:rowOff>47625</xdr:rowOff>
    </xdr:from>
    <xdr:to>
      <xdr:col>13</xdr:col>
      <xdr:colOff>540016</xdr:colOff>
      <xdr:row>38</xdr:row>
      <xdr:rowOff>423333</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9707441" y="532016"/>
          <a:ext cx="3784947" cy="3892631"/>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u="sng">
              <a:solidFill>
                <a:schemeClr val="bg1"/>
              </a:solidFill>
            </a:rPr>
            <a:t>Helpful</a:t>
          </a:r>
          <a:r>
            <a:rPr lang="en-US" sz="1100" b="1" u="sng" baseline="0">
              <a:solidFill>
                <a:schemeClr val="bg1"/>
              </a:solidFill>
            </a:rPr>
            <a:t> Hints</a:t>
          </a:r>
        </a:p>
        <a:p>
          <a:pPr algn="ctr"/>
          <a:endParaRPr lang="en-US" sz="600" b="0" u="sng" baseline="0">
            <a:solidFill>
              <a:schemeClr val="bg1"/>
            </a:solidFill>
          </a:endParaRPr>
        </a:p>
        <a:p>
          <a:r>
            <a:rPr lang="en-US" sz="1100" b="1">
              <a:solidFill>
                <a:schemeClr val="bg1"/>
              </a:solidFill>
            </a:rPr>
            <a:t>Setting up a </a:t>
          </a:r>
          <a:r>
            <a:rPr lang="en-US" sz="1100" b="1">
              <a:solidFill>
                <a:schemeClr val="bg1"/>
              </a:solidFill>
              <a:effectLst/>
              <a:latin typeface="+mn-lt"/>
              <a:ea typeface="+mn-ea"/>
              <a:cs typeface="+mn-cs"/>
            </a:rPr>
            <a:t>base year</a:t>
          </a:r>
          <a:r>
            <a:rPr lang="en-US" sz="1100" b="1">
              <a:solidFill>
                <a:schemeClr val="bg1"/>
              </a:solidFill>
            </a:rPr>
            <a:t>:</a:t>
          </a:r>
        </a:p>
        <a:p>
          <a:endParaRPr lang="en-US" sz="600">
            <a:solidFill>
              <a:schemeClr val="bg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bg1"/>
              </a:solidFill>
              <a:latin typeface="+mn-lt"/>
              <a:ea typeface="+mn-ea"/>
              <a:cs typeface="+mn-cs"/>
            </a:rPr>
            <a:t>The GHG emissions inventory for your tribe should encompass all GHG emissions occurring during a selected calendar year. As the </a:t>
          </a:r>
          <a:r>
            <a:rPr lang="en-US" sz="1100" i="1">
              <a:solidFill>
                <a:schemeClr val="bg1"/>
              </a:solidFill>
              <a:latin typeface="+mn-lt"/>
              <a:ea typeface="+mn-ea"/>
              <a:cs typeface="+mn-cs"/>
            </a:rPr>
            <a:t>Global Protocol for Community Scale GHG emissions </a:t>
          </a:r>
          <a:r>
            <a:rPr lang="en-US" sz="1100">
              <a:solidFill>
                <a:schemeClr val="bg1"/>
              </a:solidFill>
              <a:latin typeface="+mn-lt"/>
              <a:ea typeface="+mn-ea"/>
              <a:cs typeface="+mn-cs"/>
            </a:rPr>
            <a:t>indicates, reporting on a calendar year basis is considered standard under existing international, national, state, and voluntary reporting programs. As your tribe monitors and tracks progress over time in reducing GHG emissions, it is necessary that you establish</a:t>
          </a:r>
          <a:r>
            <a:rPr lang="en-US" sz="1100" baseline="0">
              <a:solidFill>
                <a:schemeClr val="bg1"/>
              </a:solidFill>
              <a:latin typeface="+mn-lt"/>
              <a:ea typeface="+mn-ea"/>
              <a:cs typeface="+mn-cs"/>
            </a:rPr>
            <a:t> </a:t>
          </a:r>
          <a:r>
            <a:rPr lang="en-US" sz="1100">
              <a:solidFill>
                <a:schemeClr val="bg1"/>
              </a:solidFill>
              <a:latin typeface="+mn-lt"/>
              <a:ea typeface="+mn-ea"/>
              <a:cs typeface="+mn-cs"/>
            </a:rPr>
            <a:t>a performance base year with which future years may be compared. </a:t>
          </a:r>
          <a:r>
            <a:rPr lang="en-US" sz="1100">
              <a:solidFill>
                <a:schemeClr val="bg1"/>
              </a:solidFill>
              <a:effectLst/>
              <a:latin typeface="+mn-lt"/>
              <a:ea typeface="+mn-ea"/>
              <a:cs typeface="+mn-cs"/>
            </a:rPr>
            <a:t>The tool can be used to develop a base year of emissions, as well as used to track emissions over time if different versions of the Excel file are saved. </a:t>
          </a:r>
          <a:endParaRPr lang="en-US">
            <a:solidFill>
              <a:schemeClr val="bg1"/>
            </a:solidFill>
            <a:effectLst/>
          </a:endParaRPr>
        </a:p>
        <a:p>
          <a:endParaRPr lang="en-US" sz="1100">
            <a:solidFill>
              <a:schemeClr val="bg1"/>
            </a:solidFill>
            <a:latin typeface="+mn-lt"/>
            <a:ea typeface="+mn-ea"/>
            <a:cs typeface="+mn-cs"/>
          </a:endParaRPr>
        </a:p>
        <a:p>
          <a:r>
            <a:rPr lang="en-US" sz="600">
              <a:solidFill>
                <a:schemeClr val="bg1"/>
              </a:solidFill>
              <a:latin typeface="+mn-lt"/>
              <a:ea typeface="+mn-ea"/>
              <a:cs typeface="+mn-cs"/>
            </a:rPr>
            <a:t> </a:t>
          </a:r>
          <a:r>
            <a:rPr lang="en-US" sz="1100">
              <a:solidFill>
                <a:schemeClr val="bg1"/>
              </a:solidFill>
              <a:latin typeface="+mn-lt"/>
              <a:ea typeface="+mn-ea"/>
              <a:cs typeface="+mn-cs"/>
            </a:rPr>
            <a:t>The selection of the base year should take into account several factors: data availability, anomalies present in the baseline caused by external factors such as weather or economic conditions, emission reduction efforts that the city has undertaken in recent years, and the context in larger state, national, or voluntary efforts. </a:t>
          </a:r>
        </a:p>
        <a:p>
          <a:endParaRPr lang="en-US" sz="1100" b="1" i="0" u="sng" baseline="0">
            <a:solidFill>
              <a:schemeClr val="accent1">
                <a:lumMod val="75000"/>
              </a:schemeClr>
            </a:solidFill>
            <a:effectLst/>
            <a:latin typeface="+mn-lt"/>
            <a:ea typeface="+mn-ea"/>
            <a:cs typeface="+mn-cs"/>
          </a:endParaRPr>
        </a:p>
        <a:p>
          <a:endParaRPr lang="en-US" sz="1100" b="1" i="0" u="sng" baseline="0">
            <a:solidFill>
              <a:schemeClr val="accent1">
                <a:lumMod val="75000"/>
              </a:schemeClr>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xdr:col>
          <xdr:colOff>0</xdr:colOff>
          <xdr:row>84</xdr:row>
          <xdr:rowOff>114300</xdr:rowOff>
        </xdr:from>
        <xdr:to>
          <xdr:col>3</xdr:col>
          <xdr:colOff>1943100</xdr:colOff>
          <xdr:row>85</xdr:row>
          <xdr:rowOff>184150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Set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69850</xdr:colOff>
          <xdr:row>4</xdr:row>
          <xdr:rowOff>146050</xdr:rowOff>
        </xdr:from>
        <xdr:to>
          <xdr:col>4</xdr:col>
          <xdr:colOff>450850</xdr:colOff>
          <xdr:row>6</xdr:row>
          <xdr:rowOff>50800</xdr:rowOff>
        </xdr:to>
        <xdr:sp macro="" textlink="">
          <xdr:nvSpPr>
            <xdr:cNvPr id="22553" name="Spinner 25" hidden="1">
              <a:extLst>
                <a:ext uri="{63B3BB69-23CF-44E3-9099-C40C66FF867C}">
                  <a14:compatExt spid="_x0000_s22553"/>
                </a:ext>
                <a:ext uri="{FF2B5EF4-FFF2-40B4-BE49-F238E27FC236}">
                  <a16:creationId xmlns:a16="http://schemas.microsoft.com/office/drawing/2014/main" id="{00000000-0008-0000-0400-0000195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1098550</xdr:colOff>
          <xdr:row>0</xdr:row>
          <xdr:rowOff>107950</xdr:rowOff>
        </xdr:from>
        <xdr:to>
          <xdr:col>13</xdr:col>
          <xdr:colOff>336550</xdr:colOff>
          <xdr:row>0</xdr:row>
          <xdr:rowOff>374650</xdr:rowOff>
        </xdr:to>
        <xdr:sp macro="" textlink="">
          <xdr:nvSpPr>
            <xdr:cNvPr id="22556" name="ck_comp_control" hidden="1">
              <a:extLst>
                <a:ext uri="{63B3BB69-23CF-44E3-9099-C40C66FF867C}">
                  <a14:compatExt spid="_x0000_s22556"/>
                </a:ext>
                <a:ext uri="{FF2B5EF4-FFF2-40B4-BE49-F238E27FC236}">
                  <a16:creationId xmlns:a16="http://schemas.microsoft.com/office/drawing/2014/main" id="{00000000-0008-0000-04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45</xdr:row>
          <xdr:rowOff>31750</xdr:rowOff>
        </xdr:from>
        <xdr:to>
          <xdr:col>2</xdr:col>
          <xdr:colOff>546100</xdr:colOff>
          <xdr:row>46</xdr:row>
          <xdr:rowOff>0</xdr:rowOff>
        </xdr:to>
        <xdr:sp macro="" textlink="">
          <xdr:nvSpPr>
            <xdr:cNvPr id="22561" name="CheckBox12" hidden="1">
              <a:extLst>
                <a:ext uri="{63B3BB69-23CF-44E3-9099-C40C66FF867C}">
                  <a14:compatExt spid="_x0000_s22561"/>
                </a:ext>
                <a:ext uri="{FF2B5EF4-FFF2-40B4-BE49-F238E27FC236}">
                  <a16:creationId xmlns:a16="http://schemas.microsoft.com/office/drawing/2014/main" id="{00000000-0008-0000-0400-00002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46</xdr:row>
          <xdr:rowOff>31750</xdr:rowOff>
        </xdr:from>
        <xdr:to>
          <xdr:col>2</xdr:col>
          <xdr:colOff>546100</xdr:colOff>
          <xdr:row>47</xdr:row>
          <xdr:rowOff>0</xdr:rowOff>
        </xdr:to>
        <xdr:sp macro="" textlink="">
          <xdr:nvSpPr>
            <xdr:cNvPr id="22562" name="CheckBox13" hidden="1">
              <a:extLst>
                <a:ext uri="{63B3BB69-23CF-44E3-9099-C40C66FF867C}">
                  <a14:compatExt spid="_x0000_s22562"/>
                </a:ext>
                <a:ext uri="{FF2B5EF4-FFF2-40B4-BE49-F238E27FC236}">
                  <a16:creationId xmlns:a16="http://schemas.microsoft.com/office/drawing/2014/main" id="{00000000-0008-0000-04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47</xdr:row>
          <xdr:rowOff>31750</xdr:rowOff>
        </xdr:from>
        <xdr:to>
          <xdr:col>2</xdr:col>
          <xdr:colOff>546100</xdr:colOff>
          <xdr:row>48</xdr:row>
          <xdr:rowOff>0</xdr:rowOff>
        </xdr:to>
        <xdr:sp macro="" textlink="">
          <xdr:nvSpPr>
            <xdr:cNvPr id="22563" name="CheckBox14" hidden="1">
              <a:extLst>
                <a:ext uri="{63B3BB69-23CF-44E3-9099-C40C66FF867C}">
                  <a14:compatExt spid="_x0000_s22563"/>
                </a:ext>
                <a:ext uri="{FF2B5EF4-FFF2-40B4-BE49-F238E27FC236}">
                  <a16:creationId xmlns:a16="http://schemas.microsoft.com/office/drawing/2014/main" id="{00000000-0008-0000-04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48</xdr:row>
          <xdr:rowOff>31750</xdr:rowOff>
        </xdr:from>
        <xdr:to>
          <xdr:col>2</xdr:col>
          <xdr:colOff>546100</xdr:colOff>
          <xdr:row>49</xdr:row>
          <xdr:rowOff>0</xdr:rowOff>
        </xdr:to>
        <xdr:sp macro="" textlink="">
          <xdr:nvSpPr>
            <xdr:cNvPr id="22564" name="CheckBox15" hidden="1">
              <a:extLst>
                <a:ext uri="{63B3BB69-23CF-44E3-9099-C40C66FF867C}">
                  <a14:compatExt spid="_x0000_s22564"/>
                </a:ext>
                <a:ext uri="{FF2B5EF4-FFF2-40B4-BE49-F238E27FC236}">
                  <a16:creationId xmlns:a16="http://schemas.microsoft.com/office/drawing/2014/main" id="{00000000-0008-0000-04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49</xdr:row>
          <xdr:rowOff>31750</xdr:rowOff>
        </xdr:from>
        <xdr:to>
          <xdr:col>2</xdr:col>
          <xdr:colOff>546100</xdr:colOff>
          <xdr:row>50</xdr:row>
          <xdr:rowOff>0</xdr:rowOff>
        </xdr:to>
        <xdr:sp macro="" textlink="">
          <xdr:nvSpPr>
            <xdr:cNvPr id="22565" name="CheckBox16" hidden="1">
              <a:extLst>
                <a:ext uri="{63B3BB69-23CF-44E3-9099-C40C66FF867C}">
                  <a14:compatExt spid="_x0000_s22565"/>
                </a:ext>
                <a:ext uri="{FF2B5EF4-FFF2-40B4-BE49-F238E27FC236}">
                  <a16:creationId xmlns:a16="http://schemas.microsoft.com/office/drawing/2014/main" id="{00000000-0008-0000-04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340178</xdr:colOff>
      <xdr:row>87</xdr:row>
      <xdr:rowOff>13608</xdr:rowOff>
    </xdr:from>
    <xdr:to>
      <xdr:col>13</xdr:col>
      <xdr:colOff>503464</xdr:colOff>
      <xdr:row>89</xdr:row>
      <xdr:rowOff>131536</xdr:rowOff>
    </xdr:to>
    <xdr:sp macro="" textlink="">
      <xdr:nvSpPr>
        <xdr:cNvPr id="17" name="toc_StatEntry">
          <a:hlinkClick xmlns:r="http://schemas.openxmlformats.org/officeDocument/2006/relationships" r:id="rId2"/>
          <a:extLst>
            <a:ext uri="{FF2B5EF4-FFF2-40B4-BE49-F238E27FC236}">
              <a16:creationId xmlns:a16="http://schemas.microsoft.com/office/drawing/2014/main" id="{00000000-0008-0000-0400-000011000000}"/>
            </a:ext>
          </a:extLst>
        </xdr:cNvPr>
        <xdr:cNvSpPr/>
      </xdr:nvSpPr>
      <xdr:spPr>
        <a:xfrm>
          <a:off x="10110107" y="13892894"/>
          <a:ext cx="1333500" cy="539749"/>
        </a:xfrm>
        <a:prstGeom prst="roundRect">
          <a:avLst/>
        </a:prstGeom>
        <a:solidFill>
          <a:srgbClr xmlns:mc="http://schemas.openxmlformats.org/markup-compatibility/2006" xmlns:a14="http://schemas.microsoft.com/office/drawing/2010/main" val="FFFFFF" mc:Ignorable="a14" a14:legacySpreadsheetColorIndex="9"/>
        </a:solidFill>
        <a:ln w="25400" cap="flat" cmpd="sng" algn="ctr">
          <a:solidFill>
            <a:srgbClr val="92D050"/>
          </a:solidFill>
          <a:prstDash val="solid"/>
        </a:ln>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a:ea typeface="+mn-ea"/>
              <a:cs typeface="+mn-cs"/>
            </a:rPr>
            <a:t>Factors</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 </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GWP Entry</a:t>
          </a:r>
        </a:p>
      </xdr:txBody>
    </xdr:sp>
    <xdr:clientData/>
  </xdr:twoCellAnchor>
  <xdr:twoCellAnchor>
    <xdr:from>
      <xdr:col>0</xdr:col>
      <xdr:colOff>335643</xdr:colOff>
      <xdr:row>90</xdr:row>
      <xdr:rowOff>181428</xdr:rowOff>
    </xdr:from>
    <xdr:to>
      <xdr:col>2</xdr:col>
      <xdr:colOff>540336</xdr:colOff>
      <xdr:row>92</xdr:row>
      <xdr:rowOff>7710</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335643" y="14386102"/>
          <a:ext cx="1950943" cy="847804"/>
          <a:chOff x="482600" y="12822918"/>
          <a:chExt cx="1955479" cy="842282"/>
        </a:xfrm>
      </xdr:grpSpPr>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4"/>
          <a:stretch>
            <a:fillRect/>
          </a:stretch>
        </xdr:blipFill>
        <xdr:spPr>
          <a:xfrm>
            <a:off x="482600" y="12822918"/>
            <a:ext cx="1071996" cy="842282"/>
          </a:xfrm>
          <a:prstGeom prst="rect">
            <a:avLst/>
          </a:prstGeom>
        </xdr:spPr>
      </xdr:pic>
    </xdr:grpSp>
    <xdr:clientData/>
  </xdr:twoCellAnchor>
  <xdr:twoCellAnchor editAs="oneCell">
    <xdr:from>
      <xdr:col>2</xdr:col>
      <xdr:colOff>444500</xdr:colOff>
      <xdr:row>50</xdr:row>
      <xdr:rowOff>63500</xdr:rowOff>
    </xdr:from>
    <xdr:to>
      <xdr:col>8</xdr:col>
      <xdr:colOff>63500</xdr:colOff>
      <xdr:row>81</xdr:row>
      <xdr:rowOff>6943</xdr:rowOff>
    </xdr:to>
    <xdr:pic>
      <xdr:nvPicPr>
        <xdr:cNvPr id="3" name="Picture 2">
          <a:hlinkClick xmlns:r="http://schemas.openxmlformats.org/officeDocument/2006/relationships" r:id="rId5"/>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6"/>
        <a:stretch>
          <a:fillRect/>
        </a:stretch>
      </xdr:blipFill>
      <xdr:spPr>
        <a:xfrm>
          <a:off x="2195286" y="6676571"/>
          <a:ext cx="7372350" cy="5574079"/>
        </a:xfrm>
        <a:prstGeom prst="rect">
          <a:avLst/>
        </a:prstGeom>
      </xdr:spPr>
    </xdr:pic>
    <xdr:clientData/>
  </xdr:twoCellAnchor>
  <xdr:oneCellAnchor>
    <xdr:from>
      <xdr:col>8</xdr:col>
      <xdr:colOff>260349</xdr:colOff>
      <xdr:row>42</xdr:row>
      <xdr:rowOff>47625</xdr:rowOff>
    </xdr:from>
    <xdr:ext cx="3606801" cy="1123950"/>
    <xdr:sp macro="" textlink="">
      <xdr:nvSpPr>
        <xdr:cNvPr id="5" name="TextBox 4">
          <a:hlinkClick xmlns:r="http://schemas.openxmlformats.org/officeDocument/2006/relationships" r:id="rId7"/>
          <a:extLst>
            <a:ext uri="{FF2B5EF4-FFF2-40B4-BE49-F238E27FC236}">
              <a16:creationId xmlns:a16="http://schemas.microsoft.com/office/drawing/2014/main" id="{00000000-0008-0000-0400-000005000000}"/>
            </a:ext>
          </a:extLst>
        </xdr:cNvPr>
        <xdr:cNvSpPr txBox="1"/>
      </xdr:nvSpPr>
      <xdr:spPr>
        <a:xfrm>
          <a:off x="9298746" y="5255315"/>
          <a:ext cx="3606801" cy="112395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bg1"/>
              </a:solidFill>
              <a:effectLst/>
              <a:latin typeface="+mn-lt"/>
              <a:ea typeface="+mn-ea"/>
              <a:cs typeface="+mn-cs"/>
            </a:rPr>
            <a:t>Data Download Guidance and Support:</a:t>
          </a:r>
        </a:p>
        <a:p>
          <a:endParaRPr lang="en-US" sz="1100">
            <a:solidFill>
              <a:schemeClr val="bg1"/>
            </a:solidFill>
            <a:effectLst/>
            <a:latin typeface="+mn-lt"/>
            <a:ea typeface="+mn-ea"/>
            <a:cs typeface="+mn-cs"/>
          </a:endParaRPr>
        </a:p>
        <a:p>
          <a:r>
            <a:rPr lang="en-US" sz="1100">
              <a:solidFill>
                <a:schemeClr val="bg1"/>
              </a:solidFill>
              <a:effectLst/>
              <a:latin typeface="+mn-lt"/>
              <a:ea typeface="+mn-ea"/>
              <a:cs typeface="+mn-cs"/>
            </a:rPr>
            <a:t>Users can consult the </a:t>
          </a:r>
          <a:r>
            <a:rPr lang="en-US" sz="1100">
              <a:solidFill>
                <a:schemeClr val="tx1"/>
              </a:solidFill>
              <a:effectLst/>
              <a:latin typeface="+mn-lt"/>
              <a:ea typeface="+mn-ea"/>
              <a:cs typeface="+mn-cs"/>
              <a:hlinkClick xmlns:r="http://schemas.openxmlformats.org/officeDocument/2006/relationships" r:id=""/>
            </a:rPr>
            <a:t>Appendix to Local Greenhouse Gas Inventory Tool: Community Module</a:t>
          </a:r>
          <a:r>
            <a:rPr lang="en-US" sz="1100">
              <a:solidFill>
                <a:schemeClr val="tx1"/>
              </a:solidFill>
              <a:effectLst/>
              <a:latin typeface="+mn-lt"/>
              <a:ea typeface="+mn-ea"/>
              <a:cs typeface="+mn-cs"/>
            </a:rPr>
            <a:t> </a:t>
          </a:r>
          <a:r>
            <a:rPr lang="en-US" sz="1100">
              <a:solidFill>
                <a:schemeClr val="bg1"/>
              </a:solidFill>
              <a:effectLst/>
              <a:latin typeface="+mn-lt"/>
              <a:ea typeface="+mn-ea"/>
              <a:cs typeface="+mn-cs"/>
            </a:rPr>
            <a:t>for more information about accessing community level energy data using the SLOPE Data Viewer and Scenario Planner.</a:t>
          </a:r>
        </a:p>
        <a:p>
          <a:endParaRPr lang="en-US" sz="1100"/>
        </a:p>
      </xdr:txBody>
    </xdr:sp>
    <xdr:clientData/>
  </xdr:oneCellAnchor>
  <xdr:oneCellAnchor>
    <xdr:from>
      <xdr:col>8</xdr:col>
      <xdr:colOff>254000</xdr:colOff>
      <xdr:row>48</xdr:row>
      <xdr:rowOff>0</xdr:rowOff>
    </xdr:from>
    <xdr:ext cx="3613150" cy="984250"/>
    <xdr:sp macro="" textlink="">
      <xdr:nvSpPr>
        <xdr:cNvPr id="6" name="TextBox 5">
          <a:hlinkClick xmlns:r="http://schemas.openxmlformats.org/officeDocument/2006/relationships" r:id="rId8"/>
          <a:extLst>
            <a:ext uri="{FF2B5EF4-FFF2-40B4-BE49-F238E27FC236}">
              <a16:creationId xmlns:a16="http://schemas.microsoft.com/office/drawing/2014/main" id="{00000000-0008-0000-0400-000006000000}"/>
            </a:ext>
          </a:extLst>
        </xdr:cNvPr>
        <xdr:cNvSpPr txBox="1"/>
      </xdr:nvSpPr>
      <xdr:spPr>
        <a:xfrm>
          <a:off x="9312275" y="6457950"/>
          <a:ext cx="3613150" cy="98425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bg1"/>
              </a:solidFill>
              <a:effectLst/>
              <a:latin typeface="+mn-lt"/>
              <a:ea typeface="+mn-ea"/>
              <a:cs typeface="+mn-cs"/>
            </a:rPr>
            <a:t>Users can consult the </a:t>
          </a:r>
          <a:r>
            <a:rPr lang="en-US" sz="1100">
              <a:solidFill>
                <a:schemeClr val="tx1"/>
              </a:solidFill>
              <a:effectLst/>
              <a:latin typeface="+mn-lt"/>
              <a:ea typeface="+mn-ea"/>
              <a:cs typeface="+mn-cs"/>
              <a:hlinkClick xmlns:r="http://schemas.openxmlformats.org/officeDocument/2006/relationships" r:id=""/>
            </a:rPr>
            <a:t>Agriculture and Land Management Appendix to Local Greenhouse Gas Inventory Tool: Community Module</a:t>
          </a:r>
          <a:r>
            <a:rPr lang="en-US" sz="1100">
              <a:solidFill>
                <a:schemeClr val="tx1"/>
              </a:solidFill>
              <a:effectLst/>
              <a:latin typeface="+mn-lt"/>
              <a:ea typeface="+mn-ea"/>
              <a:cs typeface="+mn-cs"/>
            </a:rPr>
            <a:t>  </a:t>
          </a:r>
          <a:r>
            <a:rPr lang="en-US" sz="1100">
              <a:solidFill>
                <a:schemeClr val="bg1"/>
              </a:solidFill>
              <a:effectLst/>
              <a:latin typeface="+mn-lt"/>
              <a:ea typeface="+mn-ea"/>
              <a:cs typeface="+mn-cs"/>
            </a:rPr>
            <a:t>for more information about accessing and downloading agricultural and land management data at the county level. </a:t>
          </a:r>
          <a:endParaRPr lang="en-US" sz="1100">
            <a:solidFill>
              <a:schemeClr val="bg1"/>
            </a:solidFill>
          </a:endParaRPr>
        </a:p>
      </xdr:txBody>
    </xdr:sp>
    <xdr:clientData/>
  </xdr:oneCellAnchor>
  <xdr:oneCellAnchor>
    <xdr:from>
      <xdr:col>8</xdr:col>
      <xdr:colOff>257175</xdr:colOff>
      <xdr:row>53</xdr:row>
      <xdr:rowOff>28575</xdr:rowOff>
    </xdr:from>
    <xdr:ext cx="3609975" cy="781240"/>
    <xdr:sp macro="" textlink="">
      <xdr:nvSpPr>
        <xdr:cNvPr id="7" name="TextBox 6">
          <a:hlinkClick xmlns:r="http://schemas.openxmlformats.org/officeDocument/2006/relationships" r:id="rId9"/>
          <a:extLst>
            <a:ext uri="{FF2B5EF4-FFF2-40B4-BE49-F238E27FC236}">
              <a16:creationId xmlns:a16="http://schemas.microsoft.com/office/drawing/2014/main" id="{00000000-0008-0000-0400-000007000000}"/>
            </a:ext>
          </a:extLst>
        </xdr:cNvPr>
        <xdr:cNvSpPr txBox="1"/>
      </xdr:nvSpPr>
      <xdr:spPr>
        <a:xfrm>
          <a:off x="9315450" y="7439025"/>
          <a:ext cx="3609975" cy="78124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1"/>
              </a:solidFill>
              <a:effectLst/>
              <a:latin typeface="+mn-lt"/>
              <a:ea typeface="+mn-ea"/>
              <a:cs typeface="+mn-cs"/>
            </a:rPr>
            <a:t>Users can consult the </a:t>
          </a:r>
          <a:r>
            <a:rPr lang="en-US" sz="1100">
              <a:solidFill>
                <a:schemeClr val="tx1"/>
              </a:solidFill>
              <a:effectLst/>
              <a:latin typeface="+mn-lt"/>
              <a:ea typeface="+mn-ea"/>
              <a:cs typeface="+mn-cs"/>
              <a:hlinkClick xmlns:r="http://schemas.openxmlformats.org/officeDocument/2006/relationships" r:id=""/>
            </a:rPr>
            <a:t>Incorporating National Emissions Inventory Data into the Local or Tribal GHG Inventory Tools</a:t>
          </a:r>
          <a:r>
            <a:rPr lang="en-US" sz="1100">
              <a:solidFill>
                <a:schemeClr val="tx1"/>
              </a:solidFill>
              <a:effectLst/>
              <a:latin typeface="+mn-lt"/>
              <a:ea typeface="+mn-ea"/>
              <a:cs typeface="+mn-cs"/>
            </a:rPr>
            <a:t> </a:t>
          </a:r>
          <a:r>
            <a:rPr lang="en-US" sz="1100">
              <a:solidFill>
                <a:schemeClr val="bg1"/>
              </a:solidFill>
              <a:effectLst/>
              <a:latin typeface="+mn-lt"/>
              <a:ea typeface="+mn-ea"/>
              <a:cs typeface="+mn-cs"/>
            </a:rPr>
            <a:t>guidance on how to use National Emissions Inventory transportation data at the county or tribal level. </a:t>
          </a:r>
          <a:endParaRPr lang="en-US" sz="1100">
            <a:solidFill>
              <a:schemeClr val="bg1"/>
            </a:solidFill>
          </a:endParaRPr>
        </a:p>
      </xdr:txBody>
    </xdr:sp>
    <xdr:clientData/>
  </xdr:oneCellAnchor>
  <xdr:oneCellAnchor>
    <xdr:from>
      <xdr:col>8</xdr:col>
      <xdr:colOff>257175</xdr:colOff>
      <xdr:row>57</xdr:row>
      <xdr:rowOff>47625</xdr:rowOff>
    </xdr:from>
    <xdr:ext cx="3609975" cy="781240"/>
    <xdr:sp macro="" textlink="">
      <xdr:nvSpPr>
        <xdr:cNvPr id="8" name="TextBox 7">
          <a:hlinkClick xmlns:r="http://schemas.openxmlformats.org/officeDocument/2006/relationships" r:id="rId10"/>
          <a:extLst>
            <a:ext uri="{FF2B5EF4-FFF2-40B4-BE49-F238E27FC236}">
              <a16:creationId xmlns:a16="http://schemas.microsoft.com/office/drawing/2014/main" id="{00000000-0008-0000-0400-000008000000}"/>
            </a:ext>
          </a:extLst>
        </xdr:cNvPr>
        <xdr:cNvSpPr txBox="1"/>
      </xdr:nvSpPr>
      <xdr:spPr>
        <a:xfrm>
          <a:off x="9315450" y="8220075"/>
          <a:ext cx="3609975" cy="781240"/>
        </a:xfrm>
        <a:prstGeom prst="rect">
          <a:avLst/>
        </a:prstGeom>
        <a:solidFill>
          <a:schemeClr val="accent6">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1"/>
              </a:solidFill>
              <a:effectLst/>
              <a:latin typeface="+mn-lt"/>
              <a:ea typeface="+mn-ea"/>
              <a:cs typeface="+mn-cs"/>
            </a:rPr>
            <a:t>Users can facilitate data entry across this spreadsheet tool by using the Community Module GHG Data Collection Template: </a:t>
          </a:r>
          <a:r>
            <a:rPr lang="en-US" sz="1100">
              <a:solidFill>
                <a:schemeClr val="tx1"/>
              </a:solidFill>
              <a:effectLst/>
              <a:latin typeface="+mn-lt"/>
              <a:ea typeface="+mn-ea"/>
              <a:cs typeface="+mn-cs"/>
              <a:hlinkClick xmlns:r="http://schemas.openxmlformats.org/officeDocument/2006/relationships" r:id=""/>
            </a:rPr>
            <a:t>Community Module GHG Data Collection Template</a:t>
          </a:r>
          <a:endParaRPr lang="en-US" sz="1100"/>
        </a:p>
      </xdr:txBody>
    </xdr:sp>
    <xdr:clientData/>
  </xdr:oneCellAnchor>
  <xdr:twoCellAnchor>
    <xdr:from>
      <xdr:col>8</xdr:col>
      <xdr:colOff>219808</xdr:colOff>
      <xdr:row>38</xdr:row>
      <xdr:rowOff>341924</xdr:rowOff>
    </xdr:from>
    <xdr:to>
      <xdr:col>13</xdr:col>
      <xdr:colOff>541378</xdr:colOff>
      <xdr:row>41</xdr:row>
      <xdr:rowOff>20352</xdr:rowOff>
    </xdr:to>
    <xdr:sp macro="" textlink="">
      <xdr:nvSpPr>
        <xdr:cNvPr id="10" name="TextBox 9">
          <a:hlinkClick xmlns:r="http://schemas.openxmlformats.org/officeDocument/2006/relationships" r:id="rId11"/>
          <a:extLst>
            <a:ext uri="{FF2B5EF4-FFF2-40B4-BE49-F238E27FC236}">
              <a16:creationId xmlns:a16="http://schemas.microsoft.com/office/drawing/2014/main" id="{00000000-0008-0000-0400-00000A000000}"/>
            </a:ext>
          </a:extLst>
        </xdr:cNvPr>
        <xdr:cNvSpPr txBox="1"/>
      </xdr:nvSpPr>
      <xdr:spPr>
        <a:xfrm>
          <a:off x="9708173" y="4343238"/>
          <a:ext cx="3785577" cy="651281"/>
        </a:xfrm>
        <a:prstGeom prst="rect">
          <a:avLst/>
        </a:prstGeom>
        <a:solidFill>
          <a:schemeClr val="accent6">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The </a:t>
          </a:r>
          <a:r>
            <a:rPr lang="en-US" sz="1100" i="1">
              <a:solidFill>
                <a:schemeClr val="bg1"/>
              </a:solidFill>
              <a:effectLst/>
              <a:latin typeface="+mn-lt"/>
              <a:ea typeface="+mn-ea"/>
              <a:cs typeface="+mn-cs"/>
            </a:rPr>
            <a:t>Global Protocol for Community Scale GHG emissions </a:t>
          </a:r>
          <a:r>
            <a:rPr lang="en-US" sz="1100" i="0">
              <a:solidFill>
                <a:schemeClr val="bg1"/>
              </a:solidFill>
              <a:effectLst/>
              <a:latin typeface="+mn-lt"/>
              <a:ea typeface="+mn-ea"/>
              <a:cs typeface="+mn-cs"/>
            </a:rPr>
            <a:t>is</a:t>
          </a:r>
          <a:r>
            <a:rPr lang="en-US" sz="1100" i="0" baseline="0">
              <a:solidFill>
                <a:schemeClr val="bg1"/>
              </a:solidFill>
              <a:effectLst/>
              <a:latin typeface="+mn-lt"/>
              <a:ea typeface="+mn-ea"/>
              <a:cs typeface="+mn-cs"/>
            </a:rPr>
            <a:t> available online at: </a:t>
          </a:r>
          <a:r>
            <a:rPr lang="en-US" sz="1100" b="1" i="0" u="sng" baseline="0">
              <a:solidFill>
                <a:srgbClr val="0000FF"/>
              </a:solidFill>
              <a:effectLst/>
              <a:latin typeface="+mn-lt"/>
              <a:ea typeface="+mn-ea"/>
              <a:cs typeface="+mn-cs"/>
            </a:rPr>
            <a:t>https://ghgprotocol.org/greenhouse-gas-protocol-accounting-reporting-standard-cities</a:t>
          </a:r>
          <a:endParaRPr lang="en-US">
            <a:solidFill>
              <a:srgbClr val="0000FF"/>
            </a:solidFill>
            <a:effectLst/>
          </a:endParaRP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247649</xdr:colOff>
      <xdr:row>2</xdr:row>
      <xdr:rowOff>38101</xdr:rowOff>
    </xdr:from>
    <xdr:to>
      <xdr:col>5</xdr:col>
      <xdr:colOff>730250</xdr:colOff>
      <xdr:row>5</xdr:row>
      <xdr:rowOff>44450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47649" y="838201"/>
          <a:ext cx="11083926" cy="213994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On this sheet, you can enter stationary fuel combustion for each entity for which you have data. These direct emissions should be reported for all fuels consumed within the community's geopolitical boundaries. Include the total</a:t>
          </a:r>
          <a:r>
            <a:rPr lang="en-US" sz="1100" baseline="0">
              <a:solidFill>
                <a:schemeClr val="dk1"/>
              </a:solidFill>
              <a:latin typeface="+mn-lt"/>
              <a:ea typeface="+mn-ea"/>
              <a:cs typeface="+mn-cs"/>
            </a:rPr>
            <a:t>s from the Local Government Operations calculations within the commercial/institutional sector.  For additional information on obtaining or calculating fuel consumption data, refer to the Global Protocol for Community-Scale Greenhouse Gas Emissions.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To use the form below, first enter the data for a given unit, then click "Add/Update Record." The data will be saved, and the fields will remain filled in. The purpose of this process is to facilitate similar data entries for multiple entities. </a:t>
          </a:r>
          <a:r>
            <a:rPr lang="en-US" sz="1100" b="1">
              <a:solidFill>
                <a:schemeClr val="dk1"/>
              </a:solidFill>
              <a:latin typeface="+mn-lt"/>
              <a:ea typeface="+mn-ea"/>
              <a:cs typeface="+mn-cs"/>
            </a:rPr>
            <a:t>Note:</a:t>
          </a:r>
          <a:r>
            <a:rPr lang="en-US" sz="1100">
              <a:solidFill>
                <a:schemeClr val="dk1"/>
              </a:solidFill>
              <a:latin typeface="+mn-lt"/>
              <a:ea typeface="+mn-ea"/>
              <a:cs typeface="+mn-cs"/>
            </a:rPr>
            <a:t> </a:t>
          </a:r>
          <a:r>
            <a:rPr lang="en-US" sz="1100" b="1">
              <a:solidFill>
                <a:schemeClr val="dk1"/>
              </a:solidFill>
              <a:latin typeface="+mn-lt"/>
              <a:ea typeface="+mn-ea"/>
              <a:cs typeface="+mn-cs"/>
            </a:rPr>
            <a:t>you will receive a confirmation message when the record has been successfully added</a:t>
          </a:r>
          <a:r>
            <a:rPr lang="en-US" sz="1100">
              <a:solidFill>
                <a:schemeClr val="dk1"/>
              </a:solidFill>
              <a:latin typeface="+mn-lt"/>
              <a:ea typeface="+mn-ea"/>
              <a:cs typeface="+mn-cs"/>
            </a:rPr>
            <a:t>. The data will appear in the "Stationary-Data" sheet. At any point, you may click "Reset Form" to clear all fields. (If you would like to enter more than one record at a time, you may proceed to the "Stationary-Data" sheet and directly add data there.)</a:t>
          </a:r>
        </a:p>
        <a:p>
          <a:endParaRPr lang="en-US" sz="1100">
            <a:solidFill>
              <a:schemeClr val="dk1"/>
            </a:solidFill>
            <a:latin typeface="+mn-lt"/>
            <a:ea typeface="+mn-ea"/>
            <a:cs typeface="+mn-cs"/>
          </a:endParaRPr>
        </a:p>
        <a:p>
          <a:r>
            <a:rPr lang="en-US" sz="1100">
              <a:solidFill>
                <a:schemeClr val="dk1"/>
              </a:solidFill>
              <a:latin typeface="+mn-lt"/>
              <a:ea typeface="+mn-ea"/>
              <a:cs typeface="+mn-cs"/>
            </a:rPr>
            <a:t>If you would like to change any aspect of a previous entry, select "Edit Record." A drop-down menu will appear. Select the entry you would like to change, make changes to the entry fields as needed, then click "Add/Update Record." To delete a record entirely, click the "Delete Record" button. A dropdown menu will appear for you to select the entry to delete. After you confirm that you would like the entry deleted, the saved data will be erased. </a:t>
          </a:r>
        </a:p>
      </xdr:txBody>
    </xdr:sp>
    <xdr:clientData/>
  </xdr:twoCellAnchor>
  <xdr:twoCellAnchor editAs="oneCell">
    <xdr:from>
      <xdr:col>4</xdr:col>
      <xdr:colOff>605367</xdr:colOff>
      <xdr:row>0</xdr:row>
      <xdr:rowOff>50334</xdr:rowOff>
    </xdr:from>
    <xdr:to>
      <xdr:col>5</xdr:col>
      <xdr:colOff>1117601</xdr:colOff>
      <xdr:row>0</xdr:row>
      <xdr:rowOff>434382</xdr:rowOff>
    </xdr:to>
    <xdr:sp macro="" textlink="">
      <xdr:nvSpPr>
        <xdr:cNvPr id="4" name="Rounded Rectangle 3">
          <a:extLst>
            <a:ext uri="{FF2B5EF4-FFF2-40B4-BE49-F238E27FC236}">
              <a16:creationId xmlns:a16="http://schemas.microsoft.com/office/drawing/2014/main" id="{00000000-0008-0000-0600-000004000000}"/>
            </a:ext>
          </a:extLst>
        </xdr:cNvPr>
        <xdr:cNvSpPr/>
      </xdr:nvSpPr>
      <xdr:spPr>
        <a:xfrm>
          <a:off x="8974667" y="50334"/>
          <a:ext cx="2747434"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3</xdr:col>
      <xdr:colOff>1848909</xdr:colOff>
      <xdr:row>0</xdr:row>
      <xdr:rowOff>58208</xdr:rowOff>
    </xdr:from>
    <xdr:to>
      <xdr:col>4</xdr:col>
      <xdr:colOff>560917</xdr:colOff>
      <xdr:row>0</xdr:row>
      <xdr:rowOff>439208</xdr:rowOff>
    </xdr:to>
    <xdr:sp macro="" textlink="">
      <xdr:nvSpPr>
        <xdr:cNvPr id="6" name="Left Arrow 5">
          <a:hlinkClick xmlns:r="http://schemas.openxmlformats.org/officeDocument/2006/relationships" r:id="rId1"/>
          <a:extLst>
            <a:ext uri="{FF2B5EF4-FFF2-40B4-BE49-F238E27FC236}">
              <a16:creationId xmlns:a16="http://schemas.microsoft.com/office/drawing/2014/main" id="{00000000-0008-0000-0600-000006000000}"/>
            </a:ext>
          </a:extLst>
        </xdr:cNvPr>
        <xdr:cNvSpPr/>
      </xdr:nvSpPr>
      <xdr:spPr>
        <a:xfrm>
          <a:off x="7055909" y="58208"/>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4</xdr:col>
      <xdr:colOff>76199</xdr:colOff>
      <xdr:row>10</xdr:row>
      <xdr:rowOff>133349</xdr:rowOff>
    </xdr:from>
    <xdr:to>
      <xdr:col>5</xdr:col>
      <xdr:colOff>977900</xdr:colOff>
      <xdr:row>22</xdr:row>
      <xdr:rowOff>123824</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439149" y="3905249"/>
          <a:ext cx="3140076" cy="2181225"/>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u="sng">
              <a:solidFill>
                <a:schemeClr val="bg1"/>
              </a:solidFill>
            </a:rPr>
            <a:t>Helpful</a:t>
          </a:r>
          <a:r>
            <a:rPr lang="en-US" sz="1100" b="1" u="sng" baseline="0">
              <a:solidFill>
                <a:schemeClr val="bg1"/>
              </a:solidFill>
            </a:rPr>
            <a:t> Hints -- Potentially Useful Conversions</a:t>
          </a:r>
          <a:endParaRPr lang="en-US" sz="1100" b="0" u="none" baseline="0">
            <a:solidFill>
              <a:schemeClr val="bg1"/>
            </a:solidFill>
          </a:endParaRPr>
        </a:p>
        <a:p>
          <a:pPr algn="l"/>
          <a:endParaRPr lang="en-US" sz="1100" b="0" u="none" baseline="0">
            <a:solidFill>
              <a:schemeClr val="bg1"/>
            </a:solidFill>
          </a:endParaRPr>
        </a:p>
        <a:p>
          <a:pPr algn="l"/>
          <a:r>
            <a:rPr lang="en-US" sz="1100" b="0" u="sng" baseline="0">
              <a:solidFill>
                <a:schemeClr val="bg1"/>
              </a:solidFill>
            </a:rPr>
            <a:t>Natural Gas/Digester Gas</a:t>
          </a:r>
        </a:p>
        <a:p>
          <a:pPr algn="l"/>
          <a:r>
            <a:rPr lang="en-US" sz="1100" b="0" u="none" baseline="0">
              <a:solidFill>
                <a:schemeClr val="bg1"/>
              </a:solidFill>
            </a:rPr>
            <a:t>   To convert </a:t>
          </a:r>
          <a:r>
            <a:rPr lang="en-US" sz="1100" b="1" u="none" baseline="0">
              <a:solidFill>
                <a:schemeClr val="bg1"/>
              </a:solidFill>
            </a:rPr>
            <a:t>ccf</a:t>
          </a:r>
          <a:r>
            <a:rPr lang="en-US" sz="1100" b="0" u="none" baseline="0">
              <a:solidFill>
                <a:schemeClr val="bg1"/>
              </a:solidFill>
            </a:rPr>
            <a:t> to </a:t>
          </a:r>
          <a:r>
            <a:rPr lang="en-US" sz="1100" b="1" u="none" baseline="0">
              <a:solidFill>
                <a:schemeClr val="bg1"/>
              </a:solidFill>
            </a:rPr>
            <a:t>mcf</a:t>
          </a:r>
          <a:r>
            <a:rPr lang="en-US" sz="1100" b="0" u="none" baseline="0">
              <a:solidFill>
                <a:schemeClr val="bg1"/>
              </a:solidFill>
            </a:rPr>
            <a:t>, multiply by 0.1</a:t>
          </a:r>
        </a:p>
        <a:p>
          <a:pPr algn="l"/>
          <a:r>
            <a:rPr lang="en-US" sz="1100" b="0" u="none" baseline="0">
              <a:solidFill>
                <a:schemeClr val="bg1"/>
              </a:solidFill>
            </a:rPr>
            <a:t>   To convert </a:t>
          </a:r>
          <a:r>
            <a:rPr lang="en-US" sz="1100" b="1" u="none" baseline="0">
              <a:solidFill>
                <a:schemeClr val="bg1"/>
              </a:solidFill>
            </a:rPr>
            <a:t>scf</a:t>
          </a:r>
          <a:r>
            <a:rPr lang="en-US" sz="1100" b="0" u="none" baseline="0">
              <a:solidFill>
                <a:schemeClr val="bg1"/>
              </a:solidFill>
            </a:rPr>
            <a:t> to </a:t>
          </a:r>
          <a:r>
            <a:rPr lang="en-US" sz="1100" b="1" u="none" baseline="0">
              <a:solidFill>
                <a:schemeClr val="bg1"/>
              </a:solidFill>
            </a:rPr>
            <a:t>mcf</a:t>
          </a:r>
          <a:r>
            <a:rPr lang="en-US" sz="1100" b="0" u="none" baseline="0">
              <a:solidFill>
                <a:schemeClr val="bg1"/>
              </a:solidFill>
            </a:rPr>
            <a:t>, multiply by 0.001  </a:t>
          </a:r>
        </a:p>
        <a:p>
          <a:pPr algn="l"/>
          <a:r>
            <a:rPr lang="en-US" sz="1100" b="0" u="none" baseline="0">
              <a:solidFill>
                <a:schemeClr val="bg1"/>
              </a:solidFill>
            </a:rPr>
            <a:t>   To convert </a:t>
          </a:r>
          <a:r>
            <a:rPr lang="en-US" sz="1100" b="1" u="none" baseline="0">
              <a:solidFill>
                <a:schemeClr val="bg1"/>
              </a:solidFill>
            </a:rPr>
            <a:t>therms</a:t>
          </a:r>
          <a:r>
            <a:rPr lang="en-US" sz="1100" b="0" u="none" baseline="0">
              <a:solidFill>
                <a:schemeClr val="bg1"/>
              </a:solidFill>
            </a:rPr>
            <a:t> to </a:t>
          </a:r>
          <a:r>
            <a:rPr lang="en-US" sz="1100" b="1" u="none" baseline="0">
              <a:solidFill>
                <a:schemeClr val="bg1"/>
              </a:solidFill>
            </a:rPr>
            <a:t>mcf</a:t>
          </a:r>
          <a:r>
            <a:rPr lang="en-US" sz="1100" b="0" u="none" baseline="0">
              <a:solidFill>
                <a:schemeClr val="bg1"/>
              </a:solidFill>
            </a:rPr>
            <a:t>, multiply by 0.0973</a:t>
          </a:r>
        </a:p>
        <a:p>
          <a:pPr algn="l"/>
          <a:endParaRPr lang="en-US" sz="1100" b="0" u="none" baseline="0">
            <a:solidFill>
              <a:schemeClr val="bg1"/>
            </a:solidFill>
          </a:endParaRPr>
        </a:p>
        <a:p>
          <a:pPr algn="l"/>
          <a:r>
            <a:rPr lang="en-US" sz="1100" b="0" u="sng" baseline="0">
              <a:solidFill>
                <a:schemeClr val="bg1"/>
              </a:solidFill>
            </a:rPr>
            <a:t>Liquid Fuels</a:t>
          </a:r>
          <a:endParaRPr lang="en-US" sz="1100" b="0" u="none" baseline="0">
            <a:solidFill>
              <a:schemeClr val="bg1"/>
            </a:solidFill>
          </a:endParaRPr>
        </a:p>
        <a:p>
          <a:pPr algn="l"/>
          <a:r>
            <a:rPr lang="en-US" sz="1100" b="0" u="none" baseline="0">
              <a:solidFill>
                <a:schemeClr val="bg1"/>
              </a:solidFill>
            </a:rPr>
            <a:t>   To convert </a:t>
          </a:r>
          <a:r>
            <a:rPr lang="en-US" sz="1100" b="1" u="none" baseline="0">
              <a:solidFill>
                <a:schemeClr val="bg1"/>
              </a:solidFill>
            </a:rPr>
            <a:t>barrels</a:t>
          </a:r>
          <a:r>
            <a:rPr lang="en-US" sz="1100" b="0" u="none" baseline="0">
              <a:solidFill>
                <a:schemeClr val="bg1"/>
              </a:solidFill>
            </a:rPr>
            <a:t> to </a:t>
          </a:r>
          <a:r>
            <a:rPr lang="en-US" sz="1100" b="1" u="none" baseline="0">
              <a:solidFill>
                <a:schemeClr val="bg1"/>
              </a:solidFill>
            </a:rPr>
            <a:t>gallons</a:t>
          </a:r>
          <a:r>
            <a:rPr lang="en-US" sz="1100" b="0" u="none" baseline="0">
              <a:solidFill>
                <a:schemeClr val="bg1"/>
              </a:solidFill>
            </a:rPr>
            <a:t>, multiply by 42</a:t>
          </a:r>
        </a:p>
        <a:p>
          <a:pPr algn="l"/>
          <a:endParaRPr lang="en-US" sz="1100" b="0" u="none" baseline="0">
            <a:solidFill>
              <a:schemeClr val="bg1"/>
            </a:solidFill>
          </a:endParaRPr>
        </a:p>
        <a:p>
          <a:pPr algn="l"/>
          <a:r>
            <a:rPr lang="en-US" sz="1100" b="0" u="sng" baseline="0">
              <a:solidFill>
                <a:schemeClr val="bg1"/>
              </a:solidFill>
            </a:rPr>
            <a:t>Coal</a:t>
          </a:r>
          <a:endParaRPr lang="en-US" sz="1100" b="0" u="none" baseline="0">
            <a:solidFill>
              <a:schemeClr val="bg1"/>
            </a:solidFill>
          </a:endParaRPr>
        </a:p>
        <a:p>
          <a:pPr algn="l"/>
          <a:r>
            <a:rPr lang="en-US" sz="1100" b="0" u="none" baseline="0">
              <a:solidFill>
                <a:schemeClr val="bg1"/>
              </a:solidFill>
            </a:rPr>
            <a:t>   To convert </a:t>
          </a:r>
          <a:r>
            <a:rPr lang="en-US" sz="1100" b="1" u="none" baseline="0">
              <a:solidFill>
                <a:schemeClr val="bg1"/>
              </a:solidFill>
            </a:rPr>
            <a:t>pounds</a:t>
          </a:r>
          <a:r>
            <a:rPr lang="en-US" sz="1100" b="0" u="none" baseline="0">
              <a:solidFill>
                <a:schemeClr val="bg1"/>
              </a:solidFill>
            </a:rPr>
            <a:t> to </a:t>
          </a:r>
          <a:r>
            <a:rPr lang="en-US" sz="1100" b="1" u="none" baseline="0">
              <a:solidFill>
                <a:schemeClr val="bg1"/>
              </a:solidFill>
            </a:rPr>
            <a:t>short tons</a:t>
          </a:r>
          <a:r>
            <a:rPr lang="en-US" sz="1100" b="0" u="none" baseline="0">
              <a:solidFill>
                <a:schemeClr val="bg1"/>
              </a:solidFill>
            </a:rPr>
            <a:t>, </a:t>
          </a:r>
          <a:r>
            <a:rPr lang="en-US" sz="1100" b="1" i="1" u="none" baseline="0">
              <a:solidFill>
                <a:schemeClr val="bg1"/>
              </a:solidFill>
            </a:rPr>
            <a:t>divide</a:t>
          </a:r>
          <a:r>
            <a:rPr lang="en-US" sz="1100" b="0" u="none" baseline="0">
              <a:solidFill>
                <a:schemeClr val="bg1"/>
              </a:solidFill>
            </a:rPr>
            <a:t> by 2000   </a:t>
          </a:r>
          <a:endParaRPr lang="en-US" sz="1100" b="0" u="sng" baseline="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2</xdr:col>
          <xdr:colOff>2362200</xdr:colOff>
          <xdr:row>17</xdr:row>
          <xdr:rowOff>57150</xdr:rowOff>
        </xdr:from>
        <xdr:to>
          <xdr:col>3</xdr:col>
          <xdr:colOff>628650</xdr:colOff>
          <xdr:row>18</xdr:row>
          <xdr:rowOff>152400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17</xdr:row>
          <xdr:rowOff>69850</xdr:rowOff>
        </xdr:from>
        <xdr:to>
          <xdr:col>3</xdr:col>
          <xdr:colOff>2489200</xdr:colOff>
          <xdr:row>18</xdr:row>
          <xdr:rowOff>152400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17</xdr:row>
          <xdr:rowOff>57150</xdr:rowOff>
        </xdr:from>
        <xdr:to>
          <xdr:col>2</xdr:col>
          <xdr:colOff>2032000</xdr:colOff>
          <xdr:row>18</xdr:row>
          <xdr:rowOff>152400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Edit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xdr:row>
          <xdr:rowOff>57150</xdr:rowOff>
        </xdr:from>
        <xdr:to>
          <xdr:col>1</xdr:col>
          <xdr:colOff>1517650</xdr:colOff>
          <xdr:row>18</xdr:row>
          <xdr:rowOff>152400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600-00000A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Add/Update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0</xdr:row>
          <xdr:rowOff>133350</xdr:rowOff>
        </xdr:from>
        <xdr:to>
          <xdr:col>5</xdr:col>
          <xdr:colOff>1117600</xdr:colOff>
          <xdr:row>0</xdr:row>
          <xdr:rowOff>361950</xdr:rowOff>
        </xdr:to>
        <xdr:sp macro="" textlink="">
          <xdr:nvSpPr>
            <xdr:cNvPr id="10251" name="ck_comp_StatEntry" hidden="1">
              <a:extLst>
                <a:ext uri="{63B3BB69-23CF-44E3-9099-C40C66FF867C}">
                  <a14:compatExt spid="_x0000_s10251"/>
                </a:ext>
                <a:ext uri="{FF2B5EF4-FFF2-40B4-BE49-F238E27FC236}">
                  <a16:creationId xmlns:a16="http://schemas.microsoft.com/office/drawing/2014/main" id="{00000000-0008-0000-06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330200</xdr:colOff>
      <xdr:row>23</xdr:row>
      <xdr:rowOff>184150</xdr:rowOff>
    </xdr:from>
    <xdr:to>
      <xdr:col>1</xdr:col>
      <xdr:colOff>1644329</xdr:colOff>
      <xdr:row>25</xdr:row>
      <xdr:rowOff>10432</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330200" y="6356350"/>
          <a:ext cx="1955479" cy="842282"/>
          <a:chOff x="482600" y="12822918"/>
          <a:chExt cx="1955479" cy="842282"/>
        </a:xfrm>
      </xdr:grpSpPr>
      <xdr:pic>
        <xdr:nvPicPr>
          <xdr:cNvPr id="19" name="Pictur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200024</xdr:colOff>
      <xdr:row>1</xdr:row>
      <xdr:rowOff>95250</xdr:rowOff>
    </xdr:from>
    <xdr:to>
      <xdr:col>9</xdr:col>
      <xdr:colOff>581025</xdr:colOff>
      <xdr:row>3</xdr:row>
      <xdr:rowOff>104775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00024" y="581025"/>
          <a:ext cx="7962901" cy="6667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sheet stores</a:t>
          </a:r>
          <a:r>
            <a:rPr lang="en-US" sz="1100" baseline="0"/>
            <a:t> the individual data records added via the form on the previous sheet. If you wish to add multiple records  at once without using the input form, you may directly add data to this sheet. Please click on the button to the right to generate a template file with instructions for this process. Please be careful to follow the instructions and enter data using the format and parameters specified in the template. </a:t>
          </a:r>
          <a:endParaRPr lang="en-US" sz="1100"/>
        </a:p>
      </xdr:txBody>
    </xdr:sp>
    <xdr:clientData/>
  </xdr:twoCellAnchor>
  <xdr:twoCellAnchor editAs="oneCell">
    <xdr:from>
      <xdr:col>8</xdr:col>
      <xdr:colOff>351663</xdr:colOff>
      <xdr:row>0</xdr:row>
      <xdr:rowOff>50863</xdr:rowOff>
    </xdr:from>
    <xdr:to>
      <xdr:col>12</xdr:col>
      <xdr:colOff>564388</xdr:colOff>
      <xdr:row>0</xdr:row>
      <xdr:rowOff>431736</xdr:rowOff>
    </xdr:to>
    <xdr:sp macro="" textlink="">
      <xdr:nvSpPr>
        <xdr:cNvPr id="3" name="Rounded Rectangle 2">
          <a:extLst>
            <a:ext uri="{FF2B5EF4-FFF2-40B4-BE49-F238E27FC236}">
              <a16:creationId xmlns:a16="http://schemas.microsoft.com/office/drawing/2014/main" id="{00000000-0008-0000-0800-000003000000}"/>
            </a:ext>
          </a:extLst>
        </xdr:cNvPr>
        <xdr:cNvSpPr/>
      </xdr:nvSpPr>
      <xdr:spPr>
        <a:xfrm>
          <a:off x="7495413" y="50863"/>
          <a:ext cx="25717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6</xdr:col>
      <xdr:colOff>0</xdr:colOff>
      <xdr:row>0</xdr:row>
      <xdr:rowOff>52387</xdr:rowOff>
    </xdr:from>
    <xdr:to>
      <xdr:col>8</xdr:col>
      <xdr:colOff>273050</xdr:colOff>
      <xdr:row>0</xdr:row>
      <xdr:rowOff>430212</xdr:rowOff>
    </xdr:to>
    <xdr:sp macro="" textlink="">
      <xdr:nvSpPr>
        <xdr:cNvPr id="5" name="Left Arrow 4">
          <a:hlinkClick xmlns:r="http://schemas.openxmlformats.org/officeDocument/2006/relationships" r:id="rId1"/>
          <a:extLst>
            <a:ext uri="{FF2B5EF4-FFF2-40B4-BE49-F238E27FC236}">
              <a16:creationId xmlns:a16="http://schemas.microsoft.com/office/drawing/2014/main" id="{00000000-0008-0000-0800-000005000000}"/>
            </a:ext>
          </a:extLst>
        </xdr:cNvPr>
        <xdr:cNvSpPr/>
      </xdr:nvSpPr>
      <xdr:spPr>
        <a:xfrm>
          <a:off x="5753100" y="52387"/>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10</xdr:col>
      <xdr:colOff>104775</xdr:colOff>
      <xdr:row>2</xdr:row>
      <xdr:rowOff>19050</xdr:rowOff>
    </xdr:from>
    <xdr:to>
      <xdr:col>12</xdr:col>
      <xdr:colOff>523875</xdr:colOff>
      <xdr:row>2</xdr:row>
      <xdr:rowOff>581025</xdr:rowOff>
    </xdr:to>
    <xdr:sp macro="[0]!GetStationaryDataTemplate" textlink="">
      <xdr:nvSpPr>
        <xdr:cNvPr id="6" name="toc_StatSummary">
          <a:extLst>
            <a:ext uri="{FF2B5EF4-FFF2-40B4-BE49-F238E27FC236}">
              <a16:creationId xmlns:a16="http://schemas.microsoft.com/office/drawing/2014/main" id="{00000000-0008-0000-0800-000006000000}"/>
            </a:ext>
          </a:extLst>
        </xdr:cNvPr>
        <xdr:cNvSpPr/>
      </xdr:nvSpPr>
      <xdr:spPr>
        <a:xfrm>
          <a:off x="8296275" y="695325"/>
          <a:ext cx="1638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0" cap="none" spc="0">
              <a:ln>
                <a:noFill/>
              </a:ln>
              <a:solidFill>
                <a:schemeClr val="bg1"/>
              </a:solidFill>
              <a:effectLst/>
            </a:rPr>
            <a:t>Create Data</a:t>
          </a:r>
          <a:r>
            <a:rPr lang="en-US" sz="1100" b="0" cap="none" spc="0" baseline="0">
              <a:ln>
                <a:noFill/>
              </a:ln>
              <a:solidFill>
                <a:schemeClr val="bg1"/>
              </a:solidFill>
              <a:effectLst/>
            </a:rPr>
            <a:t> File Template</a:t>
          </a:r>
        </a:p>
      </xdr:txBody>
    </xdr:sp>
    <xdr:clientData/>
  </xdr:twoCellAnchor>
  <mc:AlternateContent xmlns:mc="http://schemas.openxmlformats.org/markup-compatibility/2006">
    <mc:Choice xmlns:a14="http://schemas.microsoft.com/office/drawing/2010/main" Requires="a14">
      <xdr:twoCellAnchor editAs="oneCell">
        <xdr:from>
          <xdr:col>8</xdr:col>
          <xdr:colOff>361950</xdr:colOff>
          <xdr:row>0</xdr:row>
          <xdr:rowOff>107950</xdr:rowOff>
        </xdr:from>
        <xdr:to>
          <xdr:col>12</xdr:col>
          <xdr:colOff>552450</xdr:colOff>
          <xdr:row>0</xdr:row>
          <xdr:rowOff>381000</xdr:rowOff>
        </xdr:to>
        <xdr:sp macro="" textlink="">
          <xdr:nvSpPr>
            <xdr:cNvPr id="24577" name="ck_comp_StatData"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69987</xdr:colOff>
      <xdr:row>0</xdr:row>
      <xdr:rowOff>63500</xdr:rowOff>
    </xdr:from>
    <xdr:to>
      <xdr:col>21</xdr:col>
      <xdr:colOff>774307</xdr:colOff>
      <xdr:row>0</xdr:row>
      <xdr:rowOff>444500</xdr:rowOff>
    </xdr:to>
    <xdr:sp macro="" textlink="">
      <xdr:nvSpPr>
        <xdr:cNvPr id="11" name="Left Arrow 10">
          <a:hlinkClick xmlns:r="http://schemas.openxmlformats.org/officeDocument/2006/relationships" r:id="rId1"/>
          <a:extLst>
            <a:ext uri="{FF2B5EF4-FFF2-40B4-BE49-F238E27FC236}">
              <a16:creationId xmlns:a16="http://schemas.microsoft.com/office/drawing/2014/main" id="{00000000-0008-0000-0900-00000B000000}"/>
            </a:ext>
          </a:extLst>
        </xdr:cNvPr>
        <xdr:cNvSpPr/>
      </xdr:nvSpPr>
      <xdr:spPr>
        <a:xfrm>
          <a:off x="12893018" y="63500"/>
          <a:ext cx="1490133"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0</xdr:col>
      <xdr:colOff>420423</xdr:colOff>
      <xdr:row>46</xdr:row>
      <xdr:rowOff>142875</xdr:rowOff>
    </xdr:from>
    <xdr:to>
      <xdr:col>15</xdr:col>
      <xdr:colOff>769067</xdr:colOff>
      <xdr:row>69</xdr:row>
      <xdr:rowOff>122085</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1289049</xdr:colOff>
          <xdr:row>45</xdr:row>
          <xdr:rowOff>82550</xdr:rowOff>
        </xdr:from>
        <xdr:to>
          <xdr:col>6</xdr:col>
          <xdr:colOff>387349</xdr:colOff>
          <xdr:row>47</xdr:row>
          <xdr:rowOff>44450</xdr:rowOff>
        </xdr:to>
        <xdr:grpSp>
          <xdr:nvGrpSpPr>
            <xdr:cNvPr id="4" name="Group 3">
              <a:extLst>
                <a:ext uri="{FF2B5EF4-FFF2-40B4-BE49-F238E27FC236}">
                  <a16:creationId xmlns:a16="http://schemas.microsoft.com/office/drawing/2014/main" id="{00000000-0008-0000-0900-000004000000}"/>
                </a:ext>
              </a:extLst>
            </xdr:cNvPr>
            <xdr:cNvGrpSpPr/>
          </xdr:nvGrpSpPr>
          <xdr:grpSpPr>
            <a:xfrm>
              <a:off x="1790699" y="6350000"/>
              <a:ext cx="4521200" cy="342900"/>
              <a:chOff x="1685925" y="9277350"/>
              <a:chExt cx="2981329" cy="342900"/>
            </a:xfrm>
          </xdr:grpSpPr>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900-000001400000}"/>
                  </a:ext>
                </a:extLst>
              </xdr:cNvPr>
              <xdr:cNvSpPr/>
            </xdr:nvSpPr>
            <xdr:spPr bwMode="auto">
              <a:xfrm>
                <a:off x="1685925" y="9277350"/>
                <a:ext cx="733425" cy="3429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Emissions</a:t>
                </a:r>
              </a:p>
            </xdr:txBody>
          </xdr:sp>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900-000002400000}"/>
                  </a:ext>
                </a:extLst>
              </xdr:cNvPr>
              <xdr:cNvSpPr/>
            </xdr:nvSpPr>
            <xdr:spPr bwMode="auto">
              <a:xfrm>
                <a:off x="2505076" y="9277350"/>
                <a:ext cx="2162178" cy="3429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Energy Use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93</xdr:row>
          <xdr:rowOff>53979</xdr:rowOff>
        </xdr:from>
        <xdr:to>
          <xdr:col>6</xdr:col>
          <xdr:colOff>463549</xdr:colOff>
          <xdr:row>95</xdr:row>
          <xdr:rowOff>9546</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1797050" y="15878179"/>
              <a:ext cx="4591049" cy="323867"/>
              <a:chOff x="1695451" y="17811759"/>
              <a:chExt cx="3048001" cy="323918"/>
            </a:xfrm>
          </xdr:grpSpPr>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900-000003400000}"/>
                  </a:ext>
                </a:extLst>
              </xdr:cNvPr>
              <xdr:cNvSpPr/>
            </xdr:nvSpPr>
            <xdr:spPr bwMode="auto">
              <a:xfrm>
                <a:off x="1695451" y="17811759"/>
                <a:ext cx="771524" cy="323849"/>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Emissions</a:t>
                </a:r>
              </a:p>
            </xdr:txBody>
          </xdr:sp>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900-000004400000}"/>
                  </a:ext>
                </a:extLst>
              </xdr:cNvPr>
              <xdr:cNvSpPr/>
            </xdr:nvSpPr>
            <xdr:spPr bwMode="auto">
              <a:xfrm>
                <a:off x="2590799" y="17821350"/>
                <a:ext cx="2152653" cy="3143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Energy Use</a:t>
                </a:r>
              </a:p>
            </xdr:txBody>
          </xdr:sp>
        </xdr:grpSp>
        <xdr:clientData/>
      </xdr:twoCellAnchor>
    </mc:Choice>
    <mc:Fallback/>
  </mc:AlternateContent>
  <xdr:twoCellAnchor>
    <xdr:from>
      <xdr:col>0</xdr:col>
      <xdr:colOff>420423</xdr:colOff>
      <xdr:row>46</xdr:row>
      <xdr:rowOff>142873</xdr:rowOff>
    </xdr:from>
    <xdr:to>
      <xdr:col>15</xdr:col>
      <xdr:colOff>769067</xdr:colOff>
      <xdr:row>69</xdr:row>
      <xdr:rowOff>122083</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420423</xdr:colOff>
      <xdr:row>46</xdr:row>
      <xdr:rowOff>139853</xdr:rowOff>
    </xdr:from>
    <xdr:to>
      <xdr:col>15</xdr:col>
      <xdr:colOff>777080</xdr:colOff>
      <xdr:row>69</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54427</xdr:colOff>
      <xdr:row>93</xdr:row>
      <xdr:rowOff>116417</xdr:rowOff>
    </xdr:from>
    <xdr:to>
      <xdr:col>18</xdr:col>
      <xdr:colOff>52995</xdr:colOff>
      <xdr:row>110</xdr:row>
      <xdr:rowOff>130969</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54428</xdr:colOff>
      <xdr:row>93</xdr:row>
      <xdr:rowOff>116417</xdr:rowOff>
    </xdr:from>
    <xdr:to>
      <xdr:col>18</xdr:col>
      <xdr:colOff>52996</xdr:colOff>
      <xdr:row>110</xdr:row>
      <xdr:rowOff>130968</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54158</xdr:colOff>
      <xdr:row>93</xdr:row>
      <xdr:rowOff>119135</xdr:rowOff>
    </xdr:from>
    <xdr:to>
      <xdr:col>18</xdr:col>
      <xdr:colOff>52726</xdr:colOff>
      <xdr:row>110</xdr:row>
      <xdr:rowOff>130969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495300</xdr:colOff>
      <xdr:row>299</xdr:row>
      <xdr:rowOff>184150</xdr:rowOff>
    </xdr:from>
    <xdr:to>
      <xdr:col>1</xdr:col>
      <xdr:colOff>1949129</xdr:colOff>
      <xdr:row>301</xdr:row>
      <xdr:rowOff>10432</xdr:rowOff>
    </xdr:to>
    <xdr:grpSp>
      <xdr:nvGrpSpPr>
        <xdr:cNvPr id="18" name="Group 17">
          <a:extLst>
            <a:ext uri="{FF2B5EF4-FFF2-40B4-BE49-F238E27FC236}">
              <a16:creationId xmlns:a16="http://schemas.microsoft.com/office/drawing/2014/main" id="{00000000-0008-0000-0900-000012000000}"/>
            </a:ext>
          </a:extLst>
        </xdr:cNvPr>
        <xdr:cNvGrpSpPr/>
      </xdr:nvGrpSpPr>
      <xdr:grpSpPr>
        <a:xfrm>
          <a:off x="495300" y="41395650"/>
          <a:ext cx="1955479" cy="842282"/>
          <a:chOff x="482600" y="12822918"/>
          <a:chExt cx="1955479" cy="842282"/>
        </a:xfrm>
      </xdr:grpSpPr>
      <xdr:pic>
        <xdr:nvPicPr>
          <xdr:cNvPr id="19" name="Pictur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0" name="Pictur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9"/>
          <a:stretch>
            <a:fillRect/>
          </a:stretch>
        </xdr:blipFill>
        <xdr:spPr>
          <a:xfrm>
            <a:off x="482600" y="12822918"/>
            <a:ext cx="1071996" cy="84228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85725</xdr:colOff>
      <xdr:row>2</xdr:row>
      <xdr:rowOff>38100</xdr:rowOff>
    </xdr:from>
    <xdr:to>
      <xdr:col>3</xdr:col>
      <xdr:colOff>1104900</xdr:colOff>
      <xdr:row>4</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85725" y="819150"/>
          <a:ext cx="6219825"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sheet is </a:t>
          </a:r>
        </a:p>
      </xdr:txBody>
    </xdr:sp>
    <xdr:clientData/>
  </xdr:twoCellAnchor>
  <xdr:twoCellAnchor>
    <xdr:from>
      <xdr:col>0</xdr:col>
      <xdr:colOff>85723</xdr:colOff>
      <xdr:row>2</xdr:row>
      <xdr:rowOff>38100</xdr:rowOff>
    </xdr:from>
    <xdr:to>
      <xdr:col>5</xdr:col>
      <xdr:colOff>771525</xdr:colOff>
      <xdr:row>12</xdr:row>
      <xdr:rowOff>57151</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85723" y="819150"/>
          <a:ext cx="10096502" cy="2686051"/>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On this sheet, you can enter mobile</a:t>
          </a:r>
          <a:r>
            <a:rPr lang="en-US" sz="1100" baseline="0">
              <a:solidFill>
                <a:schemeClr val="dk1"/>
              </a:solidFill>
              <a:latin typeface="+mn-lt"/>
              <a:ea typeface="+mn-ea"/>
              <a:cs typeface="+mn-cs"/>
            </a:rPr>
            <a:t> </a:t>
          </a:r>
          <a:r>
            <a:rPr lang="en-US" sz="1100">
              <a:solidFill>
                <a:schemeClr val="dk1"/>
              </a:solidFill>
              <a:latin typeface="+mn-lt"/>
              <a:ea typeface="+mn-ea"/>
              <a:cs typeface="+mn-cs"/>
            </a:rPr>
            <a:t>fuel combustion for each entity for which you have data.  </a:t>
          </a:r>
          <a:r>
            <a:rPr lang="en-US" sz="1100" baseline="0">
              <a:solidFill>
                <a:schemeClr val="dk1"/>
              </a:solidFill>
              <a:effectLst/>
              <a:latin typeface="+mn-lt"/>
              <a:ea typeface="+mn-ea"/>
              <a:cs typeface="+mn-cs"/>
            </a:rPr>
            <a:t>For additional information on obtaining or calculating fuel consumption data, refer to the Global Protocol for Community-Scale Greenhouse Gas Emissions. This Protocol advises that at minimum, communities</a:t>
          </a:r>
          <a:r>
            <a:rPr lang="en-US" sz="1100" b="0" i="0" u="none" strike="noStrike" baseline="0">
              <a:solidFill>
                <a:schemeClr val="dk1"/>
              </a:solidFill>
              <a:latin typeface="+mn-lt"/>
              <a:ea typeface="+mn-ea"/>
              <a:cs typeface="+mn-cs"/>
            </a:rPr>
            <a:t> should calculate the total in-boundary tailpipe emissions from on-road transportation. Emissions from trips that both originate </a:t>
          </a:r>
          <a:r>
            <a:rPr lang="en-US" sz="1100" b="0" i="1" u="none" strike="noStrike" baseline="0">
              <a:solidFill>
                <a:schemeClr val="dk1"/>
              </a:solidFill>
              <a:latin typeface="+mn-lt"/>
              <a:ea typeface="+mn-ea"/>
              <a:cs typeface="+mn-cs"/>
            </a:rPr>
            <a:t>and</a:t>
          </a:r>
          <a:r>
            <a:rPr lang="en-US" sz="1100" b="0" i="0" u="none" strike="noStrike" baseline="0">
              <a:solidFill>
                <a:schemeClr val="dk1"/>
              </a:solidFill>
              <a:latin typeface="+mn-lt"/>
              <a:ea typeface="+mn-ea"/>
              <a:cs typeface="+mn-cs"/>
            </a:rPr>
            <a:t> end within the geopolitical boundary of the ommunity should be reported as direct emissions in this worksheet (Scope 1). </a:t>
          </a:r>
          <a:r>
            <a:rPr lang="en-US" sz="1100" b="1">
              <a:solidFill>
                <a:schemeClr val="dk1"/>
              </a:solidFill>
              <a:effectLst/>
              <a:latin typeface="+mn-lt"/>
              <a:ea typeface="+mn-ea"/>
              <a:cs typeface="+mn-cs"/>
            </a:rPr>
            <a:t>Note: Any electricity consumption from electric vehicles should be accounted for as electricity under Scope 2 on the Electricity-Entry tab. </a:t>
          </a:r>
          <a:endParaRPr lang="en-US">
            <a:effectLst/>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To use the form below, first enter the data for a given unit, then click "Add/Update Record." The data will be saved, and the fields will remain filled in. The purpose of this process is to facilitate similar data entries for multiple entities. </a:t>
          </a:r>
          <a:r>
            <a:rPr lang="en-US" sz="1100" b="1">
              <a:solidFill>
                <a:schemeClr val="dk1"/>
              </a:solidFill>
              <a:latin typeface="+mn-lt"/>
              <a:ea typeface="+mn-ea"/>
              <a:cs typeface="+mn-cs"/>
            </a:rPr>
            <a:t>Note:</a:t>
          </a:r>
          <a:r>
            <a:rPr lang="en-US" sz="1100">
              <a:solidFill>
                <a:schemeClr val="dk1"/>
              </a:solidFill>
              <a:latin typeface="+mn-lt"/>
              <a:ea typeface="+mn-ea"/>
              <a:cs typeface="+mn-cs"/>
            </a:rPr>
            <a:t> </a:t>
          </a:r>
          <a:r>
            <a:rPr lang="en-US" sz="1100" b="1">
              <a:solidFill>
                <a:schemeClr val="dk1"/>
              </a:solidFill>
              <a:latin typeface="+mn-lt"/>
              <a:ea typeface="+mn-ea"/>
              <a:cs typeface="+mn-cs"/>
            </a:rPr>
            <a:t>you will receive a confirmation message when the record has been successfully added</a:t>
          </a:r>
          <a:r>
            <a:rPr lang="en-US" sz="1100">
              <a:solidFill>
                <a:schemeClr val="dk1"/>
              </a:solidFill>
              <a:latin typeface="+mn-lt"/>
              <a:ea typeface="+mn-ea"/>
              <a:cs typeface="+mn-cs"/>
            </a:rPr>
            <a:t>. At any point, you may click "Reset Form" to clear all fields. (If you would like to enter more than one record at a time, you may proceed to the "Mobile-Data" sheet and directly add data there.)</a:t>
          </a:r>
          <a:endParaRPr lang="en-US"/>
        </a:p>
        <a:p>
          <a:endParaRPr lang="en-US" sz="1100">
            <a:solidFill>
              <a:schemeClr val="dk1"/>
            </a:solidFill>
            <a:latin typeface="+mn-lt"/>
            <a:ea typeface="+mn-ea"/>
            <a:cs typeface="+mn-cs"/>
          </a:endParaRPr>
        </a:p>
        <a:p>
          <a:r>
            <a:rPr lang="en-US" sz="1100">
              <a:solidFill>
                <a:schemeClr val="dk1"/>
              </a:solidFill>
              <a:latin typeface="+mn-lt"/>
              <a:ea typeface="+mn-ea"/>
              <a:cs typeface="+mn-cs"/>
            </a:rPr>
            <a:t>If you would like to change any aspect of a previous entry, select "Edit Record." A drop-down menu will appear. Select the entry you would like to change, make changes to the entry fields as needed, then click "Add/Update Record." To delete a record entirely, click the "Delete Record" button. A dropdown menu will appear for you to select the entry to delete. After you confirm that you would like the entry deleted, the saved data will be erased. </a:t>
          </a:r>
        </a:p>
        <a:p>
          <a:endParaRPr lang="en-US" sz="1100">
            <a:solidFill>
              <a:schemeClr val="dk1"/>
            </a:solidFill>
            <a:latin typeface="+mn-lt"/>
            <a:ea typeface="+mn-ea"/>
            <a:cs typeface="+mn-cs"/>
          </a:endParaRPr>
        </a:p>
        <a:p>
          <a:r>
            <a:rPr lang="en-US" sz="1100" b="1">
              <a:solidFill>
                <a:schemeClr val="dk1"/>
              </a:solidFill>
              <a:latin typeface="+mn-lt"/>
              <a:ea typeface="+mn-ea"/>
              <a:cs typeface="+mn-cs"/>
            </a:rPr>
            <a:t>After</a:t>
          </a:r>
          <a:r>
            <a:rPr lang="en-US" sz="1100" b="1" baseline="0">
              <a:solidFill>
                <a:schemeClr val="dk1"/>
              </a:solidFill>
              <a:latin typeface="+mn-lt"/>
              <a:ea typeface="+mn-ea"/>
              <a:cs typeface="+mn-cs"/>
            </a:rPr>
            <a:t> you have completed data entry, please click on the "</a:t>
          </a:r>
          <a:r>
            <a:rPr lang="en-US" sz="1100" b="1" baseline="0">
              <a:solidFill>
                <a:srgbClr val="FF0000"/>
              </a:solidFill>
              <a:latin typeface="+mn-lt"/>
              <a:ea typeface="+mn-ea"/>
              <a:cs typeface="+mn-cs"/>
            </a:rPr>
            <a:t>Update Calculations</a:t>
          </a:r>
          <a:r>
            <a:rPr lang="en-US" sz="1100" b="1" baseline="0">
              <a:solidFill>
                <a:schemeClr val="dk1"/>
              </a:solidFill>
              <a:latin typeface="+mn-lt"/>
              <a:ea typeface="+mn-ea"/>
              <a:cs typeface="+mn-cs"/>
            </a:rPr>
            <a:t>" button in Step 2.</a:t>
          </a:r>
          <a:endParaRPr lang="en-US" b="1"/>
        </a:p>
        <a:p>
          <a:pPr fontAlgn="base"/>
          <a:endParaRPr lang="en-US" sz="1100"/>
        </a:p>
      </xdr:txBody>
    </xdr:sp>
    <xdr:clientData/>
  </xdr:twoCellAnchor>
  <xdr:twoCellAnchor editAs="oneCell">
    <xdr:from>
      <xdr:col>4</xdr:col>
      <xdr:colOff>771525</xdr:colOff>
      <xdr:row>0</xdr:row>
      <xdr:rowOff>47625</xdr:rowOff>
    </xdr:from>
    <xdr:to>
      <xdr:col>6</xdr:col>
      <xdr:colOff>234950</xdr:colOff>
      <xdr:row>0</xdr:row>
      <xdr:rowOff>428498</xdr:rowOff>
    </xdr:to>
    <xdr:sp macro="" textlink="">
      <xdr:nvSpPr>
        <xdr:cNvPr id="4" name="Rounded Rectangle 3">
          <a:extLst>
            <a:ext uri="{FF2B5EF4-FFF2-40B4-BE49-F238E27FC236}">
              <a16:creationId xmlns:a16="http://schemas.microsoft.com/office/drawing/2014/main" id="{00000000-0008-0000-0B00-000004000000}"/>
            </a:ext>
          </a:extLst>
        </xdr:cNvPr>
        <xdr:cNvSpPr/>
      </xdr:nvSpPr>
      <xdr:spPr>
        <a:xfrm>
          <a:off x="8162925" y="47625"/>
          <a:ext cx="26479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3</xdr:col>
      <xdr:colOff>1343025</xdr:colOff>
      <xdr:row>0</xdr:row>
      <xdr:rowOff>49149</xdr:rowOff>
    </xdr:from>
    <xdr:to>
      <xdr:col>4</xdr:col>
      <xdr:colOff>704850</xdr:colOff>
      <xdr:row>0</xdr:row>
      <xdr:rowOff>426974</xdr:rowOff>
    </xdr:to>
    <xdr:sp macro="" textlink="">
      <xdr:nvSpPr>
        <xdr:cNvPr id="5" name="Left Arrow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6619875"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xdr:col>
      <xdr:colOff>1266825</xdr:colOff>
      <xdr:row>34</xdr:row>
      <xdr:rowOff>123825</xdr:rowOff>
    </xdr:from>
    <xdr:to>
      <xdr:col>2</xdr:col>
      <xdr:colOff>1019175</xdr:colOff>
      <xdr:row>37</xdr:row>
      <xdr:rowOff>104775</xdr:rowOff>
    </xdr:to>
    <xdr:sp macro="[0]!Sheet11.UpdateCalcs" textlink="">
      <xdr:nvSpPr>
        <xdr:cNvPr id="6" name="toc_StatSummary">
          <a:extLst>
            <a:ext uri="{FF2B5EF4-FFF2-40B4-BE49-F238E27FC236}">
              <a16:creationId xmlns:a16="http://schemas.microsoft.com/office/drawing/2014/main" id="{00000000-0008-0000-0B00-000006000000}"/>
            </a:ext>
          </a:extLst>
        </xdr:cNvPr>
        <xdr:cNvSpPr/>
      </xdr:nvSpPr>
      <xdr:spPr>
        <a:xfrm>
          <a:off x="1857375" y="7391400"/>
          <a:ext cx="1638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0" cap="none" spc="0">
              <a:ln>
                <a:noFill/>
              </a:ln>
              <a:solidFill>
                <a:schemeClr val="bg1"/>
              </a:solidFill>
              <a:effectLst/>
            </a:rPr>
            <a:t>Update</a:t>
          </a:r>
          <a:r>
            <a:rPr lang="en-US" sz="1100" b="0" cap="none" spc="0" baseline="0">
              <a:ln>
                <a:noFill/>
              </a:ln>
              <a:solidFill>
                <a:schemeClr val="bg1"/>
              </a:solidFill>
              <a:effectLst/>
            </a:rPr>
            <a:t> Calculations</a:t>
          </a:r>
        </a:p>
      </xdr:txBody>
    </xdr:sp>
    <xdr:clientData/>
  </xdr:twoCellAnchor>
  <mc:AlternateContent xmlns:mc="http://schemas.openxmlformats.org/markup-compatibility/2006">
    <mc:Choice xmlns:a14="http://schemas.microsoft.com/office/drawing/2010/main" Requires="a14">
      <xdr:twoCellAnchor>
        <xdr:from>
          <xdr:col>1</xdr:col>
          <xdr:colOff>488950</xdr:colOff>
          <xdr:row>28</xdr:row>
          <xdr:rowOff>209550</xdr:rowOff>
        </xdr:from>
        <xdr:to>
          <xdr:col>2</xdr:col>
          <xdr:colOff>146050</xdr:colOff>
          <xdr:row>29</xdr:row>
          <xdr:rowOff>165100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B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Add/Update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488950</xdr:colOff>
          <xdr:row>30</xdr:row>
          <xdr:rowOff>146050</xdr:rowOff>
        </xdr:from>
        <xdr:to>
          <xdr:col>2</xdr:col>
          <xdr:colOff>584200</xdr:colOff>
          <xdr:row>32</xdr:row>
          <xdr:rowOff>50800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B00-00001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Edit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889000</xdr:colOff>
          <xdr:row>30</xdr:row>
          <xdr:rowOff>146050</xdr:rowOff>
        </xdr:from>
        <xdr:to>
          <xdr:col>2</xdr:col>
          <xdr:colOff>1936750</xdr:colOff>
          <xdr:row>32</xdr:row>
          <xdr:rowOff>50800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B00-00001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660400</xdr:colOff>
          <xdr:row>28</xdr:row>
          <xdr:rowOff>222250</xdr:rowOff>
        </xdr:from>
        <xdr:to>
          <xdr:col>2</xdr:col>
          <xdr:colOff>1936750</xdr:colOff>
          <xdr:row>29</xdr:row>
          <xdr:rowOff>165100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B00-00001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0</xdr:row>
          <xdr:rowOff>107950</xdr:rowOff>
        </xdr:from>
        <xdr:to>
          <xdr:col>6</xdr:col>
          <xdr:colOff>190500</xdr:colOff>
          <xdr:row>0</xdr:row>
          <xdr:rowOff>374650</xdr:rowOff>
        </xdr:to>
        <xdr:sp macro="" textlink="">
          <xdr:nvSpPr>
            <xdr:cNvPr id="3092" name="ck_comp_MobileEntry" hidden="1">
              <a:extLst>
                <a:ext uri="{63B3BB69-23CF-44E3-9099-C40C66FF867C}">
                  <a14:compatExt spid="_x0000_s3092"/>
                </a:ext>
                <a:ext uri="{FF2B5EF4-FFF2-40B4-BE49-F238E27FC236}">
                  <a16:creationId xmlns:a16="http://schemas.microsoft.com/office/drawing/2014/main" id="{00000000-0008-0000-0B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361950</xdr:colOff>
      <xdr:row>40</xdr:row>
      <xdr:rowOff>209550</xdr:rowOff>
    </xdr:from>
    <xdr:to>
      <xdr:col>1</xdr:col>
      <xdr:colOff>1701479</xdr:colOff>
      <xdr:row>42</xdr:row>
      <xdr:rowOff>16782</xdr:rowOff>
    </xdr:to>
    <xdr:grpSp>
      <xdr:nvGrpSpPr>
        <xdr:cNvPr id="15" name="Group 14">
          <a:extLst>
            <a:ext uri="{FF2B5EF4-FFF2-40B4-BE49-F238E27FC236}">
              <a16:creationId xmlns:a16="http://schemas.microsoft.com/office/drawing/2014/main" id="{00000000-0008-0000-0B00-00000F000000}"/>
            </a:ext>
          </a:extLst>
        </xdr:cNvPr>
        <xdr:cNvGrpSpPr/>
      </xdr:nvGrpSpPr>
      <xdr:grpSpPr>
        <a:xfrm>
          <a:off x="361950" y="9398000"/>
          <a:ext cx="1955479" cy="842282"/>
          <a:chOff x="482600" y="12822918"/>
          <a:chExt cx="1955479" cy="842282"/>
        </a:xfrm>
      </xdr:grpSpPr>
      <xdr:pic>
        <xdr:nvPicPr>
          <xdr:cNvPr id="16" name="Picture 15">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7" name="Picture 16">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695325</xdr:colOff>
      <xdr:row>0</xdr:row>
      <xdr:rowOff>57150</xdr:rowOff>
    </xdr:from>
    <xdr:to>
      <xdr:col>8</xdr:col>
      <xdr:colOff>1130300</xdr:colOff>
      <xdr:row>0</xdr:row>
      <xdr:rowOff>441198</xdr:rowOff>
    </xdr:to>
    <xdr:sp macro="" textlink="">
      <xdr:nvSpPr>
        <xdr:cNvPr id="3" name="Rounded Rectangle 2">
          <a:extLst>
            <a:ext uri="{FF2B5EF4-FFF2-40B4-BE49-F238E27FC236}">
              <a16:creationId xmlns:a16="http://schemas.microsoft.com/office/drawing/2014/main" id="{00000000-0008-0000-0C00-000003000000}"/>
            </a:ext>
          </a:extLst>
        </xdr:cNvPr>
        <xdr:cNvSpPr/>
      </xdr:nvSpPr>
      <xdr:spPr>
        <a:xfrm>
          <a:off x="8706908" y="57150"/>
          <a:ext cx="2650067"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5</xdr:col>
      <xdr:colOff>714375</xdr:colOff>
      <xdr:row>0</xdr:row>
      <xdr:rowOff>58674</xdr:rowOff>
    </xdr:from>
    <xdr:to>
      <xdr:col>6</xdr:col>
      <xdr:colOff>628650</xdr:colOff>
      <xdr:row>0</xdr:row>
      <xdr:rowOff>439674</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7172325" y="58674"/>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0</xdr:col>
      <xdr:colOff>123825</xdr:colOff>
      <xdr:row>1</xdr:row>
      <xdr:rowOff>85725</xdr:rowOff>
    </xdr:from>
    <xdr:to>
      <xdr:col>6</xdr:col>
      <xdr:colOff>752475</xdr:colOff>
      <xdr:row>3</xdr:row>
      <xdr:rowOff>85725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23825" y="571500"/>
          <a:ext cx="8667750" cy="9715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This sheet stores</a:t>
          </a:r>
          <a:r>
            <a:rPr lang="en-US" sz="1100" baseline="0">
              <a:solidFill>
                <a:schemeClr val="dk1"/>
              </a:solidFill>
              <a:latin typeface="+mn-lt"/>
              <a:ea typeface="+mn-ea"/>
              <a:cs typeface="+mn-cs"/>
            </a:rPr>
            <a:t> the individual data records added via the form on the previous sheet. If you wish to add multiple records  at once without using the input form, you may directly add data to this sheet. Please click on the button to the right to generate a template file with instructions for this process. Please be careful to follow the instructions and enter data using the format and parameters specified in the template. </a:t>
          </a:r>
          <a:endParaRPr lang="en-US" sz="1100">
            <a:solidFill>
              <a:schemeClr val="dk1"/>
            </a:solidFill>
            <a:latin typeface="+mn-lt"/>
            <a:ea typeface="+mn-ea"/>
            <a:cs typeface="+mn-cs"/>
          </a:endParaRPr>
        </a:p>
      </xdr:txBody>
    </xdr:sp>
    <xdr:clientData/>
  </xdr:twoCellAnchor>
  <xdr:twoCellAnchor>
    <xdr:from>
      <xdr:col>7</xdr:col>
      <xdr:colOff>190500</xdr:colOff>
      <xdr:row>2</xdr:row>
      <xdr:rowOff>66675</xdr:rowOff>
    </xdr:from>
    <xdr:to>
      <xdr:col>8</xdr:col>
      <xdr:colOff>695325</xdr:colOff>
      <xdr:row>2</xdr:row>
      <xdr:rowOff>628650</xdr:rowOff>
    </xdr:to>
    <xdr:sp macro="[0]!GetMobileDataTemplate" textlink="">
      <xdr:nvSpPr>
        <xdr:cNvPr id="7" name="toc_StatSummary">
          <a:extLst>
            <a:ext uri="{FF2B5EF4-FFF2-40B4-BE49-F238E27FC236}">
              <a16:creationId xmlns:a16="http://schemas.microsoft.com/office/drawing/2014/main" id="{00000000-0008-0000-0C00-000007000000}"/>
            </a:ext>
          </a:extLst>
        </xdr:cNvPr>
        <xdr:cNvSpPr/>
      </xdr:nvSpPr>
      <xdr:spPr>
        <a:xfrm>
          <a:off x="9305925" y="742950"/>
          <a:ext cx="1638300" cy="5619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0" cap="none" spc="0">
              <a:ln>
                <a:noFill/>
              </a:ln>
              <a:solidFill>
                <a:schemeClr val="bg1"/>
              </a:solidFill>
              <a:effectLst/>
            </a:rPr>
            <a:t>Create Data</a:t>
          </a:r>
          <a:r>
            <a:rPr lang="en-US" sz="1100" b="0" cap="none" spc="0" baseline="0">
              <a:ln>
                <a:noFill/>
              </a:ln>
              <a:solidFill>
                <a:schemeClr val="bg1"/>
              </a:solidFill>
              <a:effectLst/>
            </a:rPr>
            <a:t> File Template</a:t>
          </a:r>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0</xdr:row>
          <xdr:rowOff>114300</xdr:rowOff>
        </xdr:from>
        <xdr:to>
          <xdr:col>8</xdr:col>
          <xdr:colOff>1085850</xdr:colOff>
          <xdr:row>0</xdr:row>
          <xdr:rowOff>381000</xdr:rowOff>
        </xdr:to>
        <xdr:sp macro="" textlink="">
          <xdr:nvSpPr>
            <xdr:cNvPr id="28673" name="ck_comp_MobileData" hidden="1">
              <a:extLst>
                <a:ext uri="{63B3BB69-23CF-44E3-9099-C40C66FF867C}">
                  <a14:compatExt spid="_x0000_s28673"/>
                </a:ext>
                <a:ext uri="{FF2B5EF4-FFF2-40B4-BE49-F238E27FC236}">
                  <a16:creationId xmlns:a16="http://schemas.microsoft.com/office/drawing/2014/main" id="{00000000-0008-0000-0C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114300</xdr:colOff>
      <xdr:row>153</xdr:row>
      <xdr:rowOff>85724</xdr:rowOff>
    </xdr:from>
    <xdr:to>
      <xdr:col>8</xdr:col>
      <xdr:colOff>76200</xdr:colOff>
      <xdr:row>159</xdr:row>
      <xdr:rowOff>158749</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114300" y="25993724"/>
          <a:ext cx="6280150" cy="121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This</a:t>
          </a:r>
          <a:r>
            <a:rPr lang="en-US" sz="1100" baseline="0">
              <a:solidFill>
                <a:schemeClr val="dk1"/>
              </a:solidFill>
              <a:latin typeface="+mn-lt"/>
              <a:ea typeface="+mn-ea"/>
              <a:cs typeface="+mn-cs"/>
            </a:rPr>
            <a:t> sheet calculates non-CO</a:t>
          </a:r>
          <a:r>
            <a:rPr lang="en-US" sz="1100" baseline="-25000">
              <a:solidFill>
                <a:schemeClr val="dk1"/>
              </a:solidFill>
              <a:latin typeface="+mn-lt"/>
              <a:ea typeface="+mn-ea"/>
              <a:cs typeface="+mn-cs"/>
            </a:rPr>
            <a:t>2</a:t>
          </a:r>
          <a:r>
            <a:rPr lang="en-US" sz="1100" baseline="0">
              <a:solidFill>
                <a:schemeClr val="dk1"/>
              </a:solidFill>
              <a:latin typeface="+mn-lt"/>
              <a:ea typeface="+mn-ea"/>
              <a:cs typeface="+mn-cs"/>
            </a:rPr>
            <a:t> emissions from mobile sources one sector at a time.  Please select each sector, and then click the "Update CH</a:t>
          </a:r>
          <a:r>
            <a:rPr lang="en-US" sz="1100" baseline="-25000">
              <a:solidFill>
                <a:schemeClr val="dk1"/>
              </a:solidFill>
              <a:latin typeface="+mn-lt"/>
              <a:ea typeface="+mn-ea"/>
              <a:cs typeface="+mn-cs"/>
            </a:rPr>
            <a:t>4</a:t>
          </a:r>
          <a:r>
            <a:rPr lang="en-US" sz="1100" baseline="0">
              <a:solidFill>
                <a:schemeClr val="dk1"/>
              </a:solidFill>
              <a:latin typeface="+mn-lt"/>
              <a:ea typeface="+mn-ea"/>
              <a:cs typeface="+mn-cs"/>
            </a:rPr>
            <a:t>/N</a:t>
          </a:r>
          <a:r>
            <a:rPr lang="en-US" sz="1100" baseline="-25000">
              <a:solidFill>
                <a:schemeClr val="dk1"/>
              </a:solidFill>
              <a:latin typeface="+mn-lt"/>
              <a:ea typeface="+mn-ea"/>
              <a:cs typeface="+mn-cs"/>
            </a:rPr>
            <a:t>2</a:t>
          </a:r>
          <a:r>
            <a:rPr lang="en-US" sz="1100" baseline="0">
              <a:solidFill>
                <a:schemeClr val="dk1"/>
              </a:solidFill>
              <a:latin typeface="+mn-lt"/>
              <a:ea typeface="+mn-ea"/>
              <a:cs typeface="+mn-cs"/>
            </a:rPr>
            <a:t>O" button at the top of the screen. </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The calculations are separated into three vehicle categories: 1) highway vehicle, 2)  alternate fuel highway vehicles, and 3) motorcycles and other non-highway vehicles. Each category has distinct CH</a:t>
          </a:r>
          <a:r>
            <a:rPr lang="en-US" sz="1100" baseline="-25000">
              <a:solidFill>
                <a:schemeClr val="dk1"/>
              </a:solidFill>
              <a:latin typeface="+mn-lt"/>
              <a:ea typeface="+mn-ea"/>
              <a:cs typeface="+mn-cs"/>
            </a:rPr>
            <a:t>4</a:t>
          </a:r>
          <a:r>
            <a:rPr lang="en-US" sz="1100" baseline="0">
              <a:solidFill>
                <a:schemeClr val="dk1"/>
              </a:solidFill>
              <a:latin typeface="+mn-lt"/>
              <a:ea typeface="+mn-ea"/>
              <a:cs typeface="+mn-cs"/>
            </a:rPr>
            <a:t> and N</a:t>
          </a:r>
          <a:r>
            <a:rPr lang="en-US" sz="1100" baseline="-25000">
              <a:solidFill>
                <a:schemeClr val="dk1"/>
              </a:solidFill>
              <a:latin typeface="+mn-lt"/>
              <a:ea typeface="+mn-ea"/>
              <a:cs typeface="+mn-cs"/>
            </a:rPr>
            <a:t>2</a:t>
          </a:r>
          <a:r>
            <a:rPr lang="en-US" sz="1100" baseline="0">
              <a:solidFill>
                <a:schemeClr val="dk1"/>
              </a:solidFill>
              <a:latin typeface="+mn-lt"/>
              <a:ea typeface="+mn-ea"/>
              <a:cs typeface="+mn-cs"/>
            </a:rPr>
            <a:t>O emission factors that depend on vehicle miles traveled.</a:t>
          </a:r>
          <a:endParaRPr lang="en-US" sz="1100">
            <a:solidFill>
              <a:schemeClr val="dk1"/>
            </a:solidFill>
            <a:latin typeface="+mn-lt"/>
            <a:ea typeface="+mn-ea"/>
            <a:cs typeface="+mn-cs"/>
          </a:endParaRPr>
        </a:p>
      </xdr:txBody>
    </xdr:sp>
    <xdr:clientData/>
  </xdr:twoCellAnchor>
  <xdr:twoCellAnchor editAs="oneCell">
    <xdr:from>
      <xdr:col>13</xdr:col>
      <xdr:colOff>222251</xdr:colOff>
      <xdr:row>0</xdr:row>
      <xdr:rowOff>52915</xdr:rowOff>
    </xdr:from>
    <xdr:to>
      <xdr:col>15</xdr:col>
      <xdr:colOff>295276</xdr:colOff>
      <xdr:row>0</xdr:row>
      <xdr:rowOff>430740</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12033251" y="52915"/>
          <a:ext cx="148590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xdr:col>
      <xdr:colOff>12700</xdr:colOff>
      <xdr:row>273</xdr:row>
      <xdr:rowOff>177800</xdr:rowOff>
    </xdr:from>
    <xdr:to>
      <xdr:col>2</xdr:col>
      <xdr:colOff>12379</xdr:colOff>
      <xdr:row>275</xdr:row>
      <xdr:rowOff>4082</xdr:rowOff>
    </xdr:to>
    <xdr:grpSp>
      <xdr:nvGrpSpPr>
        <xdr:cNvPr id="7" name="Group 6">
          <a:extLst>
            <a:ext uri="{FF2B5EF4-FFF2-40B4-BE49-F238E27FC236}">
              <a16:creationId xmlns:a16="http://schemas.microsoft.com/office/drawing/2014/main" id="{00000000-0008-0000-0E00-000007000000}"/>
            </a:ext>
          </a:extLst>
        </xdr:cNvPr>
        <xdr:cNvGrpSpPr/>
      </xdr:nvGrpSpPr>
      <xdr:grpSpPr>
        <a:xfrm>
          <a:off x="628650" y="37191950"/>
          <a:ext cx="1955479" cy="842282"/>
          <a:chOff x="482600" y="12822918"/>
          <a:chExt cx="1955479" cy="842282"/>
        </a:xfrm>
      </xdr:grpSpPr>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381001</xdr:colOff>
      <xdr:row>27</xdr:row>
      <xdr:rowOff>114299</xdr:rowOff>
    </xdr:from>
    <xdr:to>
      <xdr:col>10</xdr:col>
      <xdr:colOff>428625</xdr:colOff>
      <xdr:row>28</xdr:row>
      <xdr:rowOff>59530</xdr:rowOff>
    </xdr:to>
    <xdr:sp macro="" textlink="">
      <xdr:nvSpPr>
        <xdr:cNvPr id="17" name="Left Bracket 16">
          <a:extLst>
            <a:ext uri="{FF2B5EF4-FFF2-40B4-BE49-F238E27FC236}">
              <a16:creationId xmlns:a16="http://schemas.microsoft.com/office/drawing/2014/main" id="{00000000-0008-0000-0F00-000011000000}"/>
            </a:ext>
          </a:extLst>
        </xdr:cNvPr>
        <xdr:cNvSpPr/>
      </xdr:nvSpPr>
      <xdr:spPr>
        <a:xfrm rot="5400000" flipH="1">
          <a:off x="5599510" y="194072"/>
          <a:ext cx="135731" cy="6143624"/>
        </a:xfrm>
        <a:prstGeom prst="leftBracket">
          <a:avLst/>
        </a:prstGeom>
        <a:ln>
          <a:prstDash val="dash"/>
          <a:headEnd type="arrow" w="med" len="med"/>
          <a:tailEnd type="none" w="med" len="med"/>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twoCellAnchor editAs="oneCell">
    <xdr:from>
      <xdr:col>13</xdr:col>
      <xdr:colOff>349219</xdr:colOff>
      <xdr:row>0</xdr:row>
      <xdr:rowOff>59530</xdr:rowOff>
    </xdr:from>
    <xdr:to>
      <xdr:col>15</xdr:col>
      <xdr:colOff>410602</xdr:colOff>
      <xdr:row>0</xdr:row>
      <xdr:rowOff>440530</xdr:rowOff>
    </xdr:to>
    <xdr:sp macro="" textlink="">
      <xdr:nvSpPr>
        <xdr:cNvPr id="7" name="Left Arrow 6">
          <a:hlinkClick xmlns:r="http://schemas.openxmlformats.org/officeDocument/2006/relationships" r:id="rId1"/>
          <a:extLst>
            <a:ext uri="{FF2B5EF4-FFF2-40B4-BE49-F238E27FC236}">
              <a16:creationId xmlns:a16="http://schemas.microsoft.com/office/drawing/2014/main" id="{00000000-0008-0000-0F00-000007000000}"/>
            </a:ext>
          </a:extLst>
        </xdr:cNvPr>
        <xdr:cNvSpPr/>
      </xdr:nvSpPr>
      <xdr:spPr>
        <a:xfrm>
          <a:off x="10805552" y="59530"/>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mc:AlternateContent xmlns:mc="http://schemas.openxmlformats.org/markup-compatibility/2006">
    <mc:Choice xmlns:a14="http://schemas.microsoft.com/office/drawing/2010/main" Requires="a14">
      <xdr:twoCellAnchor>
        <xdr:from>
          <xdr:col>1</xdr:col>
          <xdr:colOff>1536698</xdr:colOff>
          <xdr:row>56</xdr:row>
          <xdr:rowOff>120658</xdr:rowOff>
        </xdr:from>
        <xdr:to>
          <xdr:col>6</xdr:col>
          <xdr:colOff>193673</xdr:colOff>
          <xdr:row>58</xdr:row>
          <xdr:rowOff>76208</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2152648" y="5232408"/>
              <a:ext cx="3857625" cy="323850"/>
              <a:chOff x="2047875" y="4067388"/>
              <a:chExt cx="2647958" cy="323853"/>
            </a:xfrm>
          </xdr:grpSpPr>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2047875" y="4067388"/>
                <a:ext cx="485775" cy="32385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Emissions</a:t>
                </a:r>
              </a:p>
            </xdr:txBody>
          </xdr:sp>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2762255" y="4133849"/>
                <a:ext cx="1933578" cy="1905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Energy Use</a:t>
                </a:r>
              </a:p>
            </xdr:txBody>
          </xdr:sp>
        </xdr:grpSp>
        <xdr:clientData/>
      </xdr:twoCellAnchor>
    </mc:Choice>
    <mc:Fallback/>
  </mc:AlternateContent>
  <xdr:twoCellAnchor>
    <xdr:from>
      <xdr:col>0</xdr:col>
      <xdr:colOff>590550</xdr:colOff>
      <xdr:row>79</xdr:row>
      <xdr:rowOff>184150</xdr:rowOff>
    </xdr:from>
    <xdr:to>
      <xdr:col>1</xdr:col>
      <xdr:colOff>1930079</xdr:colOff>
      <xdr:row>81</xdr:row>
      <xdr:rowOff>10432</xdr:rowOff>
    </xdr:to>
    <xdr:grpSp>
      <xdr:nvGrpSpPr>
        <xdr:cNvPr id="13" name="Group 12">
          <a:extLst>
            <a:ext uri="{FF2B5EF4-FFF2-40B4-BE49-F238E27FC236}">
              <a16:creationId xmlns:a16="http://schemas.microsoft.com/office/drawing/2014/main" id="{00000000-0008-0000-0F00-00000D000000}"/>
            </a:ext>
          </a:extLst>
        </xdr:cNvPr>
        <xdr:cNvGrpSpPr/>
      </xdr:nvGrpSpPr>
      <xdr:grpSpPr>
        <a:xfrm>
          <a:off x="590550" y="9531350"/>
          <a:ext cx="1955479" cy="842282"/>
          <a:chOff x="482600" y="12822918"/>
          <a:chExt cx="1955479" cy="842282"/>
        </a:xfrm>
      </xdr:grpSpPr>
      <xdr:pic>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2" name="Picture 21">
            <a:extLst>
              <a:ext uri="{FF2B5EF4-FFF2-40B4-BE49-F238E27FC236}">
                <a16:creationId xmlns:a16="http://schemas.microsoft.com/office/drawing/2014/main" id="{00000000-0008-0000-0F00-000016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twoCellAnchor>
    <xdr:from>
      <xdr:col>1</xdr:col>
      <xdr:colOff>95250</xdr:colOff>
      <xdr:row>59</xdr:row>
      <xdr:rowOff>34925</xdr:rowOff>
    </xdr:from>
    <xdr:to>
      <xdr:col>14</xdr:col>
      <xdr:colOff>219075</xdr:colOff>
      <xdr:row>79</xdr:row>
      <xdr:rowOff>53975</xdr:rowOff>
    </xdr:to>
    <xdr:graphicFrame macro="">
      <xdr:nvGraphicFramePr>
        <xdr:cNvPr id="19" name="Chart 18">
          <a:extLst>
            <a:ext uri="{FF2B5EF4-FFF2-40B4-BE49-F238E27FC236}">
              <a16:creationId xmlns:a16="http://schemas.microsoft.com/office/drawing/2014/main" id="{00000000-0008-0000-0F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95250</xdr:colOff>
      <xdr:row>59</xdr:row>
      <xdr:rowOff>34925</xdr:rowOff>
    </xdr:from>
    <xdr:to>
      <xdr:col>14</xdr:col>
      <xdr:colOff>219075</xdr:colOff>
      <xdr:row>79</xdr:row>
      <xdr:rowOff>53975</xdr:rowOff>
    </xdr:to>
    <xdr:graphicFrame macro="">
      <xdr:nvGraphicFramePr>
        <xdr:cNvPr id="20" name="Chart 19">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88900</xdr:colOff>
      <xdr:row>59</xdr:row>
      <xdr:rowOff>38099</xdr:rowOff>
    </xdr:from>
    <xdr:to>
      <xdr:col>14</xdr:col>
      <xdr:colOff>241300</xdr:colOff>
      <xdr:row>79</xdr:row>
      <xdr:rowOff>47624</xdr:rowOff>
    </xdr:to>
    <xdr:graphicFrame macro="">
      <xdr:nvGraphicFramePr>
        <xdr:cNvPr id="18" name="Chart 17">
          <a:extLst>
            <a:ext uri="{FF2B5EF4-FFF2-40B4-BE49-F238E27FC236}">
              <a16:creationId xmlns:a16="http://schemas.microsoft.com/office/drawing/2014/main" id="{00000000-0008-0000-0F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356425</xdr:colOff>
      <xdr:row>0</xdr:row>
      <xdr:rowOff>47625</xdr:rowOff>
    </xdr:from>
    <xdr:to>
      <xdr:col>11</xdr:col>
      <xdr:colOff>569150</xdr:colOff>
      <xdr:row>0</xdr:row>
      <xdr:rowOff>434848</xdr:rowOff>
    </xdr:to>
    <xdr:sp macro="" textlink="">
      <xdr:nvSpPr>
        <xdr:cNvPr id="2" name="Rounded Rectangle 1">
          <a:extLst>
            <a:ext uri="{FF2B5EF4-FFF2-40B4-BE49-F238E27FC236}">
              <a16:creationId xmlns:a16="http://schemas.microsoft.com/office/drawing/2014/main" id="{00000000-0008-0000-1000-000002000000}"/>
            </a:ext>
          </a:extLst>
        </xdr:cNvPr>
        <xdr:cNvSpPr/>
      </xdr:nvSpPr>
      <xdr:spPr>
        <a:xfrm>
          <a:off x="8100250" y="47625"/>
          <a:ext cx="26098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6</xdr:col>
      <xdr:colOff>819150</xdr:colOff>
      <xdr:row>0</xdr:row>
      <xdr:rowOff>49149</xdr:rowOff>
    </xdr:from>
    <xdr:to>
      <xdr:col>7</xdr:col>
      <xdr:colOff>282575</xdr:colOff>
      <xdr:row>0</xdr:row>
      <xdr:rowOff>436499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000-000003000000}"/>
            </a:ext>
          </a:extLst>
        </xdr:cNvPr>
        <xdr:cNvSpPr/>
      </xdr:nvSpPr>
      <xdr:spPr>
        <a:xfrm>
          <a:off x="6591300"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6</xdr:col>
      <xdr:colOff>352425</xdr:colOff>
      <xdr:row>12</xdr:row>
      <xdr:rowOff>85726</xdr:rowOff>
    </xdr:from>
    <xdr:to>
      <xdr:col>7</xdr:col>
      <xdr:colOff>104775</xdr:colOff>
      <xdr:row>15</xdr:row>
      <xdr:rowOff>28575</xdr:rowOff>
    </xdr:to>
    <xdr:sp macro="" textlink="">
      <xdr:nvSpPr>
        <xdr:cNvPr id="4" name="Pentagon 3">
          <a:hlinkClick xmlns:r="http://schemas.openxmlformats.org/officeDocument/2006/relationships" r:id="rId2"/>
          <a:extLst>
            <a:ext uri="{FF2B5EF4-FFF2-40B4-BE49-F238E27FC236}">
              <a16:creationId xmlns:a16="http://schemas.microsoft.com/office/drawing/2014/main" id="{00000000-0008-0000-1000-000004000000}"/>
            </a:ext>
          </a:extLst>
        </xdr:cNvPr>
        <xdr:cNvSpPr/>
      </xdr:nvSpPr>
      <xdr:spPr>
        <a:xfrm>
          <a:off x="6067425" y="2667001"/>
          <a:ext cx="1781175" cy="514349"/>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Calculate</a:t>
          </a:r>
          <a:r>
            <a:rPr lang="en-US" sz="1100" baseline="0"/>
            <a:t> Scope 3 Waste Production Emissions</a:t>
          </a:r>
          <a:endParaRPr lang="en-US" sz="1100"/>
        </a:p>
      </xdr:txBody>
    </xdr:sp>
    <xdr:clientData/>
  </xdr:twoCellAnchor>
  <xdr:twoCellAnchor>
    <xdr:from>
      <xdr:col>0</xdr:col>
      <xdr:colOff>228600</xdr:colOff>
      <xdr:row>2</xdr:row>
      <xdr:rowOff>0</xdr:rowOff>
    </xdr:from>
    <xdr:to>
      <xdr:col>11</xdr:col>
      <xdr:colOff>381000</xdr:colOff>
      <xdr:row>5</xdr:row>
      <xdr:rowOff>114300</xdr:rowOff>
    </xdr:to>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228600" y="666750"/>
          <a:ext cx="10775950" cy="6667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Use this sheet to answer</a:t>
          </a:r>
          <a:r>
            <a:rPr lang="en-US" sz="1100" baseline="0"/>
            <a:t> questions about your community's solid waste treatment activities. </a:t>
          </a:r>
        </a:p>
        <a:p>
          <a:r>
            <a:rPr lang="en-US" sz="1100" baseline="0"/>
            <a:t>Your answers to these questions will determine how your solid waste system emissions are calculated on the following sheets.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landfill rows do not appear after entering a response to question 3, navigate to another tab and then back again. </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2</xdr:col>
          <xdr:colOff>1828800</xdr:colOff>
          <xdr:row>10</xdr:row>
          <xdr:rowOff>12700</xdr:rowOff>
        </xdr:to>
        <xdr:sp macro="" textlink="">
          <xdr:nvSpPr>
            <xdr:cNvPr id="32778" name="Drop Down 10" hidden="1">
              <a:extLst>
                <a:ext uri="{63B3BB69-23CF-44E3-9099-C40C66FF867C}">
                  <a14:compatExt spid="_x0000_s32778"/>
                </a:ext>
                <a:ext uri="{FF2B5EF4-FFF2-40B4-BE49-F238E27FC236}">
                  <a16:creationId xmlns:a16="http://schemas.microsoft.com/office/drawing/2014/main" id="{00000000-0008-0000-1000-00000A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0</xdr:row>
          <xdr:rowOff>107950</xdr:rowOff>
        </xdr:from>
        <xdr:to>
          <xdr:col>11</xdr:col>
          <xdr:colOff>533400</xdr:colOff>
          <xdr:row>0</xdr:row>
          <xdr:rowOff>381000</xdr:rowOff>
        </xdr:to>
        <xdr:sp macro="" textlink="">
          <xdr:nvSpPr>
            <xdr:cNvPr id="32779" name="ck_comp_SWControl" hidden="1">
              <a:extLst>
                <a:ext uri="{63B3BB69-23CF-44E3-9099-C40C66FF867C}">
                  <a14:compatExt spid="_x0000_s32779"/>
                </a:ext>
                <a:ext uri="{FF2B5EF4-FFF2-40B4-BE49-F238E27FC236}">
                  <a16:creationId xmlns:a16="http://schemas.microsoft.com/office/drawing/2014/main" id="{00000000-0008-0000-1000-00000B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107950</xdr:colOff>
          <xdr:row>11</xdr:row>
          <xdr:rowOff>0</xdr:rowOff>
        </xdr:from>
        <xdr:to>
          <xdr:col>3</xdr:col>
          <xdr:colOff>565150</xdr:colOff>
          <xdr:row>11</xdr:row>
          <xdr:rowOff>0</xdr:rowOff>
        </xdr:to>
        <xdr:sp macro="" textlink="">
          <xdr:nvSpPr>
            <xdr:cNvPr id="32786" name="Spinner 18" hidden="1">
              <a:extLst>
                <a:ext uri="{63B3BB69-23CF-44E3-9099-C40C66FF867C}">
                  <a14:compatExt spid="_x0000_s32786"/>
                </a:ext>
                <a:ext uri="{FF2B5EF4-FFF2-40B4-BE49-F238E27FC236}">
                  <a16:creationId xmlns:a16="http://schemas.microsoft.com/office/drawing/2014/main" id="{00000000-0008-0000-1000-000012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292100</xdr:colOff>
      <xdr:row>40</xdr:row>
      <xdr:rowOff>184150</xdr:rowOff>
    </xdr:from>
    <xdr:to>
      <xdr:col>2</xdr:col>
      <xdr:colOff>1015679</xdr:colOff>
      <xdr:row>42</xdr:row>
      <xdr:rowOff>10432</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292100" y="4953000"/>
          <a:ext cx="1955479" cy="842282"/>
          <a:chOff x="482600" y="12822918"/>
          <a:chExt cx="1955479" cy="842282"/>
        </a:xfrm>
      </xdr:grpSpPr>
      <xdr:pic>
        <xdr:nvPicPr>
          <xdr:cNvPr id="13" name="Pictur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7" name="Pictur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4"/>
          <a:stretch>
            <a:fillRect/>
          </a:stretch>
        </xdr:blipFill>
        <xdr:spPr>
          <a:xfrm>
            <a:off x="482600" y="12822918"/>
            <a:ext cx="1071996" cy="842282"/>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10</xdr:col>
      <xdr:colOff>400050</xdr:colOff>
      <xdr:row>0</xdr:row>
      <xdr:rowOff>47625</xdr:rowOff>
    </xdr:from>
    <xdr:to>
      <xdr:col>13</xdr:col>
      <xdr:colOff>552450</xdr:colOff>
      <xdr:row>0</xdr:row>
      <xdr:rowOff>434848</xdr:rowOff>
    </xdr:to>
    <xdr:sp macro="" textlink="">
      <xdr:nvSpPr>
        <xdr:cNvPr id="2" name="Rounded Rectangle 1">
          <a:extLst>
            <a:ext uri="{FF2B5EF4-FFF2-40B4-BE49-F238E27FC236}">
              <a16:creationId xmlns:a16="http://schemas.microsoft.com/office/drawing/2014/main" id="{00000000-0008-0000-1100-000002000000}"/>
            </a:ext>
          </a:extLst>
        </xdr:cNvPr>
        <xdr:cNvSpPr/>
      </xdr:nvSpPr>
      <xdr:spPr>
        <a:xfrm>
          <a:off x="10372725" y="47625"/>
          <a:ext cx="262890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8</xdr:col>
      <xdr:colOff>476250</xdr:colOff>
      <xdr:row>0</xdr:row>
      <xdr:rowOff>49149</xdr:rowOff>
    </xdr:from>
    <xdr:to>
      <xdr:col>10</xdr:col>
      <xdr:colOff>339725</xdr:colOff>
      <xdr:row>0</xdr:row>
      <xdr:rowOff>436499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100-000003000000}"/>
            </a:ext>
          </a:extLst>
        </xdr:cNvPr>
        <xdr:cNvSpPr/>
      </xdr:nvSpPr>
      <xdr:spPr>
        <a:xfrm>
          <a:off x="8753475"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7</xdr:col>
      <xdr:colOff>19050</xdr:colOff>
      <xdr:row>14</xdr:row>
      <xdr:rowOff>28575</xdr:rowOff>
    </xdr:from>
    <xdr:to>
      <xdr:col>9</xdr:col>
      <xdr:colOff>85725</xdr:colOff>
      <xdr:row>16</xdr:row>
      <xdr:rowOff>161925</xdr:rowOff>
    </xdr:to>
    <xdr:sp macro="" textlink="">
      <xdr:nvSpPr>
        <xdr:cNvPr id="4" name="Pentagon 3">
          <a:hlinkClick xmlns:r="http://schemas.openxmlformats.org/officeDocument/2006/relationships" r:id="rId2"/>
          <a:extLst>
            <a:ext uri="{FF2B5EF4-FFF2-40B4-BE49-F238E27FC236}">
              <a16:creationId xmlns:a16="http://schemas.microsoft.com/office/drawing/2014/main" id="{00000000-0008-0000-1100-000004000000}"/>
            </a:ext>
          </a:extLst>
        </xdr:cNvPr>
        <xdr:cNvSpPr/>
      </xdr:nvSpPr>
      <xdr:spPr>
        <a:xfrm>
          <a:off x="7315200" y="1514475"/>
          <a:ext cx="1743075" cy="514350"/>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Go to Landfill</a:t>
          </a:r>
          <a:r>
            <a:rPr lang="en-US" sz="1100" baseline="0"/>
            <a:t> Emissions Tool</a:t>
          </a:r>
          <a:endParaRPr lang="en-US" sz="1100"/>
        </a:p>
      </xdr:txBody>
    </xdr:sp>
    <xdr:clientData/>
  </xdr:twoCellAnchor>
  <xdr:twoCellAnchor>
    <xdr:from>
      <xdr:col>1</xdr:col>
      <xdr:colOff>0</xdr:colOff>
      <xdr:row>85</xdr:row>
      <xdr:rowOff>0</xdr:rowOff>
    </xdr:from>
    <xdr:to>
      <xdr:col>8</xdr:col>
      <xdr:colOff>200026</xdr:colOff>
      <xdr:row>104</xdr:row>
      <xdr:rowOff>28576</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xdr:row>
      <xdr:rowOff>1</xdr:rowOff>
    </xdr:from>
    <xdr:to>
      <xdr:col>7</xdr:col>
      <xdr:colOff>723900</xdr:colOff>
      <xdr:row>8</xdr:row>
      <xdr:rowOff>0</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619125" y="676276"/>
          <a:ext cx="7743825" cy="1571624"/>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baseline="0">
              <a:solidFill>
                <a:schemeClr val="dk1"/>
              </a:solidFill>
              <a:effectLst/>
              <a:latin typeface="+mn-lt"/>
              <a:ea typeface="+mn-ea"/>
              <a:cs typeface="+mn-cs"/>
            </a:rPr>
            <a:t>Please provide any requested data in the yellow cells</a:t>
          </a:r>
          <a:r>
            <a:rPr lang="en-US" sz="1100" baseline="0">
              <a:solidFill>
                <a:schemeClr val="dk1"/>
              </a:solidFill>
              <a:effectLst/>
              <a:latin typeface="+mn-lt"/>
              <a:ea typeface="+mn-ea"/>
              <a:cs typeface="+mn-cs"/>
            </a:rPr>
            <a:t>. This calculation applies a First Order Decay (FOD) Method in order to calculate emissions from landfills. </a:t>
          </a:r>
        </a:p>
        <a:p>
          <a:endParaRPr lang="en-US" sz="1100"/>
        </a:p>
        <a:p>
          <a:r>
            <a:rPr lang="en-US" sz="1100"/>
            <a:t>If your</a:t>
          </a:r>
          <a:r>
            <a:rPr lang="en-US" sz="1100" baseline="0"/>
            <a:t> community has a landfill within its geopolitical boundaries, e</a:t>
          </a:r>
          <a:r>
            <a:rPr lang="en-US" sz="1100"/>
            <a:t>very landfill</a:t>
          </a:r>
          <a:r>
            <a:rPr lang="en-US" sz="1100" baseline="0"/>
            <a:t> you entered on the Solid Waste Control sheet is shown below under its designated categorization. The formulas shown below for landfills with landfill gas (LFG) collection systems are from the Local Government Operations Protocol and the Global Protocol for Community-Scale GHG Emissions. </a:t>
          </a:r>
        </a:p>
        <a:p>
          <a:endParaRPr lang="en-US" sz="1100" baseline="0"/>
        </a:p>
        <a:p>
          <a:r>
            <a:rPr lang="en-US" sz="1100" baseline="0"/>
            <a:t>For the methane content of LFG collected, you may choose to enter your own measured value or use a provided default. </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438150</xdr:colOff>
          <xdr:row>0</xdr:row>
          <xdr:rowOff>107950</xdr:rowOff>
        </xdr:from>
        <xdr:to>
          <xdr:col>13</xdr:col>
          <xdr:colOff>514350</xdr:colOff>
          <xdr:row>0</xdr:row>
          <xdr:rowOff>374650</xdr:rowOff>
        </xdr:to>
        <xdr:sp macro="" textlink="">
          <xdr:nvSpPr>
            <xdr:cNvPr id="38913" name="ck_comp_SWEntry" hidden="1">
              <a:extLst>
                <a:ext uri="{63B3BB69-23CF-44E3-9099-C40C66FF867C}">
                  <a14:compatExt spid="_x0000_s38913"/>
                </a:ext>
                <a:ext uri="{FF2B5EF4-FFF2-40B4-BE49-F238E27FC236}">
                  <a16:creationId xmlns:a16="http://schemas.microsoft.com/office/drawing/2014/main" id="{00000000-0008-0000-11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88900</xdr:colOff>
          <xdr:row>8</xdr:row>
          <xdr:rowOff>0</xdr:rowOff>
        </xdr:from>
        <xdr:to>
          <xdr:col>3</xdr:col>
          <xdr:colOff>952500</xdr:colOff>
          <xdr:row>8</xdr:row>
          <xdr:rowOff>0</xdr:rowOff>
        </xdr:to>
        <xdr:sp macro="" textlink="">
          <xdr:nvSpPr>
            <xdr:cNvPr id="38916" name="CheckBox1" hidden="1">
              <a:extLst>
                <a:ext uri="{63B3BB69-23CF-44E3-9099-C40C66FF867C}">
                  <a14:compatExt spid="_x0000_s38916"/>
                </a:ext>
                <a:ext uri="{FF2B5EF4-FFF2-40B4-BE49-F238E27FC236}">
                  <a16:creationId xmlns:a16="http://schemas.microsoft.com/office/drawing/2014/main" id="{00000000-0008-0000-11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8</xdr:row>
          <xdr:rowOff>0</xdr:rowOff>
        </xdr:from>
        <xdr:to>
          <xdr:col>5</xdr:col>
          <xdr:colOff>914400</xdr:colOff>
          <xdr:row>8</xdr:row>
          <xdr:rowOff>0</xdr:rowOff>
        </xdr:to>
        <xdr:sp macro="" textlink="">
          <xdr:nvSpPr>
            <xdr:cNvPr id="38918" name="CheckBox3" hidden="1">
              <a:extLst>
                <a:ext uri="{63B3BB69-23CF-44E3-9099-C40C66FF867C}">
                  <a14:compatExt spid="_x0000_s38918"/>
                </a:ext>
                <a:ext uri="{FF2B5EF4-FFF2-40B4-BE49-F238E27FC236}">
                  <a16:creationId xmlns:a16="http://schemas.microsoft.com/office/drawing/2014/main" id="{00000000-0008-0000-11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88900</xdr:colOff>
          <xdr:row>8</xdr:row>
          <xdr:rowOff>0</xdr:rowOff>
        </xdr:from>
        <xdr:to>
          <xdr:col>3</xdr:col>
          <xdr:colOff>914400</xdr:colOff>
          <xdr:row>8</xdr:row>
          <xdr:rowOff>0</xdr:rowOff>
        </xdr:to>
        <xdr:sp macro="" textlink="">
          <xdr:nvSpPr>
            <xdr:cNvPr id="38919" name="CheckBox2" hidden="1">
              <a:extLst>
                <a:ext uri="{63B3BB69-23CF-44E3-9099-C40C66FF867C}">
                  <a14:compatExt spid="_x0000_s38919"/>
                </a:ext>
                <a:ext uri="{FF2B5EF4-FFF2-40B4-BE49-F238E27FC236}">
                  <a16:creationId xmlns:a16="http://schemas.microsoft.com/office/drawing/2014/main" id="{00000000-0008-0000-11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8</xdr:row>
          <xdr:rowOff>0</xdr:rowOff>
        </xdr:from>
        <xdr:to>
          <xdr:col>5</xdr:col>
          <xdr:colOff>889000</xdr:colOff>
          <xdr:row>8</xdr:row>
          <xdr:rowOff>0</xdr:rowOff>
        </xdr:to>
        <xdr:sp macro="" textlink="">
          <xdr:nvSpPr>
            <xdr:cNvPr id="38920" name="CheckBox4" hidden="1">
              <a:extLst>
                <a:ext uri="{63B3BB69-23CF-44E3-9099-C40C66FF867C}">
                  <a14:compatExt spid="_x0000_s38920"/>
                </a:ext>
                <a:ext uri="{FF2B5EF4-FFF2-40B4-BE49-F238E27FC236}">
                  <a16:creationId xmlns:a16="http://schemas.microsoft.com/office/drawing/2014/main" id="{00000000-0008-0000-11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12700</xdr:colOff>
      <xdr:row>107</xdr:row>
      <xdr:rowOff>177800</xdr:rowOff>
    </xdr:from>
    <xdr:to>
      <xdr:col>2</xdr:col>
      <xdr:colOff>272729</xdr:colOff>
      <xdr:row>109</xdr:row>
      <xdr:rowOff>10432</xdr:rowOff>
    </xdr:to>
    <xdr:grpSp>
      <xdr:nvGrpSpPr>
        <xdr:cNvPr id="18" name="Group 17">
          <a:extLst>
            <a:ext uri="{FF2B5EF4-FFF2-40B4-BE49-F238E27FC236}">
              <a16:creationId xmlns:a16="http://schemas.microsoft.com/office/drawing/2014/main" id="{00000000-0008-0000-1100-000012000000}"/>
            </a:ext>
          </a:extLst>
        </xdr:cNvPr>
        <xdr:cNvGrpSpPr/>
      </xdr:nvGrpSpPr>
      <xdr:grpSpPr>
        <a:xfrm>
          <a:off x="628650" y="9728200"/>
          <a:ext cx="1955479" cy="842282"/>
          <a:chOff x="482600" y="12822918"/>
          <a:chExt cx="1955479" cy="842282"/>
        </a:xfrm>
      </xdr:grpSpPr>
      <xdr:pic>
        <xdr:nvPicPr>
          <xdr:cNvPr id="19" name="Picture 18">
            <a:extLst>
              <a:ext uri="{FF2B5EF4-FFF2-40B4-BE49-F238E27FC236}">
                <a16:creationId xmlns:a16="http://schemas.microsoft.com/office/drawing/2014/main" id="{00000000-0008-0000-11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0" name="Picture 19">
            <a:extLst>
              <a:ext uri="{FF2B5EF4-FFF2-40B4-BE49-F238E27FC236}">
                <a16:creationId xmlns:a16="http://schemas.microsoft.com/office/drawing/2014/main" id="{00000000-0008-0000-1100-000014000000}"/>
              </a:ext>
            </a:extLst>
          </xdr:cNvPr>
          <xdr:cNvPicPr>
            <a:picLocks noChangeAspect="1"/>
          </xdr:cNvPicPr>
        </xdr:nvPicPr>
        <xdr:blipFill>
          <a:blip xmlns:r="http://schemas.openxmlformats.org/officeDocument/2006/relationships" r:embed="rId5"/>
          <a:stretch>
            <a:fillRect/>
          </a:stretch>
        </xdr:blipFill>
        <xdr:spPr>
          <a:xfrm>
            <a:off x="482600" y="12822918"/>
            <a:ext cx="1071996" cy="842282"/>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389763</xdr:colOff>
      <xdr:row>0</xdr:row>
      <xdr:rowOff>47625</xdr:rowOff>
    </xdr:from>
    <xdr:to>
      <xdr:col>15</xdr:col>
      <xdr:colOff>8763</xdr:colOff>
      <xdr:row>0</xdr:row>
      <xdr:rowOff>431673</xdr:rowOff>
    </xdr:to>
    <xdr:sp macro="" textlink="">
      <xdr:nvSpPr>
        <xdr:cNvPr id="2" name="Rounded Rectangle 1">
          <a:extLst>
            <a:ext uri="{FF2B5EF4-FFF2-40B4-BE49-F238E27FC236}">
              <a16:creationId xmlns:a16="http://schemas.microsoft.com/office/drawing/2014/main" id="{00000000-0008-0000-1200-000002000000}"/>
            </a:ext>
          </a:extLst>
        </xdr:cNvPr>
        <xdr:cNvSpPr/>
      </xdr:nvSpPr>
      <xdr:spPr>
        <a:xfrm>
          <a:off x="8181213" y="47625"/>
          <a:ext cx="25717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8</xdr:col>
      <xdr:colOff>9525</xdr:colOff>
      <xdr:row>0</xdr:row>
      <xdr:rowOff>49149</xdr:rowOff>
    </xdr:from>
    <xdr:to>
      <xdr:col>10</xdr:col>
      <xdr:colOff>285750</xdr:colOff>
      <xdr:row>0</xdr:row>
      <xdr:rowOff>430149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200-000003000000}"/>
            </a:ext>
          </a:extLst>
        </xdr:cNvPr>
        <xdr:cNvSpPr/>
      </xdr:nvSpPr>
      <xdr:spPr>
        <a:xfrm>
          <a:off x="6734175"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11</xdr:col>
      <xdr:colOff>53975</xdr:colOff>
      <xdr:row>56</xdr:row>
      <xdr:rowOff>184150</xdr:rowOff>
    </xdr:from>
    <xdr:to>
      <xdr:col>14</xdr:col>
      <xdr:colOff>1</xdr:colOff>
      <xdr:row>62</xdr:row>
      <xdr:rowOff>111125</xdr:rowOff>
    </xdr:to>
    <xdr:sp macro="" textlink="">
      <xdr:nvSpPr>
        <xdr:cNvPr id="9" name="Right Arrow 8">
          <a:hlinkClick xmlns:r="http://schemas.openxmlformats.org/officeDocument/2006/relationships" r:id="rId2"/>
          <a:extLst>
            <a:ext uri="{FF2B5EF4-FFF2-40B4-BE49-F238E27FC236}">
              <a16:creationId xmlns:a16="http://schemas.microsoft.com/office/drawing/2014/main" id="{00000000-0008-0000-1200-000009000000}"/>
            </a:ext>
          </a:extLst>
        </xdr:cNvPr>
        <xdr:cNvSpPr/>
      </xdr:nvSpPr>
      <xdr:spPr>
        <a:xfrm>
          <a:off x="8442325" y="11296650"/>
          <a:ext cx="1717676" cy="10699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Enter</a:t>
          </a:r>
          <a:r>
            <a:rPr lang="en-US" sz="1100" baseline="0"/>
            <a:t> data about wastewater system</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9</xdr:row>
          <xdr:rowOff>88900</xdr:rowOff>
        </xdr:from>
        <xdr:to>
          <xdr:col>3</xdr:col>
          <xdr:colOff>495300</xdr:colOff>
          <xdr:row>12</xdr:row>
          <xdr:rowOff>165100</xdr:rowOff>
        </xdr:to>
        <xdr:sp macro="" textlink="">
          <xdr:nvSpPr>
            <xdr:cNvPr id="15372" name="Group Box 12" hidden="1">
              <a:extLst>
                <a:ext uri="{63B3BB69-23CF-44E3-9099-C40C66FF867C}">
                  <a14:compatExt spid="_x0000_s15372"/>
                </a:ext>
                <a:ext uri="{FF2B5EF4-FFF2-40B4-BE49-F238E27FC236}">
                  <a16:creationId xmlns:a16="http://schemas.microsoft.com/office/drawing/2014/main" id="{00000000-0008-0000-1200-00000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Anaerobic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10</xdr:row>
          <xdr:rowOff>0</xdr:rowOff>
        </xdr:from>
        <xdr:to>
          <xdr:col>3</xdr:col>
          <xdr:colOff>304800</xdr:colOff>
          <xdr:row>11</xdr:row>
          <xdr:rowOff>0</xdr:rowOff>
        </xdr:to>
        <xdr:sp macro="" textlink="">
          <xdr:nvSpPr>
            <xdr:cNvPr id="15373" name="Option Button 13" hidden="1">
              <a:extLst>
                <a:ext uri="{63B3BB69-23CF-44E3-9099-C40C66FF867C}">
                  <a14:compatExt spid="_x0000_s15373"/>
                </a:ext>
                <a:ext uri="{FF2B5EF4-FFF2-40B4-BE49-F238E27FC236}">
                  <a16:creationId xmlns:a16="http://schemas.microsoft.com/office/drawing/2014/main" id="{00000000-0008-0000-1200-00000D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 we have one or more facilities with anaerobic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11</xdr:row>
          <xdr:rowOff>31750</xdr:rowOff>
        </xdr:from>
        <xdr:to>
          <xdr:col>3</xdr:col>
          <xdr:colOff>222250</xdr:colOff>
          <xdr:row>12</xdr:row>
          <xdr:rowOff>69850</xdr:rowOff>
        </xdr:to>
        <xdr:sp macro="" textlink="">
          <xdr:nvSpPr>
            <xdr:cNvPr id="15374" name="Option Button 14" hidden="1">
              <a:extLst>
                <a:ext uri="{63B3BB69-23CF-44E3-9099-C40C66FF867C}">
                  <a14:compatExt spid="_x0000_s15374"/>
                </a:ext>
                <a:ext uri="{FF2B5EF4-FFF2-40B4-BE49-F238E27FC236}">
                  <a16:creationId xmlns:a16="http://schemas.microsoft.com/office/drawing/2014/main" id="{00000000-0008-0000-1200-00000E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all facilities use aerobic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88900</xdr:rowOff>
        </xdr:from>
        <xdr:to>
          <xdr:col>6</xdr:col>
          <xdr:colOff>203200</xdr:colOff>
          <xdr:row>24</xdr:row>
          <xdr:rowOff>165100</xdr:rowOff>
        </xdr:to>
        <xdr:sp macro="" textlink="">
          <xdr:nvSpPr>
            <xdr:cNvPr id="15376" name="Group Box 16" hidden="1">
              <a:extLst>
                <a:ext uri="{63B3BB69-23CF-44E3-9099-C40C66FF867C}">
                  <a14:compatExt spid="_x0000_s15376"/>
                </a:ext>
                <a:ext uri="{FF2B5EF4-FFF2-40B4-BE49-F238E27FC236}">
                  <a16:creationId xmlns:a16="http://schemas.microsoft.com/office/drawing/2014/main" id="{00000000-0008-0000-1200-00001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Digester Gas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22</xdr:row>
          <xdr:rowOff>0</xdr:rowOff>
        </xdr:from>
        <xdr:to>
          <xdr:col>6</xdr:col>
          <xdr:colOff>0</xdr:colOff>
          <xdr:row>23</xdr:row>
          <xdr:rowOff>0</xdr:rowOff>
        </xdr:to>
        <xdr:sp macro="" textlink="">
          <xdr:nvSpPr>
            <xdr:cNvPr id="15377" name="Option Button 17" hidden="1">
              <a:extLst>
                <a:ext uri="{63B3BB69-23CF-44E3-9099-C40C66FF867C}">
                  <a14:compatExt spid="_x0000_s15377"/>
                </a:ext>
                <a:ext uri="{FF2B5EF4-FFF2-40B4-BE49-F238E27FC236}">
                  <a16:creationId xmlns:a16="http://schemas.microsoft.com/office/drawing/2014/main" id="{00000000-0008-0000-12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 we have data on both the amount of digester gas produced and its methane content.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23</xdr:row>
          <xdr:rowOff>31750</xdr:rowOff>
        </xdr:from>
        <xdr:to>
          <xdr:col>6</xdr:col>
          <xdr:colOff>114300</xdr:colOff>
          <xdr:row>24</xdr:row>
          <xdr:rowOff>69850</xdr:rowOff>
        </xdr:to>
        <xdr:sp macro="" textlink="">
          <xdr:nvSpPr>
            <xdr:cNvPr id="15378" name="Option Button 18" hidden="1">
              <a:extLst>
                <a:ext uri="{63B3BB69-23CF-44E3-9099-C40C66FF867C}">
                  <a14:compatExt spid="_x0000_s15378"/>
                </a:ext>
                <a:ext uri="{FF2B5EF4-FFF2-40B4-BE49-F238E27FC236}">
                  <a16:creationId xmlns:a16="http://schemas.microsoft.com/office/drawing/2014/main" id="{00000000-0008-0000-12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both data items are not available. We would like to use 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88900</xdr:rowOff>
        </xdr:from>
        <xdr:to>
          <xdr:col>3</xdr:col>
          <xdr:colOff>393700</xdr:colOff>
          <xdr:row>36</xdr:row>
          <xdr:rowOff>165100</xdr:rowOff>
        </xdr:to>
        <xdr:sp macro="" textlink="">
          <xdr:nvSpPr>
            <xdr:cNvPr id="15382" name="Group Box 22" hidden="1">
              <a:extLst>
                <a:ext uri="{63B3BB69-23CF-44E3-9099-C40C66FF867C}">
                  <a14:compatExt spid="_x0000_s15382"/>
                </a:ext>
                <a:ext uri="{FF2B5EF4-FFF2-40B4-BE49-F238E27FC236}">
                  <a16:creationId xmlns:a16="http://schemas.microsoft.com/office/drawing/2014/main" id="{00000000-0008-0000-1200-00001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Septic Systems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34</xdr:row>
          <xdr:rowOff>0</xdr:rowOff>
        </xdr:from>
        <xdr:to>
          <xdr:col>3</xdr:col>
          <xdr:colOff>203200</xdr:colOff>
          <xdr:row>35</xdr:row>
          <xdr:rowOff>38100</xdr:rowOff>
        </xdr:to>
        <xdr:sp macro="" textlink="">
          <xdr:nvSpPr>
            <xdr:cNvPr id="15383" name="Option Button 23" hidden="1">
              <a:extLst>
                <a:ext uri="{63B3BB69-23CF-44E3-9099-C40C66FF867C}">
                  <a14:compatExt spid="_x0000_s15383"/>
                </a:ext>
                <a:ext uri="{FF2B5EF4-FFF2-40B4-BE49-F238E27FC236}">
                  <a16:creationId xmlns:a16="http://schemas.microsoft.com/office/drawing/2014/main" id="{00000000-0008-0000-12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35</xdr:row>
          <xdr:rowOff>31750</xdr:rowOff>
        </xdr:from>
        <xdr:to>
          <xdr:col>3</xdr:col>
          <xdr:colOff>203200</xdr:colOff>
          <xdr:row>36</xdr:row>
          <xdr:rowOff>69850</xdr:rowOff>
        </xdr:to>
        <xdr:sp macro="" textlink="">
          <xdr:nvSpPr>
            <xdr:cNvPr id="15384" name="Option Button 24" hidden="1">
              <a:extLst>
                <a:ext uri="{63B3BB69-23CF-44E3-9099-C40C66FF867C}">
                  <a14:compatExt spid="_x0000_s15384"/>
                </a:ext>
                <a:ext uri="{FF2B5EF4-FFF2-40B4-BE49-F238E27FC236}">
                  <a16:creationId xmlns:a16="http://schemas.microsoft.com/office/drawing/2014/main" id="{00000000-0008-0000-1200-000018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no portion of the population uses septic systems.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88900</xdr:rowOff>
        </xdr:from>
        <xdr:to>
          <xdr:col>3</xdr:col>
          <xdr:colOff>393700</xdr:colOff>
          <xdr:row>42</xdr:row>
          <xdr:rowOff>165100</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12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Industrial Load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40</xdr:row>
          <xdr:rowOff>0</xdr:rowOff>
        </xdr:from>
        <xdr:to>
          <xdr:col>3</xdr:col>
          <xdr:colOff>203200</xdr:colOff>
          <xdr:row>41</xdr:row>
          <xdr:rowOff>38100</xdr:rowOff>
        </xdr:to>
        <xdr:sp macro="" textlink="">
          <xdr:nvSpPr>
            <xdr:cNvPr id="15386" name="Option Button 26" hidden="1">
              <a:extLst>
                <a:ext uri="{63B3BB69-23CF-44E3-9099-C40C66FF867C}">
                  <a14:compatExt spid="_x0000_s15386"/>
                </a:ext>
                <a:ext uri="{FF2B5EF4-FFF2-40B4-BE49-F238E27FC236}">
                  <a16:creationId xmlns:a16="http://schemas.microsoft.com/office/drawing/2014/main" id="{00000000-0008-0000-1200-00001A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41</xdr:row>
          <xdr:rowOff>31750</xdr:rowOff>
        </xdr:from>
        <xdr:to>
          <xdr:col>3</xdr:col>
          <xdr:colOff>317500</xdr:colOff>
          <xdr:row>42</xdr:row>
          <xdr:rowOff>69850</xdr:rowOff>
        </xdr:to>
        <xdr:sp macro="" textlink="">
          <xdr:nvSpPr>
            <xdr:cNvPr id="15387" name="Option Button 27" hidden="1">
              <a:extLst>
                <a:ext uri="{63B3BB69-23CF-44E3-9099-C40C66FF867C}">
                  <a14:compatExt spid="_x0000_s15387"/>
                </a:ext>
                <a:ext uri="{FF2B5EF4-FFF2-40B4-BE49-F238E27FC236}">
                  <a16:creationId xmlns:a16="http://schemas.microsoft.com/office/drawing/2014/main" id="{00000000-0008-0000-1200-00001B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there is no industrial load to our system, or it is negligible.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45</xdr:row>
          <xdr:rowOff>88900</xdr:rowOff>
        </xdr:from>
        <xdr:to>
          <xdr:col>3</xdr:col>
          <xdr:colOff>393700</xdr:colOff>
          <xdr:row>48</xdr:row>
          <xdr:rowOff>165100</xdr:rowOff>
        </xdr:to>
        <xdr:sp macro="" textlink="">
          <xdr:nvSpPr>
            <xdr:cNvPr id="15388" name="Group Box 28" hidden="1">
              <a:extLst>
                <a:ext uri="{63B3BB69-23CF-44E3-9099-C40C66FF867C}">
                  <a14:compatExt spid="_x0000_s15388"/>
                </a:ext>
                <a:ext uri="{FF2B5EF4-FFF2-40B4-BE49-F238E27FC236}">
                  <a16:creationId xmlns:a16="http://schemas.microsoft.com/office/drawing/2014/main" id="{00000000-0008-0000-1200-00001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Nitrification/Denitrification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46</xdr:row>
          <xdr:rowOff>0</xdr:rowOff>
        </xdr:from>
        <xdr:to>
          <xdr:col>3</xdr:col>
          <xdr:colOff>203200</xdr:colOff>
          <xdr:row>47</xdr:row>
          <xdr:rowOff>38100</xdr:rowOff>
        </xdr:to>
        <xdr:sp macro="" textlink="">
          <xdr:nvSpPr>
            <xdr:cNvPr id="15389" name="Option Button 29" hidden="1">
              <a:extLst>
                <a:ext uri="{63B3BB69-23CF-44E3-9099-C40C66FF867C}">
                  <a14:compatExt spid="_x0000_s15389"/>
                </a:ext>
                <a:ext uri="{FF2B5EF4-FFF2-40B4-BE49-F238E27FC236}">
                  <a16:creationId xmlns:a16="http://schemas.microsoft.com/office/drawing/2014/main" id="{00000000-0008-0000-1200-00001D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47</xdr:row>
          <xdr:rowOff>31750</xdr:rowOff>
        </xdr:from>
        <xdr:to>
          <xdr:col>3</xdr:col>
          <xdr:colOff>203200</xdr:colOff>
          <xdr:row>48</xdr:row>
          <xdr:rowOff>69850</xdr:rowOff>
        </xdr:to>
        <xdr:sp macro="" textlink="">
          <xdr:nvSpPr>
            <xdr:cNvPr id="15390" name="Option Button 30" hidden="1">
              <a:extLst>
                <a:ext uri="{63B3BB69-23CF-44E3-9099-C40C66FF867C}">
                  <a14:compatExt spid="_x0000_s15390"/>
                </a:ext>
                <a:ext uri="{FF2B5EF4-FFF2-40B4-BE49-F238E27FC236}">
                  <a16:creationId xmlns:a16="http://schemas.microsoft.com/office/drawing/2014/main" id="{00000000-0008-0000-1200-00001E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no nitrification or denitrification occurs.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57</xdr:row>
          <xdr:rowOff>88900</xdr:rowOff>
        </xdr:from>
        <xdr:to>
          <xdr:col>5</xdr:col>
          <xdr:colOff>571500</xdr:colOff>
          <xdr:row>60</xdr:row>
          <xdr:rowOff>165100</xdr:rowOff>
        </xdr:to>
        <xdr:sp macro="" textlink="">
          <xdr:nvSpPr>
            <xdr:cNvPr id="15391" name="Group Box 31" hidden="1">
              <a:extLst>
                <a:ext uri="{63B3BB69-23CF-44E3-9099-C40C66FF867C}">
                  <a14:compatExt spid="_x0000_s15391"/>
                </a:ext>
                <a:ext uri="{FF2B5EF4-FFF2-40B4-BE49-F238E27FC236}">
                  <a16:creationId xmlns:a16="http://schemas.microsoft.com/office/drawing/2014/main" id="{00000000-0008-0000-1200-00001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Effluent N Load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58</xdr:row>
          <xdr:rowOff>0</xdr:rowOff>
        </xdr:from>
        <xdr:to>
          <xdr:col>3</xdr:col>
          <xdr:colOff>203200</xdr:colOff>
          <xdr:row>59</xdr:row>
          <xdr:rowOff>38100</xdr:rowOff>
        </xdr:to>
        <xdr:sp macro="" textlink="">
          <xdr:nvSpPr>
            <xdr:cNvPr id="15392" name="Option Button 32" hidden="1">
              <a:extLst>
                <a:ext uri="{63B3BB69-23CF-44E3-9099-C40C66FF867C}">
                  <a14:compatExt spid="_x0000_s15392"/>
                </a:ext>
                <a:ext uri="{FF2B5EF4-FFF2-40B4-BE49-F238E27FC236}">
                  <a16:creationId xmlns:a16="http://schemas.microsoft.com/office/drawing/2014/main" id="{00000000-0008-0000-1200-000020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 we have data on the N load discharged.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59</xdr:row>
          <xdr:rowOff>31750</xdr:rowOff>
        </xdr:from>
        <xdr:to>
          <xdr:col>5</xdr:col>
          <xdr:colOff>38100</xdr:colOff>
          <xdr:row>60</xdr:row>
          <xdr:rowOff>69850</xdr:rowOff>
        </xdr:to>
        <xdr:sp macro="" textlink="">
          <xdr:nvSpPr>
            <xdr:cNvPr id="15393" name="Option Button 33" hidden="1">
              <a:extLst>
                <a:ext uri="{63B3BB69-23CF-44E3-9099-C40C66FF867C}">
                  <a14:compatExt spid="_x0000_s15393"/>
                </a:ext>
                <a:ext uri="{FF2B5EF4-FFF2-40B4-BE49-F238E27FC236}">
                  <a16:creationId xmlns:a16="http://schemas.microsoft.com/office/drawing/2014/main" id="{00000000-0008-0000-1200-00002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we have no data on the N load discharged. We will use default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88900</xdr:rowOff>
        </xdr:from>
        <xdr:to>
          <xdr:col>3</xdr:col>
          <xdr:colOff>495300</xdr:colOff>
          <xdr:row>18</xdr:row>
          <xdr:rowOff>165100</xdr:rowOff>
        </xdr:to>
        <xdr:sp macro="" textlink="">
          <xdr:nvSpPr>
            <xdr:cNvPr id="15396" name="Group Box 36" hidden="1">
              <a:extLst>
                <a:ext uri="{63B3BB69-23CF-44E3-9099-C40C66FF867C}">
                  <a14:compatExt spid="_x0000_s15396"/>
                </a:ext>
                <a:ext uri="{FF2B5EF4-FFF2-40B4-BE49-F238E27FC236}">
                  <a16:creationId xmlns:a16="http://schemas.microsoft.com/office/drawing/2014/main" id="{00000000-0008-0000-1200-00002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Aerobic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16</xdr:row>
          <xdr:rowOff>0</xdr:rowOff>
        </xdr:from>
        <xdr:to>
          <xdr:col>3</xdr:col>
          <xdr:colOff>304800</xdr:colOff>
          <xdr:row>17</xdr:row>
          <xdr:rowOff>31750</xdr:rowOff>
        </xdr:to>
        <xdr:sp macro="" textlink="">
          <xdr:nvSpPr>
            <xdr:cNvPr id="15397" name="Option Button 37" hidden="1">
              <a:extLst>
                <a:ext uri="{63B3BB69-23CF-44E3-9099-C40C66FF867C}">
                  <a14:compatExt spid="_x0000_s15397"/>
                </a:ext>
                <a:ext uri="{FF2B5EF4-FFF2-40B4-BE49-F238E27FC236}">
                  <a16:creationId xmlns:a16="http://schemas.microsoft.com/office/drawing/2014/main" id="{00000000-0008-0000-1200-00002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 we have one or more facilities with aerobic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17</xdr:row>
          <xdr:rowOff>31750</xdr:rowOff>
        </xdr:from>
        <xdr:to>
          <xdr:col>3</xdr:col>
          <xdr:colOff>222250</xdr:colOff>
          <xdr:row>18</xdr:row>
          <xdr:rowOff>69850</xdr:rowOff>
        </xdr:to>
        <xdr:sp macro="" textlink="">
          <xdr:nvSpPr>
            <xdr:cNvPr id="15398" name="Option Button 38" hidden="1">
              <a:extLst>
                <a:ext uri="{63B3BB69-23CF-44E3-9099-C40C66FF867C}">
                  <a14:compatExt spid="_x0000_s15398"/>
                </a:ext>
                <a:ext uri="{FF2B5EF4-FFF2-40B4-BE49-F238E27FC236}">
                  <a16:creationId xmlns:a16="http://schemas.microsoft.com/office/drawing/2014/main" id="{00000000-0008-0000-1200-00002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all facilities use anaerobic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88900</xdr:rowOff>
        </xdr:from>
        <xdr:to>
          <xdr:col>6</xdr:col>
          <xdr:colOff>190500</xdr:colOff>
          <xdr:row>30</xdr:row>
          <xdr:rowOff>165100</xdr:rowOff>
        </xdr:to>
        <xdr:sp macro="" textlink="">
          <xdr:nvSpPr>
            <xdr:cNvPr id="15400" name="Group Box 40" hidden="1">
              <a:extLst>
                <a:ext uri="{63B3BB69-23CF-44E3-9099-C40C66FF867C}">
                  <a14:compatExt spid="_x0000_s15400"/>
                </a:ext>
                <a:ext uri="{FF2B5EF4-FFF2-40B4-BE49-F238E27FC236}">
                  <a16:creationId xmlns:a16="http://schemas.microsoft.com/office/drawing/2014/main" id="{00000000-0008-0000-1200-00002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BOD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28</xdr:row>
          <xdr:rowOff>0</xdr:rowOff>
        </xdr:from>
        <xdr:to>
          <xdr:col>5</xdr:col>
          <xdr:colOff>584200</xdr:colOff>
          <xdr:row>29</xdr:row>
          <xdr:rowOff>38100</xdr:rowOff>
        </xdr:to>
        <xdr:sp macro="" textlink="">
          <xdr:nvSpPr>
            <xdr:cNvPr id="15401" name="Option Button 41" hidden="1">
              <a:extLst>
                <a:ext uri="{63B3BB69-23CF-44E3-9099-C40C66FF867C}">
                  <a14:compatExt spid="_x0000_s15401"/>
                </a:ext>
                <a:ext uri="{FF2B5EF4-FFF2-40B4-BE49-F238E27FC236}">
                  <a16:creationId xmlns:a16="http://schemas.microsoft.com/office/drawing/2014/main" id="{00000000-0008-0000-1200-000029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 we have data on both the amount of BOD5 and its removal 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29</xdr:row>
          <xdr:rowOff>31750</xdr:rowOff>
        </xdr:from>
        <xdr:to>
          <xdr:col>6</xdr:col>
          <xdr:colOff>88900</xdr:colOff>
          <xdr:row>30</xdr:row>
          <xdr:rowOff>69850</xdr:rowOff>
        </xdr:to>
        <xdr:sp macro="" textlink="">
          <xdr:nvSpPr>
            <xdr:cNvPr id="15402" name="Option Button 42" hidden="1">
              <a:extLst>
                <a:ext uri="{63B3BB69-23CF-44E3-9099-C40C66FF867C}">
                  <a14:compatExt spid="_x0000_s15402"/>
                </a:ext>
                <a:ext uri="{FF2B5EF4-FFF2-40B4-BE49-F238E27FC236}">
                  <a16:creationId xmlns:a16="http://schemas.microsoft.com/office/drawing/2014/main" id="{00000000-0008-0000-1200-00002A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both data items are not available. We would like to use 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51</xdr:row>
          <xdr:rowOff>107950</xdr:rowOff>
        </xdr:from>
        <xdr:to>
          <xdr:col>3</xdr:col>
          <xdr:colOff>393700</xdr:colOff>
          <xdr:row>55</xdr:row>
          <xdr:rowOff>12700</xdr:rowOff>
        </xdr:to>
        <xdr:sp macro="" textlink="">
          <xdr:nvSpPr>
            <xdr:cNvPr id="15403" name="Group Box 43" hidden="1">
              <a:extLst>
                <a:ext uri="{63B3BB69-23CF-44E3-9099-C40C66FF867C}">
                  <a14:compatExt spid="_x0000_s15403"/>
                </a:ext>
                <a:ext uri="{FF2B5EF4-FFF2-40B4-BE49-F238E27FC236}">
                  <a16:creationId xmlns:a16="http://schemas.microsoft.com/office/drawing/2014/main" id="{00000000-0008-0000-1200-00002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Without Nitrification/Denitrification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52</xdr:row>
          <xdr:rowOff>0</xdr:rowOff>
        </xdr:from>
        <xdr:to>
          <xdr:col>3</xdr:col>
          <xdr:colOff>203200</xdr:colOff>
          <xdr:row>53</xdr:row>
          <xdr:rowOff>38100</xdr:rowOff>
        </xdr:to>
        <xdr:sp macro="" textlink="">
          <xdr:nvSpPr>
            <xdr:cNvPr id="15404" name="Option Button 44" hidden="1">
              <a:extLst>
                <a:ext uri="{63B3BB69-23CF-44E3-9099-C40C66FF867C}">
                  <a14:compatExt spid="_x0000_s15404"/>
                </a:ext>
                <a:ext uri="{FF2B5EF4-FFF2-40B4-BE49-F238E27FC236}">
                  <a16:creationId xmlns:a16="http://schemas.microsoft.com/office/drawing/2014/main" id="{00000000-0008-0000-1200-00002C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53</xdr:row>
          <xdr:rowOff>38100</xdr:rowOff>
        </xdr:from>
        <xdr:to>
          <xdr:col>3</xdr:col>
          <xdr:colOff>203200</xdr:colOff>
          <xdr:row>54</xdr:row>
          <xdr:rowOff>76200</xdr:rowOff>
        </xdr:to>
        <xdr:sp macro="" textlink="">
          <xdr:nvSpPr>
            <xdr:cNvPr id="15405" name="Option Button 45" hidden="1">
              <a:extLst>
                <a:ext uri="{63B3BB69-23CF-44E3-9099-C40C66FF867C}">
                  <a14:compatExt spid="_x0000_s15405"/>
                </a:ext>
                <a:ext uri="{FF2B5EF4-FFF2-40B4-BE49-F238E27FC236}">
                  <a16:creationId xmlns:a16="http://schemas.microsoft.com/office/drawing/2014/main" id="{00000000-0008-0000-1200-00002D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No, all plants conduct nitrification/denitrification.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107950</xdr:rowOff>
        </xdr:from>
        <xdr:to>
          <xdr:col>15</xdr:col>
          <xdr:colOff>0</xdr:colOff>
          <xdr:row>0</xdr:row>
          <xdr:rowOff>374650</xdr:rowOff>
        </xdr:to>
        <xdr:sp macro="" textlink="">
          <xdr:nvSpPr>
            <xdr:cNvPr id="15406" name="ck_comp_WWControl" hidden="1">
              <a:extLst>
                <a:ext uri="{63B3BB69-23CF-44E3-9099-C40C66FF867C}">
                  <a14:compatExt spid="_x0000_s15406"/>
                </a:ext>
                <a:ext uri="{FF2B5EF4-FFF2-40B4-BE49-F238E27FC236}">
                  <a16:creationId xmlns:a16="http://schemas.microsoft.com/office/drawing/2014/main" id="{00000000-0008-0000-1200-00002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349250</xdr:colOff>
      <xdr:row>62</xdr:row>
      <xdr:rowOff>177800</xdr:rowOff>
    </xdr:from>
    <xdr:to>
      <xdr:col>2</xdr:col>
      <xdr:colOff>1498279</xdr:colOff>
      <xdr:row>64</xdr:row>
      <xdr:rowOff>10432</xdr:rowOff>
    </xdr:to>
    <xdr:grpSp>
      <xdr:nvGrpSpPr>
        <xdr:cNvPr id="36" name="Group 35">
          <a:extLst>
            <a:ext uri="{FF2B5EF4-FFF2-40B4-BE49-F238E27FC236}">
              <a16:creationId xmlns:a16="http://schemas.microsoft.com/office/drawing/2014/main" id="{00000000-0008-0000-1200-000024000000}"/>
            </a:ext>
          </a:extLst>
        </xdr:cNvPr>
        <xdr:cNvGrpSpPr/>
      </xdr:nvGrpSpPr>
      <xdr:grpSpPr>
        <a:xfrm>
          <a:off x="349250" y="12020550"/>
          <a:ext cx="1955479" cy="842282"/>
          <a:chOff x="482600" y="12822918"/>
          <a:chExt cx="1955479" cy="842282"/>
        </a:xfrm>
      </xdr:grpSpPr>
      <xdr:pic>
        <xdr:nvPicPr>
          <xdr:cNvPr id="37" name="Picture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41" name="Picture 40">
            <a:extLst>
              <a:ext uri="{FF2B5EF4-FFF2-40B4-BE49-F238E27FC236}">
                <a16:creationId xmlns:a16="http://schemas.microsoft.com/office/drawing/2014/main" id="{00000000-0008-0000-1200-000029000000}"/>
              </a:ext>
            </a:extLst>
          </xdr:cNvPr>
          <xdr:cNvPicPr>
            <a:picLocks noChangeAspect="1"/>
          </xdr:cNvPicPr>
        </xdr:nvPicPr>
        <xdr:blipFill>
          <a:blip xmlns:r="http://schemas.openxmlformats.org/officeDocument/2006/relationships" r:embed="rId4"/>
          <a:stretch>
            <a:fillRect/>
          </a:stretch>
        </xdr:blipFill>
        <xdr:spPr>
          <a:xfrm>
            <a:off x="482600" y="12822918"/>
            <a:ext cx="1071996" cy="842282"/>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371475</xdr:colOff>
      <xdr:row>1</xdr:row>
      <xdr:rowOff>142875</xdr:rowOff>
    </xdr:from>
    <xdr:to>
      <xdr:col>5</xdr:col>
      <xdr:colOff>276225</xdr:colOff>
      <xdr:row>5</xdr:row>
      <xdr:rowOff>47625</xdr:rowOff>
    </xdr:to>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371475" y="628650"/>
          <a:ext cx="5534025" cy="7048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a:t>
          </a:r>
          <a:r>
            <a:rPr lang="en-US" sz="1100" baseline="0"/>
            <a:t> sheet is where you will enter data for your wastewater treatment system. Fields are provided based on your responses to the questions on the previous sheet. To reset all values to 0, click the box below.</a:t>
          </a:r>
        </a:p>
        <a:p>
          <a:endParaRPr lang="en-US" sz="1100" baseline="0"/>
        </a:p>
        <a:p>
          <a:endParaRPr lang="en-US" sz="1100"/>
        </a:p>
      </xdr:txBody>
    </xdr:sp>
    <xdr:clientData/>
  </xdr:twoCellAnchor>
  <xdr:twoCellAnchor editAs="oneCell">
    <xdr:from>
      <xdr:col>6</xdr:col>
      <xdr:colOff>337375</xdr:colOff>
      <xdr:row>0</xdr:row>
      <xdr:rowOff>47625</xdr:rowOff>
    </xdr:from>
    <xdr:to>
      <xdr:col>10</xdr:col>
      <xdr:colOff>550100</xdr:colOff>
      <xdr:row>0</xdr:row>
      <xdr:rowOff>434848</xdr:rowOff>
    </xdr:to>
    <xdr:sp macro="" textlink="">
      <xdr:nvSpPr>
        <xdr:cNvPr id="3" name="Rounded Rectangle 2">
          <a:extLst>
            <a:ext uri="{FF2B5EF4-FFF2-40B4-BE49-F238E27FC236}">
              <a16:creationId xmlns:a16="http://schemas.microsoft.com/office/drawing/2014/main" id="{00000000-0008-0000-1300-000003000000}"/>
            </a:ext>
          </a:extLst>
        </xdr:cNvPr>
        <xdr:cNvSpPr/>
      </xdr:nvSpPr>
      <xdr:spPr>
        <a:xfrm>
          <a:off x="6557200" y="47625"/>
          <a:ext cx="25717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3</xdr:col>
      <xdr:colOff>600075</xdr:colOff>
      <xdr:row>0</xdr:row>
      <xdr:rowOff>49149</xdr:rowOff>
    </xdr:from>
    <xdr:to>
      <xdr:col>6</xdr:col>
      <xdr:colOff>266700</xdr:colOff>
      <xdr:row>0</xdr:row>
      <xdr:rowOff>436499</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5086350"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mc:AlternateContent xmlns:mc="http://schemas.openxmlformats.org/markup-compatibility/2006">
    <mc:Choice xmlns:a14="http://schemas.microsoft.com/office/drawing/2010/main" Requires="a14">
      <xdr:twoCellAnchor>
        <xdr:from>
          <xdr:col>5</xdr:col>
          <xdr:colOff>469900</xdr:colOff>
          <xdr:row>4</xdr:row>
          <xdr:rowOff>133350</xdr:rowOff>
        </xdr:from>
        <xdr:to>
          <xdr:col>8</xdr:col>
          <xdr:colOff>190500</xdr:colOff>
          <xdr:row>6</xdr:row>
          <xdr:rowOff>50800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107950</xdr:rowOff>
        </xdr:from>
        <xdr:to>
          <xdr:col>10</xdr:col>
          <xdr:colOff>533400</xdr:colOff>
          <xdr:row>0</xdr:row>
          <xdr:rowOff>374650</xdr:rowOff>
        </xdr:to>
        <xdr:sp macro="" textlink="">
          <xdr:nvSpPr>
            <xdr:cNvPr id="30722" name="ck_comp_WWEntry" hidden="1">
              <a:extLst>
                <a:ext uri="{63B3BB69-23CF-44E3-9099-C40C66FF867C}">
                  <a14:compatExt spid="_x0000_s30722"/>
                </a:ext>
                <a:ext uri="{FF2B5EF4-FFF2-40B4-BE49-F238E27FC236}">
                  <a16:creationId xmlns:a16="http://schemas.microsoft.com/office/drawing/2014/main" id="{00000000-0008-0000-13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12700</xdr:colOff>
      <xdr:row>47</xdr:row>
      <xdr:rowOff>0</xdr:rowOff>
    </xdr:from>
    <xdr:to>
      <xdr:col>1</xdr:col>
      <xdr:colOff>1968179</xdr:colOff>
      <xdr:row>48</xdr:row>
      <xdr:rowOff>16782</xdr:rowOff>
    </xdr:to>
    <xdr:grpSp>
      <xdr:nvGrpSpPr>
        <xdr:cNvPr id="10" name="Group 9">
          <a:extLst>
            <a:ext uri="{FF2B5EF4-FFF2-40B4-BE49-F238E27FC236}">
              <a16:creationId xmlns:a16="http://schemas.microsoft.com/office/drawing/2014/main" id="{00000000-0008-0000-1300-00000A000000}"/>
            </a:ext>
          </a:extLst>
        </xdr:cNvPr>
        <xdr:cNvGrpSpPr/>
      </xdr:nvGrpSpPr>
      <xdr:grpSpPr>
        <a:xfrm>
          <a:off x="628650" y="6858000"/>
          <a:ext cx="1955479" cy="842282"/>
          <a:chOff x="482600" y="12822918"/>
          <a:chExt cx="1955479" cy="842282"/>
        </a:xfrm>
      </xdr:grpSpPr>
      <xdr:pic>
        <xdr:nvPicPr>
          <xdr:cNvPr id="11" name="Picture 10">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5" name="Picture 14">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47625</xdr:colOff>
      <xdr:row>0</xdr:row>
      <xdr:rowOff>47625</xdr:rowOff>
    </xdr:from>
    <xdr:to>
      <xdr:col>14</xdr:col>
      <xdr:colOff>152400</xdr:colOff>
      <xdr:row>0</xdr:row>
      <xdr:rowOff>425450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1400-000002000000}"/>
            </a:ext>
          </a:extLst>
        </xdr:cNvPr>
        <xdr:cNvSpPr/>
      </xdr:nvSpPr>
      <xdr:spPr>
        <a:xfrm>
          <a:off x="13535025" y="47625"/>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0</xdr:col>
      <xdr:colOff>603249</xdr:colOff>
      <xdr:row>2</xdr:row>
      <xdr:rowOff>31749</xdr:rowOff>
    </xdr:from>
    <xdr:to>
      <xdr:col>5</xdr:col>
      <xdr:colOff>1238250</xdr:colOff>
      <xdr:row>9</xdr:row>
      <xdr:rowOff>133350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603249" y="698499"/>
          <a:ext cx="7045326" cy="1368426"/>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This</a:t>
          </a:r>
          <a:r>
            <a:rPr lang="en-US" sz="1100" baseline="0">
              <a:solidFill>
                <a:schemeClr val="dk1"/>
              </a:solidFill>
              <a:latin typeface="+mn-lt"/>
              <a:ea typeface="+mn-ea"/>
              <a:cs typeface="+mn-cs"/>
            </a:rPr>
            <a:t> sheet shows the formulas used to determine your community's emissions from wastewater treatment, using methodology from the Local Government Operations Protocol (2010). The yellow cells link to the values you entered on the previous sheet, "Wastewater-Entry."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Your total emissions are summarized in the table below. You may scroll down to view the detailed calculations, but </a:t>
          </a:r>
          <a:r>
            <a:rPr lang="en-US" sz="1100" b="1" baseline="0">
              <a:solidFill>
                <a:schemeClr val="dk1"/>
              </a:solidFill>
              <a:latin typeface="+mn-lt"/>
              <a:ea typeface="+mn-ea"/>
              <a:cs typeface="+mn-cs"/>
            </a:rPr>
            <a:t>no action is required on this sheet. </a:t>
          </a:r>
          <a:r>
            <a:rPr lang="en-US" sz="1100" b="0" baseline="0">
              <a:solidFill>
                <a:schemeClr val="dk1"/>
              </a:solidFill>
              <a:latin typeface="+mn-lt"/>
              <a:ea typeface="+mn-ea"/>
              <a:cs typeface="+mn-cs"/>
            </a:rPr>
            <a:t>If you would like to change any of the entered values, you may do so on the previous sheet.</a:t>
          </a:r>
          <a:endParaRPr lang="en-US" sz="1100" b="1">
            <a:solidFill>
              <a:schemeClr val="dk1"/>
            </a:solidFill>
            <a:latin typeface="+mn-lt"/>
            <a:ea typeface="+mn-ea"/>
            <a:cs typeface="+mn-cs"/>
          </a:endParaRPr>
        </a:p>
      </xdr:txBody>
    </xdr:sp>
    <xdr:clientData/>
  </xdr:twoCellAnchor>
  <xdr:twoCellAnchor>
    <xdr:from>
      <xdr:col>6</xdr:col>
      <xdr:colOff>116416</xdr:colOff>
      <xdr:row>2</xdr:row>
      <xdr:rowOff>10584</xdr:rowOff>
    </xdr:from>
    <xdr:to>
      <xdr:col>14</xdr:col>
      <xdr:colOff>89958</xdr:colOff>
      <xdr:row>17</xdr:row>
      <xdr:rowOff>68792</xdr:rowOff>
    </xdr:to>
    <xdr:graphicFrame macro="">
      <xdr:nvGraphicFramePr>
        <xdr:cNvPr id="14" name="Chart 13">
          <a:extLst>
            <a:ext uri="{FF2B5EF4-FFF2-40B4-BE49-F238E27FC236}">
              <a16:creationId xmlns:a16="http://schemas.microsoft.com/office/drawing/2014/main" id="{00000000-0008-0000-1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88</xdr:row>
      <xdr:rowOff>177800</xdr:rowOff>
    </xdr:from>
    <xdr:to>
      <xdr:col>2</xdr:col>
      <xdr:colOff>507679</xdr:colOff>
      <xdr:row>90</xdr:row>
      <xdr:rowOff>10432</xdr:rowOff>
    </xdr:to>
    <xdr:grpSp>
      <xdr:nvGrpSpPr>
        <xdr:cNvPr id="8" name="Group 7">
          <a:extLst>
            <a:ext uri="{FF2B5EF4-FFF2-40B4-BE49-F238E27FC236}">
              <a16:creationId xmlns:a16="http://schemas.microsoft.com/office/drawing/2014/main" id="{00000000-0008-0000-1400-000008000000}"/>
            </a:ext>
          </a:extLst>
        </xdr:cNvPr>
        <xdr:cNvGrpSpPr/>
      </xdr:nvGrpSpPr>
      <xdr:grpSpPr>
        <a:xfrm>
          <a:off x="615950" y="18167350"/>
          <a:ext cx="1955479" cy="842282"/>
          <a:chOff x="482600" y="12822918"/>
          <a:chExt cx="1955479" cy="842282"/>
        </a:xfrm>
      </xdr:grpSpPr>
      <xdr:pic>
        <xdr:nvPicPr>
          <xdr:cNvPr id="9" name="Picture 8">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3" name="Picture 12">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4"/>
          <a:stretch>
            <a:fillRect/>
          </a:stretch>
        </xdr:blipFill>
        <xdr:spPr>
          <a:xfrm>
            <a:off x="482600" y="12822918"/>
            <a:ext cx="1071996" cy="842282"/>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247650</xdr:colOff>
      <xdr:row>2</xdr:row>
      <xdr:rowOff>0</xdr:rowOff>
    </xdr:from>
    <xdr:to>
      <xdr:col>6</xdr:col>
      <xdr:colOff>1187823</xdr:colOff>
      <xdr:row>6</xdr:row>
      <xdr:rowOff>158750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247650" y="775074"/>
          <a:ext cx="15349070" cy="235323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On this sheet, you</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can enter electricity use for each entity for which you have data in order to calculate indirect emissions associated</a:t>
          </a:r>
          <a:r>
            <a:rPr lang="en-US" sz="1100" baseline="0">
              <a:solidFill>
                <a:schemeClr val="dk1"/>
              </a:solidFill>
              <a:effectLst/>
              <a:latin typeface="+mn-lt"/>
              <a:ea typeface="+mn-ea"/>
              <a:cs typeface="+mn-cs"/>
            </a:rPr>
            <a:t> with the use of grid-supplied electricity consumed by the community</a:t>
          </a:r>
          <a:r>
            <a:rPr lang="en-US" sz="1100">
              <a:solidFill>
                <a:schemeClr val="dk1"/>
              </a:solidFill>
              <a:effectLst/>
              <a:latin typeface="+mn-lt"/>
              <a:ea typeface="+mn-ea"/>
              <a:cs typeface="+mn-cs"/>
            </a:rPr>
            <a:t>. Electricity use can be entered as purchases from the grid or electricity purchases through a contractual agreement</a:t>
          </a:r>
          <a:r>
            <a:rPr lang="en-US" sz="1100" baseline="0">
              <a:solidFill>
                <a:schemeClr val="dk1"/>
              </a:solidFill>
              <a:effectLst/>
              <a:latin typeface="+mn-lt"/>
              <a:ea typeface="+mn-ea"/>
              <a:cs typeface="+mn-cs"/>
            </a:rPr>
            <a:t>. In this module, contractual agreements can include energy attribute certificates (RECs, GOs, etc.), direct contracts (PPAS, etc.), and residual grid mix emission rates. </a:t>
          </a:r>
          <a:r>
            <a:rPr lang="en-US" sz="1100">
              <a:solidFill>
                <a:schemeClr val="dk1"/>
              </a:solidFill>
              <a:effectLst/>
              <a:latin typeface="+mn-lt"/>
              <a:ea typeface="+mn-ea"/>
              <a:cs typeface="+mn-cs"/>
            </a:rPr>
            <a:t>These indirect emissions should be reported for electricity</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consumed within the community's geopolitical boundaries. Include the total</a:t>
          </a:r>
          <a:r>
            <a:rPr lang="en-US" sz="1100" baseline="0">
              <a:solidFill>
                <a:schemeClr val="dk1"/>
              </a:solidFill>
              <a:effectLst/>
              <a:latin typeface="+mn-lt"/>
              <a:ea typeface="+mn-ea"/>
              <a:cs typeface="+mn-cs"/>
            </a:rPr>
            <a:t>s from the Local Government Operations calculations within the commercial/institutional sector.  For additional information on obtaining or calculating electricity consumption data, refer to the Global Protocol for Community-Scale Greenhouse Gas Emissions. </a:t>
          </a:r>
          <a:r>
            <a:rPr lang="en-US" sz="1100">
              <a:solidFill>
                <a:schemeClr val="dk1"/>
              </a:solidFill>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r>
            <a:rPr lang="en-US" sz="1100">
              <a:solidFill>
                <a:schemeClr val="dk1"/>
              </a:solidFill>
              <a:latin typeface="+mn-lt"/>
              <a:ea typeface="+mn-ea"/>
              <a:cs typeface="+mn-cs"/>
            </a:rPr>
            <a:t>To use the form below, first enter the data for a given unit, then click "Add/Update Record." The data will be saved, and the fields will remain filled in. The purpose of this process is to facilitate similar data entries for multiple entities. </a:t>
          </a:r>
          <a:r>
            <a:rPr lang="en-US" sz="1100" b="1">
              <a:solidFill>
                <a:schemeClr val="dk1"/>
              </a:solidFill>
              <a:latin typeface="+mn-lt"/>
              <a:ea typeface="+mn-ea"/>
              <a:cs typeface="+mn-cs"/>
            </a:rPr>
            <a:t>Note:</a:t>
          </a:r>
          <a:r>
            <a:rPr lang="en-US" sz="1100">
              <a:solidFill>
                <a:schemeClr val="dk1"/>
              </a:solidFill>
              <a:latin typeface="+mn-lt"/>
              <a:ea typeface="+mn-ea"/>
              <a:cs typeface="+mn-cs"/>
            </a:rPr>
            <a:t> </a:t>
          </a:r>
          <a:r>
            <a:rPr lang="en-US" sz="1100" b="1">
              <a:solidFill>
                <a:schemeClr val="dk1"/>
              </a:solidFill>
              <a:latin typeface="+mn-lt"/>
              <a:ea typeface="+mn-ea"/>
              <a:cs typeface="+mn-cs"/>
            </a:rPr>
            <a:t>you will receive a confirmation message when the record has been successfully added</a:t>
          </a:r>
          <a:r>
            <a:rPr lang="en-US" sz="1100">
              <a:solidFill>
                <a:schemeClr val="dk1"/>
              </a:solidFill>
              <a:latin typeface="+mn-lt"/>
              <a:ea typeface="+mn-ea"/>
              <a:cs typeface="+mn-cs"/>
            </a:rPr>
            <a:t>. At any point, you may click "Reset Form" to clear all fields. (If you would like to enter more than one record at a time, you may proceed to the "Electricity-Data" sheet and directly add data there.)</a:t>
          </a:r>
          <a:endParaRPr lang="en-US"/>
        </a:p>
        <a:p>
          <a:endParaRPr lang="en-US" sz="1100" baseline="0"/>
        </a:p>
        <a:p>
          <a:r>
            <a:rPr lang="en-US" sz="1100">
              <a:solidFill>
                <a:schemeClr val="dk1"/>
              </a:solidFill>
              <a:latin typeface="+mn-lt"/>
              <a:ea typeface="+mn-ea"/>
              <a:cs typeface="+mn-cs"/>
            </a:rPr>
            <a:t>If you would like to change any aspect of a previous entry, select "Edit Record." A drop-down menu will appear. Select the entry you would like to change, make changes to the entry fields as needed, then click "Add/Update Record." To delete a record entirely, click the "Delete Record" button. A dropdown menu will appear for you to select the entry to delete. After you confirm that you would like the entry deleted, the saved data will be erased.</a:t>
          </a:r>
        </a:p>
        <a:p>
          <a:endParaRPr lang="en-US" sz="1100">
            <a:solidFill>
              <a:schemeClr val="dk1"/>
            </a:solidFill>
            <a:latin typeface="+mn-lt"/>
            <a:ea typeface="+mn-ea"/>
            <a:cs typeface="+mn-cs"/>
          </a:endParaRPr>
        </a:p>
        <a:p>
          <a:r>
            <a:rPr lang="en-US" sz="1100">
              <a:solidFill>
                <a:schemeClr val="dk1"/>
              </a:solidFill>
              <a:latin typeface="+mn-lt"/>
              <a:ea typeface="+mn-ea"/>
              <a:cs typeface="+mn-cs"/>
            </a:rPr>
            <a:t>For more information on the methodologies</a:t>
          </a:r>
          <a:r>
            <a:rPr lang="en-US" sz="1100" baseline="0">
              <a:solidFill>
                <a:schemeClr val="dk1"/>
              </a:solidFill>
              <a:latin typeface="+mn-lt"/>
              <a:ea typeface="+mn-ea"/>
              <a:cs typeface="+mn-cs"/>
            </a:rPr>
            <a:t> for estimating emissions from market- and location-based methodologies, see the User's Guide for the </a:t>
          </a:r>
          <a:r>
            <a:rPr lang="en-US" sz="1100">
              <a:solidFill>
                <a:schemeClr val="dk1"/>
              </a:solidFill>
              <a:effectLst/>
              <a:latin typeface="+mn-lt"/>
              <a:ea typeface="+mn-ea"/>
              <a:cs typeface="+mn-cs"/>
            </a:rPr>
            <a:t>Tribal Greenhouse Gas Community Inventory Tool. For</a:t>
          </a:r>
          <a:r>
            <a:rPr lang="en-US" sz="1100" baseline="0">
              <a:solidFill>
                <a:schemeClr val="dk1"/>
              </a:solidFill>
              <a:effectLst/>
              <a:latin typeface="+mn-lt"/>
              <a:ea typeface="+mn-ea"/>
              <a:cs typeface="+mn-cs"/>
            </a:rPr>
            <a:t> more guidance on entering electricity data including contractual instruments, see Box 4 within the User's Guide. </a:t>
          </a:r>
          <a:r>
            <a:rPr lang="en-US" sz="1100" b="1">
              <a:solidFill>
                <a:schemeClr val="dk1"/>
              </a:solidFill>
              <a:effectLst/>
              <a:latin typeface="+mn-lt"/>
              <a:ea typeface="+mn-ea"/>
              <a:cs typeface="+mn-cs"/>
            </a:rPr>
            <a:t>Note: Any electricity consumption from electric</a:t>
          </a:r>
          <a:r>
            <a:rPr lang="en-US" sz="1100" b="1" baseline="0">
              <a:solidFill>
                <a:schemeClr val="dk1"/>
              </a:solidFill>
              <a:effectLst/>
              <a:latin typeface="+mn-lt"/>
              <a:ea typeface="+mn-ea"/>
              <a:cs typeface="+mn-cs"/>
            </a:rPr>
            <a:t> vehicles should be accounted for as electricity under Scope 2 on this tab. </a:t>
          </a:r>
        </a:p>
        <a:p>
          <a:r>
            <a:rPr lang="en-US" sz="1100">
              <a:solidFill>
                <a:schemeClr val="dk1"/>
              </a:solidFill>
              <a:latin typeface="+mn-lt"/>
              <a:ea typeface="+mn-ea"/>
              <a:cs typeface="+mn-cs"/>
            </a:rPr>
            <a:t> </a:t>
          </a:r>
          <a:endParaRPr lang="en-US"/>
        </a:p>
      </xdr:txBody>
    </xdr:sp>
    <xdr:clientData/>
  </xdr:twoCellAnchor>
  <xdr:twoCellAnchor editAs="oneCell">
    <xdr:from>
      <xdr:col>6</xdr:col>
      <xdr:colOff>1442275</xdr:colOff>
      <xdr:row>0</xdr:row>
      <xdr:rowOff>47625</xdr:rowOff>
    </xdr:from>
    <xdr:to>
      <xdr:col>7</xdr:col>
      <xdr:colOff>1124775</xdr:colOff>
      <xdr:row>0</xdr:row>
      <xdr:rowOff>431673</xdr:rowOff>
    </xdr:to>
    <xdr:sp macro="" textlink="">
      <xdr:nvSpPr>
        <xdr:cNvPr id="3" name="Rounded Rectangle 3">
          <a:extLst>
            <a:ext uri="{FF2B5EF4-FFF2-40B4-BE49-F238E27FC236}">
              <a16:creationId xmlns:a16="http://schemas.microsoft.com/office/drawing/2014/main" id="{00000000-0008-0000-1500-000003000000}"/>
            </a:ext>
          </a:extLst>
        </xdr:cNvPr>
        <xdr:cNvSpPr/>
      </xdr:nvSpPr>
      <xdr:spPr>
        <a:xfrm>
          <a:off x="15863125" y="47625"/>
          <a:ext cx="27876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5</xdr:col>
      <xdr:colOff>2282825</xdr:colOff>
      <xdr:row>0</xdr:row>
      <xdr:rowOff>49149</xdr:rowOff>
    </xdr:from>
    <xdr:to>
      <xdr:col>6</xdr:col>
      <xdr:colOff>923925</xdr:colOff>
      <xdr:row>0</xdr:row>
      <xdr:rowOff>430149</xdr:rowOff>
    </xdr:to>
    <xdr:sp macro="" textlink="">
      <xdr:nvSpPr>
        <xdr:cNvPr id="4" name="Left Arrow 5">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13712825" y="49149"/>
          <a:ext cx="163195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mc:AlternateContent xmlns:mc="http://schemas.openxmlformats.org/markup-compatibility/2006">
    <mc:Choice xmlns:a14="http://schemas.microsoft.com/office/drawing/2010/main" Requires="a14">
      <xdr:twoCellAnchor>
        <xdr:from>
          <xdr:col>2</xdr:col>
          <xdr:colOff>2794000</xdr:colOff>
          <xdr:row>19</xdr:row>
          <xdr:rowOff>146050</xdr:rowOff>
        </xdr:from>
        <xdr:to>
          <xdr:col>3</xdr:col>
          <xdr:colOff>927100</xdr:colOff>
          <xdr:row>21</xdr:row>
          <xdr:rowOff>50800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5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1403350</xdr:colOff>
          <xdr:row>19</xdr:row>
          <xdr:rowOff>146050</xdr:rowOff>
        </xdr:from>
        <xdr:to>
          <xdr:col>3</xdr:col>
          <xdr:colOff>2647950</xdr:colOff>
          <xdr:row>21</xdr:row>
          <xdr:rowOff>57150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1500-000002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1060450</xdr:colOff>
          <xdr:row>19</xdr:row>
          <xdr:rowOff>146050</xdr:rowOff>
        </xdr:from>
        <xdr:to>
          <xdr:col>2</xdr:col>
          <xdr:colOff>717550</xdr:colOff>
          <xdr:row>21</xdr:row>
          <xdr:rowOff>50800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15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Add/Update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1060450</xdr:colOff>
          <xdr:row>19</xdr:row>
          <xdr:rowOff>146050</xdr:rowOff>
        </xdr:from>
        <xdr:to>
          <xdr:col>2</xdr:col>
          <xdr:colOff>2374900</xdr:colOff>
          <xdr:row>21</xdr:row>
          <xdr:rowOff>50800</xdr:rowOff>
        </xdr:to>
        <xdr:sp macro="" textlink="">
          <xdr:nvSpPr>
            <xdr:cNvPr id="76804" name="Button 4" hidden="1">
              <a:extLst>
                <a:ext uri="{63B3BB69-23CF-44E3-9099-C40C66FF867C}">
                  <a14:compatExt spid="_x0000_s76804"/>
                </a:ext>
                <a:ext uri="{FF2B5EF4-FFF2-40B4-BE49-F238E27FC236}">
                  <a16:creationId xmlns:a16="http://schemas.microsoft.com/office/drawing/2014/main" id="{00000000-0008-0000-1500-000004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Edit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1485900</xdr:colOff>
          <xdr:row>0</xdr:row>
          <xdr:rowOff>107950</xdr:rowOff>
        </xdr:from>
        <xdr:to>
          <xdr:col>7</xdr:col>
          <xdr:colOff>971550</xdr:colOff>
          <xdr:row>0</xdr:row>
          <xdr:rowOff>412750</xdr:rowOff>
        </xdr:to>
        <xdr:sp macro="" textlink="">
          <xdr:nvSpPr>
            <xdr:cNvPr id="76805" name="ck_comp_ElectricityEntry" hidden="1">
              <a:extLst>
                <a:ext uri="{63B3BB69-23CF-44E3-9099-C40C66FF867C}">
                  <a14:compatExt spid="_x0000_s76805"/>
                </a:ext>
                <a:ext uri="{FF2B5EF4-FFF2-40B4-BE49-F238E27FC236}">
                  <a16:creationId xmlns:a16="http://schemas.microsoft.com/office/drawing/2014/main" id="{00000000-0008-0000-1500-000005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476250</xdr:colOff>
      <xdr:row>22</xdr:row>
      <xdr:rowOff>177800</xdr:rowOff>
    </xdr:from>
    <xdr:to>
      <xdr:col>1</xdr:col>
      <xdr:colOff>1815779</xdr:colOff>
      <xdr:row>24</xdr:row>
      <xdr:rowOff>4082</xdr:rowOff>
    </xdr:to>
    <xdr:grpSp>
      <xdr:nvGrpSpPr>
        <xdr:cNvPr id="13" name="Group 12">
          <a:extLst>
            <a:ext uri="{FF2B5EF4-FFF2-40B4-BE49-F238E27FC236}">
              <a16:creationId xmlns:a16="http://schemas.microsoft.com/office/drawing/2014/main" id="{00000000-0008-0000-1500-00000D000000}"/>
            </a:ext>
          </a:extLst>
        </xdr:cNvPr>
        <xdr:cNvGrpSpPr/>
      </xdr:nvGrpSpPr>
      <xdr:grpSpPr>
        <a:xfrm>
          <a:off x="476250" y="6357291"/>
          <a:ext cx="1956890" cy="837578"/>
          <a:chOff x="482600" y="12822918"/>
          <a:chExt cx="1955479" cy="842282"/>
        </a:xfrm>
      </xdr:grpSpPr>
      <xdr:pic>
        <xdr:nvPicPr>
          <xdr:cNvPr id="14" name="Picture 13">
            <a:extLst>
              <a:ext uri="{FF2B5EF4-FFF2-40B4-BE49-F238E27FC236}">
                <a16:creationId xmlns:a16="http://schemas.microsoft.com/office/drawing/2014/main" id="{00000000-0008-0000-15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5" name="Picture 14">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200024</xdr:colOff>
      <xdr:row>1</xdr:row>
      <xdr:rowOff>95250</xdr:rowOff>
    </xdr:from>
    <xdr:to>
      <xdr:col>5</xdr:col>
      <xdr:colOff>133350</xdr:colOff>
      <xdr:row>5</xdr:row>
      <xdr:rowOff>49481</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200024" y="581808"/>
          <a:ext cx="8229560" cy="96033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This sheet stores</a:t>
          </a:r>
          <a:r>
            <a:rPr lang="en-US" sz="1100" baseline="0">
              <a:solidFill>
                <a:schemeClr val="dk1"/>
              </a:solidFill>
              <a:latin typeface="+mn-lt"/>
              <a:ea typeface="+mn-ea"/>
              <a:cs typeface="+mn-cs"/>
            </a:rPr>
            <a:t> the individual data records  added via the form on the previous sheet. If you wish to add multiple records  at once without using the input form, you may directly add data to this sheet. Please click on the button to the right to generate a template file with instructions for this process. Please be careful to follow the instructions and enter data using the format and parameters specified in the template. </a:t>
          </a:r>
          <a:r>
            <a:rPr lang="en-US" sz="1100" b="1" baseline="0">
              <a:solidFill>
                <a:schemeClr val="dk1"/>
              </a:solidFill>
              <a:effectLst/>
              <a:latin typeface="+mn-lt"/>
              <a:ea typeface="+mn-ea"/>
              <a:cs typeface="+mn-cs"/>
            </a:rPr>
            <a:t>Once you have manually entered all data to this sheet, please select the "Update Electricity Calculations with Manual Data" button to the right. </a:t>
          </a:r>
          <a:endParaRPr lang="en-US" sz="1100">
            <a:solidFill>
              <a:schemeClr val="dk1"/>
            </a:solidFill>
            <a:latin typeface="+mn-lt"/>
            <a:ea typeface="+mn-ea"/>
            <a:cs typeface="+mn-cs"/>
          </a:endParaRPr>
        </a:p>
      </xdr:txBody>
    </xdr:sp>
    <xdr:clientData/>
  </xdr:twoCellAnchor>
  <xdr:twoCellAnchor editAs="oneCell">
    <xdr:from>
      <xdr:col>4</xdr:col>
      <xdr:colOff>1461325</xdr:colOff>
      <xdr:row>0</xdr:row>
      <xdr:rowOff>57150</xdr:rowOff>
    </xdr:from>
    <xdr:to>
      <xdr:col>6</xdr:col>
      <xdr:colOff>1439100</xdr:colOff>
      <xdr:row>0</xdr:row>
      <xdr:rowOff>441198</xdr:rowOff>
    </xdr:to>
    <xdr:sp macro="" textlink="">
      <xdr:nvSpPr>
        <xdr:cNvPr id="5" name="Rounded Rectangle 4">
          <a:extLst>
            <a:ext uri="{FF2B5EF4-FFF2-40B4-BE49-F238E27FC236}">
              <a16:creationId xmlns:a16="http://schemas.microsoft.com/office/drawing/2014/main" id="{00000000-0008-0000-1600-000005000000}"/>
            </a:ext>
          </a:extLst>
        </xdr:cNvPr>
        <xdr:cNvSpPr/>
      </xdr:nvSpPr>
      <xdr:spPr>
        <a:xfrm>
          <a:off x="7633525" y="57150"/>
          <a:ext cx="259080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3</xdr:col>
      <xdr:colOff>1552575</xdr:colOff>
      <xdr:row>0</xdr:row>
      <xdr:rowOff>58674</xdr:rowOff>
    </xdr:from>
    <xdr:to>
      <xdr:col>4</xdr:col>
      <xdr:colOff>1390650</xdr:colOff>
      <xdr:row>0</xdr:row>
      <xdr:rowOff>439674</xdr:rowOff>
    </xdr:to>
    <xdr:sp macro="" textlink="">
      <xdr:nvSpPr>
        <xdr:cNvPr id="6" name="Left Arrow 5">
          <a:hlinkClick xmlns:r="http://schemas.openxmlformats.org/officeDocument/2006/relationships" r:id="rId1"/>
          <a:extLst>
            <a:ext uri="{FF2B5EF4-FFF2-40B4-BE49-F238E27FC236}">
              <a16:creationId xmlns:a16="http://schemas.microsoft.com/office/drawing/2014/main" id="{00000000-0008-0000-1600-000006000000}"/>
            </a:ext>
          </a:extLst>
        </xdr:cNvPr>
        <xdr:cNvSpPr/>
      </xdr:nvSpPr>
      <xdr:spPr>
        <a:xfrm>
          <a:off x="6086475" y="58674"/>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5</xdr:col>
      <xdr:colOff>476250</xdr:colOff>
      <xdr:row>1</xdr:row>
      <xdr:rowOff>209550</xdr:rowOff>
    </xdr:from>
    <xdr:to>
      <xdr:col>7</xdr:col>
      <xdr:colOff>330200</xdr:colOff>
      <xdr:row>2</xdr:row>
      <xdr:rowOff>514350</xdr:rowOff>
    </xdr:to>
    <xdr:sp macro="[0]!GetElectricityDataTemplate" textlink="">
      <xdr:nvSpPr>
        <xdr:cNvPr id="7" name="toc_StatSummary">
          <a:extLst>
            <a:ext uri="{FF2B5EF4-FFF2-40B4-BE49-F238E27FC236}">
              <a16:creationId xmlns:a16="http://schemas.microsoft.com/office/drawing/2014/main" id="{00000000-0008-0000-1600-000007000000}"/>
            </a:ext>
          </a:extLst>
        </xdr:cNvPr>
        <xdr:cNvSpPr/>
      </xdr:nvSpPr>
      <xdr:spPr>
        <a:xfrm>
          <a:off x="8769350" y="692150"/>
          <a:ext cx="2355850" cy="558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0" cap="none" spc="0">
              <a:ln>
                <a:noFill/>
              </a:ln>
              <a:solidFill>
                <a:schemeClr val="bg1"/>
              </a:solidFill>
              <a:effectLst/>
            </a:rPr>
            <a:t>Create Data</a:t>
          </a:r>
          <a:r>
            <a:rPr lang="en-US" sz="1100" b="0" cap="none" spc="0" baseline="0">
              <a:ln>
                <a:noFill/>
              </a:ln>
              <a:solidFill>
                <a:schemeClr val="bg1"/>
              </a:solidFill>
              <a:effectLst/>
            </a:rPr>
            <a:t> File Template</a:t>
          </a:r>
        </a:p>
      </xdr:txBody>
    </xdr:sp>
    <xdr:clientData/>
  </xdr:twoCellAnchor>
  <mc:AlternateContent xmlns:mc="http://schemas.openxmlformats.org/markup-compatibility/2006">
    <mc:Choice xmlns:a14="http://schemas.microsoft.com/office/drawing/2010/main" Requires="a14">
      <xdr:twoCellAnchor editAs="oneCell">
        <xdr:from>
          <xdr:col>4</xdr:col>
          <xdr:colOff>1479550</xdr:colOff>
          <xdr:row>0</xdr:row>
          <xdr:rowOff>114300</xdr:rowOff>
        </xdr:from>
        <xdr:to>
          <xdr:col>6</xdr:col>
          <xdr:colOff>1384300</xdr:colOff>
          <xdr:row>0</xdr:row>
          <xdr:rowOff>381000</xdr:rowOff>
        </xdr:to>
        <xdr:sp macro="" textlink="">
          <xdr:nvSpPr>
            <xdr:cNvPr id="40961" name="ck_comp_ElectricityData" hidden="1">
              <a:extLst>
                <a:ext uri="{63B3BB69-23CF-44E3-9099-C40C66FF867C}">
                  <a14:compatExt spid="_x0000_s40961"/>
                </a:ext>
                <a:ext uri="{FF2B5EF4-FFF2-40B4-BE49-F238E27FC236}">
                  <a16:creationId xmlns:a16="http://schemas.microsoft.com/office/drawing/2014/main" id="{00000000-0008-0000-1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1028700</xdr:colOff>
          <xdr:row>1</xdr:row>
          <xdr:rowOff>209550</xdr:rowOff>
        </xdr:from>
        <xdr:to>
          <xdr:col>8</xdr:col>
          <xdr:colOff>927100</xdr:colOff>
          <xdr:row>3</xdr:row>
          <xdr:rowOff>31750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600-000002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Update Electricity Calculations with Manual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50800</xdr:colOff>
          <xdr:row>2</xdr:row>
          <xdr:rowOff>50800</xdr:rowOff>
        </xdr:from>
        <xdr:to>
          <xdr:col>9</xdr:col>
          <xdr:colOff>1155700</xdr:colOff>
          <xdr:row>2</xdr:row>
          <xdr:rowOff>457200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1600-000003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Electricity Data</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0</xdr:col>
      <xdr:colOff>466725</xdr:colOff>
      <xdr:row>40</xdr:row>
      <xdr:rowOff>142875</xdr:rowOff>
    </xdr:from>
    <xdr:to>
      <xdr:col>11</xdr:col>
      <xdr:colOff>352425</xdr:colOff>
      <xdr:row>57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466724</xdr:colOff>
      <xdr:row>85</xdr:row>
      <xdr:rowOff>9524</xdr:rowOff>
    </xdr:from>
    <xdr:to>
      <xdr:col>11</xdr:col>
      <xdr:colOff>136072</xdr:colOff>
      <xdr:row>103</xdr:row>
      <xdr:rowOff>9525</xdr:rowOff>
    </xdr:to>
    <xdr:graphicFrame macro="">
      <xdr:nvGraphicFramePr>
        <xdr:cNvPr id="3" name="Chart 2">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773595</xdr:colOff>
      <xdr:row>0</xdr:row>
      <xdr:rowOff>52915</xdr:rowOff>
    </xdr:from>
    <xdr:to>
      <xdr:col>12</xdr:col>
      <xdr:colOff>578862</xdr:colOff>
      <xdr:row>0</xdr:row>
      <xdr:rowOff>427565</xdr:rowOff>
    </xdr:to>
    <xdr:sp macro="" textlink="">
      <xdr:nvSpPr>
        <xdr:cNvPr id="4" name="Left Arrow 3">
          <a:hlinkClick xmlns:r="http://schemas.openxmlformats.org/officeDocument/2006/relationships" r:id="rId3"/>
          <a:extLst>
            <a:ext uri="{FF2B5EF4-FFF2-40B4-BE49-F238E27FC236}">
              <a16:creationId xmlns:a16="http://schemas.microsoft.com/office/drawing/2014/main" id="{00000000-0008-0000-1700-000004000000}"/>
            </a:ext>
          </a:extLst>
        </xdr:cNvPr>
        <xdr:cNvSpPr/>
      </xdr:nvSpPr>
      <xdr:spPr>
        <a:xfrm>
          <a:off x="9377845" y="52915"/>
          <a:ext cx="150495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oneCellAnchor>
    <xdr:from>
      <xdr:col>4</xdr:col>
      <xdr:colOff>80635</xdr:colOff>
      <xdr:row>2</xdr:row>
      <xdr:rowOff>181429</xdr:rowOff>
    </xdr:from>
    <xdr:ext cx="6457950" cy="1425574"/>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5715000" y="856746"/>
          <a:ext cx="6457950" cy="1425574"/>
        </a:xfrm>
        <a:prstGeom prst="rect">
          <a:avLst/>
        </a:prstGeom>
        <a:solidFill>
          <a:schemeClr val="accent3">
            <a:lumMod val="20000"/>
            <a:lumOff val="8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This sheet is where Scope</a:t>
          </a:r>
          <a:r>
            <a:rPr lang="en-US" sz="1100" baseline="0"/>
            <a:t> 2 emissions from grid electricity usage using the </a:t>
          </a:r>
          <a:r>
            <a:rPr lang="en-US" sz="1100" b="1" baseline="0"/>
            <a:t>location-based method </a:t>
          </a:r>
          <a:r>
            <a:rPr lang="en-US" sz="1100" baseline="0"/>
            <a:t>are calculated. </a:t>
          </a:r>
        </a:p>
        <a:p>
          <a:endParaRPr lang="en-US" sz="1100" baseline="0"/>
        </a:p>
        <a:p>
          <a:r>
            <a:rPr lang="en-US" sz="1100" baseline="0"/>
            <a:t>Electricity use by sector shows the total amount of grid-purchased electricity usage and </a:t>
          </a:r>
          <a:r>
            <a:rPr lang="en-US" sz="1100" b="1" u="sng" baseline="0"/>
            <a:t>does not </a:t>
          </a:r>
          <a:r>
            <a:rPr lang="en-US" sz="1100" baseline="0"/>
            <a:t>include kWh purchased through contractual instruments (e.g., RECs, PPAs). Emissions are calculated by each utility entered on the Electricity-Entry tab, by sector, using exclusively the eGRID emissions rate. </a:t>
          </a:r>
        </a:p>
      </xdr:txBody>
    </xdr:sp>
    <xdr:clientData/>
  </xdr:oneCellAnchor>
  <xdr:twoCellAnchor>
    <xdr:from>
      <xdr:col>1</xdr:col>
      <xdr:colOff>12700</xdr:colOff>
      <xdr:row>238</xdr:row>
      <xdr:rowOff>177800</xdr:rowOff>
    </xdr:from>
    <xdr:to>
      <xdr:col>1</xdr:col>
      <xdr:colOff>1968179</xdr:colOff>
      <xdr:row>240</xdr:row>
      <xdr:rowOff>4082</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514350" y="28854400"/>
          <a:ext cx="1955479" cy="842282"/>
          <a:chOff x="482600" y="12822918"/>
          <a:chExt cx="1955479" cy="842282"/>
        </a:xfrm>
      </xdr:grpSpPr>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4" name="Picture 13">
            <a:extLst>
              <a:ext uri="{FF2B5EF4-FFF2-40B4-BE49-F238E27FC236}">
                <a16:creationId xmlns:a16="http://schemas.microsoft.com/office/drawing/2014/main" id="{00000000-0008-0000-1700-00000E000000}"/>
              </a:ext>
            </a:extLst>
          </xdr:cNvPr>
          <xdr:cNvPicPr>
            <a:picLocks noChangeAspect="1"/>
          </xdr:cNvPicPr>
        </xdr:nvPicPr>
        <xdr:blipFill>
          <a:blip xmlns:r="http://schemas.openxmlformats.org/officeDocument/2006/relationships" r:embed="rId5"/>
          <a:stretch>
            <a:fillRect/>
          </a:stretch>
        </xdr:blipFill>
        <xdr:spPr>
          <a:xfrm>
            <a:off x="482600" y="12822918"/>
            <a:ext cx="1071996" cy="842282"/>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9</xdr:col>
      <xdr:colOff>381000</xdr:colOff>
      <xdr:row>0</xdr:row>
      <xdr:rowOff>47625</xdr:rowOff>
    </xdr:from>
    <xdr:to>
      <xdr:col>13</xdr:col>
      <xdr:colOff>395721</xdr:colOff>
      <xdr:row>0</xdr:row>
      <xdr:rowOff>431673</xdr:rowOff>
    </xdr:to>
    <xdr:sp macro="" textlink="">
      <xdr:nvSpPr>
        <xdr:cNvPr id="2" name="Rounded Rectangle 1">
          <a:extLst>
            <a:ext uri="{FF2B5EF4-FFF2-40B4-BE49-F238E27FC236}">
              <a16:creationId xmlns:a16="http://schemas.microsoft.com/office/drawing/2014/main" id="{00000000-0008-0000-1800-000002000000}"/>
            </a:ext>
          </a:extLst>
        </xdr:cNvPr>
        <xdr:cNvSpPr/>
      </xdr:nvSpPr>
      <xdr:spPr>
        <a:xfrm>
          <a:off x="8486775" y="47625"/>
          <a:ext cx="2643621"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7</xdr:col>
      <xdr:colOff>180972</xdr:colOff>
      <xdr:row>0</xdr:row>
      <xdr:rowOff>49149</xdr:rowOff>
    </xdr:from>
    <xdr:to>
      <xdr:col>9</xdr:col>
      <xdr:colOff>318652</xdr:colOff>
      <xdr:row>0</xdr:row>
      <xdr:rowOff>430149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800-000003000000}"/>
            </a:ext>
          </a:extLst>
        </xdr:cNvPr>
        <xdr:cNvSpPr/>
      </xdr:nvSpPr>
      <xdr:spPr>
        <a:xfrm>
          <a:off x="6953247" y="49149"/>
          <a:ext cx="149023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oneCellAnchor>
    <xdr:from>
      <xdr:col>2</xdr:col>
      <xdr:colOff>979991</xdr:colOff>
      <xdr:row>1</xdr:row>
      <xdr:rowOff>97414</xdr:rowOff>
    </xdr:from>
    <xdr:ext cx="7525833" cy="1521835"/>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3456491" y="583189"/>
          <a:ext cx="7525833" cy="1521835"/>
        </a:xfrm>
        <a:prstGeom prst="rect">
          <a:avLst/>
        </a:prstGeom>
        <a:solidFill>
          <a:schemeClr val="accent3">
            <a:lumMod val="20000"/>
            <a:lumOff val="8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This sheet is where you will calculate Scope</a:t>
          </a:r>
          <a:r>
            <a:rPr lang="en-US" sz="1100" baseline="0"/>
            <a:t> 3 emissions from on-road transportation for </a:t>
          </a:r>
          <a:r>
            <a:rPr lang="en-US" sz="1100" b="0" i="0" u="none" strike="noStrike" baseline="0">
              <a:solidFill>
                <a:schemeClr val="tx1"/>
              </a:solidFill>
              <a:latin typeface="+mn-lt"/>
              <a:ea typeface="+mn-ea"/>
              <a:cs typeface="+mn-cs"/>
            </a:rPr>
            <a:t>trips which transcend the community’s geopolitical boundary (i.e., trips that originate </a:t>
          </a:r>
          <a:r>
            <a:rPr lang="en-US" sz="1100" b="0" i="1" u="none" strike="noStrike" baseline="0">
              <a:solidFill>
                <a:schemeClr val="tx1"/>
              </a:solidFill>
              <a:latin typeface="+mn-lt"/>
              <a:ea typeface="+mn-ea"/>
              <a:cs typeface="+mn-cs"/>
            </a:rPr>
            <a:t>or</a:t>
          </a:r>
          <a:r>
            <a:rPr lang="en-US" sz="1100" b="0" i="0" u="none" strike="noStrike" baseline="0">
              <a:solidFill>
                <a:schemeClr val="tx1"/>
              </a:solidFill>
              <a:latin typeface="+mn-lt"/>
              <a:ea typeface="+mn-ea"/>
              <a:cs typeface="+mn-cs"/>
            </a:rPr>
            <a:t> end within the community). These are reported as indirect, Scope 3 emissions.</a:t>
          </a:r>
          <a:endParaRPr lang="en-US" sz="1100" baseline="0"/>
        </a:p>
        <a:p>
          <a:endParaRPr lang="en-US" sz="1100" baseline="0"/>
        </a:p>
        <a:p>
          <a:r>
            <a:rPr lang="en-US" sz="1100" baseline="0"/>
            <a:t>Please enter the number of employees per department and the proportion of those employees who take various modes of transportation to work. Default transportation mode data has been provided, but you may change them if you have additional data.</a:t>
          </a:r>
        </a:p>
        <a:p>
          <a:endParaRPr lang="en-US" sz="1100" baseline="0"/>
        </a:p>
        <a:p>
          <a:r>
            <a:rPr lang="en-US" sz="1100" baseline="0"/>
            <a:t>Once you enter this information, the total emissions from employee commutes will be calculated.</a:t>
          </a:r>
          <a:endParaRPr lang="en-US" sz="1100"/>
        </a:p>
      </xdr:txBody>
    </xdr:sp>
    <xdr:clientData/>
  </xdr:oneCellAnchor>
  <xdr:twoCellAnchor>
    <xdr:from>
      <xdr:col>0</xdr:col>
      <xdr:colOff>598342</xdr:colOff>
      <xdr:row>83</xdr:row>
      <xdr:rowOff>162790</xdr:rowOff>
    </xdr:from>
    <xdr:to>
      <xdr:col>11</xdr:col>
      <xdr:colOff>511969</xdr:colOff>
      <xdr:row>104</xdr:row>
      <xdr:rowOff>35719</xdr:rowOff>
    </xdr:to>
    <xdr:graphicFrame macro="">
      <xdr:nvGraphicFramePr>
        <xdr:cNvPr id="5" name="Chart 4">
          <a:extLst>
            <a:ext uri="{FF2B5EF4-FFF2-40B4-BE49-F238E27FC236}">
              <a16:creationId xmlns:a16="http://schemas.microsoft.com/office/drawing/2014/main" id="{00000000-0008-0000-1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95250</xdr:colOff>
      <xdr:row>187</xdr:row>
      <xdr:rowOff>47625</xdr:rowOff>
    </xdr:from>
    <xdr:to>
      <xdr:col>1</xdr:col>
      <xdr:colOff>1515783</xdr:colOff>
      <xdr:row>187</xdr:row>
      <xdr:rowOff>779145</xdr:rowOff>
    </xdr:to>
    <xdr:grpSp>
      <xdr:nvGrpSpPr>
        <xdr:cNvPr id="9" name="Group 8">
          <a:extLst>
            <a:ext uri="{FF2B5EF4-FFF2-40B4-BE49-F238E27FC236}">
              <a16:creationId xmlns:a16="http://schemas.microsoft.com/office/drawing/2014/main" id="{00000000-0008-0000-1800-000009000000}"/>
            </a:ext>
          </a:extLst>
        </xdr:cNvPr>
        <xdr:cNvGrpSpPr/>
      </xdr:nvGrpSpPr>
      <xdr:grpSpPr>
        <a:xfrm>
          <a:off x="95250" y="22278975"/>
          <a:ext cx="2061883" cy="731520"/>
          <a:chOff x="88900" y="13300075"/>
          <a:chExt cx="2030133" cy="731520"/>
        </a:xfrm>
      </xdr:grpSpPr>
      <xdr:pic>
        <xdr:nvPicPr>
          <xdr:cNvPr id="10" name="Picture 9" descr="ICF_block.png">
            <a:extLst>
              <a:ext uri="{FF2B5EF4-FFF2-40B4-BE49-F238E27FC236}">
                <a16:creationId xmlns:a16="http://schemas.microsoft.com/office/drawing/2014/main" id="{00000000-0008-0000-1800-00000A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9680" t="6612" r="6474" b="12199"/>
          <a:stretch/>
        </xdr:blipFill>
        <xdr:spPr>
          <a:xfrm>
            <a:off x="1506069" y="13368879"/>
            <a:ext cx="612964" cy="593912"/>
          </a:xfrm>
          <a:prstGeom prst="rect">
            <a:avLst/>
          </a:prstGeom>
        </xdr:spPr>
      </xdr:pic>
      <xdr:pic>
        <xdr:nvPicPr>
          <xdr:cNvPr id="11" name="Picture 10" descr="Pages from patel_presentation_6-13-2012.png">
            <a:extLst>
              <a:ext uri="{FF2B5EF4-FFF2-40B4-BE49-F238E27FC236}">
                <a16:creationId xmlns:a16="http://schemas.microsoft.com/office/drawing/2014/main" id="{00000000-0008-0000-1800-00000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61520" t="58664" b="15163"/>
          <a:stretch/>
        </xdr:blipFill>
        <xdr:spPr>
          <a:xfrm>
            <a:off x="88900" y="13300075"/>
            <a:ext cx="1268393" cy="73152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9</xdr:col>
          <xdr:colOff>431800</xdr:colOff>
          <xdr:row>0</xdr:row>
          <xdr:rowOff>107950</xdr:rowOff>
        </xdr:from>
        <xdr:to>
          <xdr:col>13</xdr:col>
          <xdr:colOff>355600</xdr:colOff>
          <xdr:row>0</xdr:row>
          <xdr:rowOff>374650</xdr:rowOff>
        </xdr:to>
        <xdr:sp macro="" textlink="">
          <xdr:nvSpPr>
            <xdr:cNvPr id="43009" name="ck_comp_EmployeeCommute" hidden="1">
              <a:extLst>
                <a:ext uri="{63B3BB69-23CF-44E3-9099-C40C66FF867C}">
                  <a14:compatExt spid="_x0000_s43009"/>
                </a:ext>
                <a:ext uri="{FF2B5EF4-FFF2-40B4-BE49-F238E27FC236}">
                  <a16:creationId xmlns:a16="http://schemas.microsoft.com/office/drawing/2014/main" id="{00000000-0008-0000-18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466725</xdr:colOff>
      <xdr:row>40</xdr:row>
      <xdr:rowOff>142875</xdr:rowOff>
    </xdr:from>
    <xdr:to>
      <xdr:col>11</xdr:col>
      <xdr:colOff>352425</xdr:colOff>
      <xdr:row>57</xdr:row>
      <xdr:rowOff>142875</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466724</xdr:colOff>
      <xdr:row>85</xdr:row>
      <xdr:rowOff>9524</xdr:rowOff>
    </xdr:from>
    <xdr:to>
      <xdr:col>11</xdr:col>
      <xdr:colOff>136072</xdr:colOff>
      <xdr:row>103</xdr:row>
      <xdr:rowOff>9525</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773595</xdr:colOff>
      <xdr:row>0</xdr:row>
      <xdr:rowOff>52915</xdr:rowOff>
    </xdr:from>
    <xdr:to>
      <xdr:col>12</xdr:col>
      <xdr:colOff>582037</xdr:colOff>
      <xdr:row>0</xdr:row>
      <xdr:rowOff>430740</xdr:rowOff>
    </xdr:to>
    <xdr:sp macro="" textlink="">
      <xdr:nvSpPr>
        <xdr:cNvPr id="4" name="Left Arrow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9758845" y="52915"/>
          <a:ext cx="1580092" cy="377825"/>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oneCellAnchor>
    <xdr:from>
      <xdr:col>5</xdr:col>
      <xdr:colOff>95250</xdr:colOff>
      <xdr:row>1</xdr:row>
      <xdr:rowOff>37740</xdr:rowOff>
    </xdr:from>
    <xdr:ext cx="6457950" cy="2368910"/>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5114925" y="523515"/>
          <a:ext cx="6457950" cy="2368910"/>
        </a:xfrm>
        <a:prstGeom prst="rect">
          <a:avLst/>
        </a:prstGeom>
        <a:solidFill>
          <a:schemeClr val="accent3">
            <a:lumMod val="20000"/>
            <a:lumOff val="8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This sheet is where Scope</a:t>
          </a:r>
          <a:r>
            <a:rPr lang="en-US" sz="1100" baseline="0"/>
            <a:t> 2 emissions from electricity usage using the </a:t>
          </a:r>
          <a:r>
            <a:rPr lang="en-US" sz="1100" b="1" baseline="0"/>
            <a:t>market-based</a:t>
          </a:r>
          <a:r>
            <a:rPr lang="en-US" sz="1100" baseline="0"/>
            <a:t> </a:t>
          </a:r>
          <a:r>
            <a:rPr lang="en-US" sz="1100" b="1" baseline="0"/>
            <a:t>method </a:t>
          </a:r>
          <a:r>
            <a:rPr lang="en-US" sz="1100" baseline="0"/>
            <a:t>are calculated. </a:t>
          </a:r>
        </a:p>
        <a:p>
          <a:endParaRPr lang="en-US" sz="1100" baseline="0"/>
        </a:p>
        <a:p>
          <a:r>
            <a:rPr lang="en-US" sz="1100" baseline="0">
              <a:solidFill>
                <a:schemeClr val="tx1"/>
              </a:solidFill>
              <a:effectLst/>
              <a:latin typeface="+mn-lt"/>
              <a:ea typeface="+mn-ea"/>
              <a:cs typeface="+mn-cs"/>
            </a:rPr>
            <a:t>Emissions are calculated for each electricity unit entered on the Electricity-Entry tab, by sector, using the utility-specific emissions rates, excluding the electricity purchased through contractual instruments. The Electricity Use by Sector table shows the total amount of kWh grid usage and purchased contractual instruments that are associated with direct electricity use (e.g., utility electricity purchases, RECs, PPAs). Emissions from electricity purchased through contractual instruments are calculated based on the emission factors entered for each contractual instrument (generally, emission factors for contractual instruments are zero). If electricity is purchased from more than one utility, then the total kWh from contractual instruments is divided </a:t>
          </a:r>
          <a:r>
            <a:rPr lang="en-US" sz="1100">
              <a:solidFill>
                <a:schemeClr val="tx1"/>
              </a:solidFill>
              <a:effectLst/>
              <a:latin typeface="+mn-lt"/>
              <a:ea typeface="+mn-ea"/>
              <a:cs typeface="+mn-cs"/>
            </a:rPr>
            <a:t>based on proportion of total electricity purchased</a:t>
          </a:r>
          <a:r>
            <a:rPr lang="en-US" sz="1100" baseline="0">
              <a:solidFill>
                <a:schemeClr val="tx1"/>
              </a:solidFill>
              <a:effectLst/>
              <a:latin typeface="+mn-lt"/>
              <a:ea typeface="+mn-ea"/>
              <a:cs typeface="+mn-cs"/>
            </a:rPr>
            <a:t> and subtracted from the utilities. Finally, to calculate the total emissions by sector, emissions from contractual instruments and emissions from other grid-supplied electricity are summed. </a:t>
          </a:r>
          <a:endParaRPr lang="en-US">
            <a:effectLst/>
          </a:endParaRPr>
        </a:p>
      </xdr:txBody>
    </xdr:sp>
    <xdr:clientData/>
  </xdr:oneCellAnchor>
  <xdr:twoCellAnchor>
    <xdr:from>
      <xdr:col>1</xdr:col>
      <xdr:colOff>0</xdr:colOff>
      <xdr:row>340</xdr:row>
      <xdr:rowOff>184150</xdr:rowOff>
    </xdr:from>
    <xdr:to>
      <xdr:col>2</xdr:col>
      <xdr:colOff>139379</xdr:colOff>
      <xdr:row>342</xdr:row>
      <xdr:rowOff>10432</xdr:rowOff>
    </xdr:to>
    <xdr:grpSp>
      <xdr:nvGrpSpPr>
        <xdr:cNvPr id="9" name="Group 8">
          <a:extLst>
            <a:ext uri="{FF2B5EF4-FFF2-40B4-BE49-F238E27FC236}">
              <a16:creationId xmlns:a16="http://schemas.microsoft.com/office/drawing/2014/main" id="{00000000-0008-0000-1900-000009000000}"/>
            </a:ext>
          </a:extLst>
        </xdr:cNvPr>
        <xdr:cNvGrpSpPr/>
      </xdr:nvGrpSpPr>
      <xdr:grpSpPr>
        <a:xfrm>
          <a:off x="501650" y="36061650"/>
          <a:ext cx="1955479" cy="842282"/>
          <a:chOff x="482600" y="12822918"/>
          <a:chExt cx="1955479" cy="842282"/>
        </a:xfrm>
      </xdr:grpSpPr>
      <xdr:pic>
        <xdr:nvPicPr>
          <xdr:cNvPr id="10" name="Picture 9">
            <a:extLst>
              <a:ext uri="{FF2B5EF4-FFF2-40B4-BE49-F238E27FC236}">
                <a16:creationId xmlns:a16="http://schemas.microsoft.com/office/drawing/2014/main" id="{00000000-0008-0000-19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1" name="Picture 10">
            <a:extLst>
              <a:ext uri="{FF2B5EF4-FFF2-40B4-BE49-F238E27FC236}">
                <a16:creationId xmlns:a16="http://schemas.microsoft.com/office/drawing/2014/main" id="{00000000-0008-0000-1900-00000B000000}"/>
              </a:ext>
            </a:extLst>
          </xdr:cNvPr>
          <xdr:cNvPicPr>
            <a:picLocks noChangeAspect="1"/>
          </xdr:cNvPicPr>
        </xdr:nvPicPr>
        <xdr:blipFill>
          <a:blip xmlns:r="http://schemas.openxmlformats.org/officeDocument/2006/relationships" r:embed="rId5"/>
          <a:stretch>
            <a:fillRect/>
          </a:stretch>
        </xdr:blipFill>
        <xdr:spPr>
          <a:xfrm>
            <a:off x="482600" y="12822918"/>
            <a:ext cx="1071996" cy="842282"/>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oneCell">
    <xdr:from>
      <xdr:col>8</xdr:col>
      <xdr:colOff>65913</xdr:colOff>
      <xdr:row>0</xdr:row>
      <xdr:rowOff>43624</xdr:rowOff>
    </xdr:from>
    <xdr:to>
      <xdr:col>11</xdr:col>
      <xdr:colOff>551688</xdr:colOff>
      <xdr:row>0</xdr:row>
      <xdr:rowOff>427672</xdr:rowOff>
    </xdr:to>
    <xdr:sp macro="" textlink="">
      <xdr:nvSpPr>
        <xdr:cNvPr id="2" name="Rounded Rectangle 1">
          <a:extLst>
            <a:ext uri="{FF2B5EF4-FFF2-40B4-BE49-F238E27FC236}">
              <a16:creationId xmlns:a16="http://schemas.microsoft.com/office/drawing/2014/main" id="{00000000-0008-0000-1A00-000002000000}"/>
            </a:ext>
          </a:extLst>
        </xdr:cNvPr>
        <xdr:cNvSpPr/>
      </xdr:nvSpPr>
      <xdr:spPr>
        <a:xfrm>
          <a:off x="8981313" y="43624"/>
          <a:ext cx="26098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6</xdr:col>
      <xdr:colOff>895350</xdr:colOff>
      <xdr:row>0</xdr:row>
      <xdr:rowOff>45148</xdr:rowOff>
    </xdr:from>
    <xdr:to>
      <xdr:col>7</xdr:col>
      <xdr:colOff>1285875</xdr:colOff>
      <xdr:row>0</xdr:row>
      <xdr:rowOff>426148</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A00-000003000000}"/>
            </a:ext>
          </a:extLst>
        </xdr:cNvPr>
        <xdr:cNvSpPr/>
      </xdr:nvSpPr>
      <xdr:spPr>
        <a:xfrm>
          <a:off x="7419975" y="45148"/>
          <a:ext cx="148590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xdr:col>
      <xdr:colOff>9524</xdr:colOff>
      <xdr:row>2</xdr:row>
      <xdr:rowOff>66676</xdr:rowOff>
    </xdr:from>
    <xdr:to>
      <xdr:col>9</xdr:col>
      <xdr:colOff>209550</xdr:colOff>
      <xdr:row>7</xdr:row>
      <xdr:rowOff>57150</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600074" y="742951"/>
          <a:ext cx="9829801" cy="942974"/>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0" i="0" u="none" strike="noStrike">
              <a:solidFill>
                <a:schemeClr val="dk1"/>
              </a:solidFill>
              <a:latin typeface="+mn-lt"/>
              <a:ea typeface="+mn-ea"/>
              <a:cs typeface="+mn-cs"/>
            </a:rPr>
            <a:t>This sheet is where you will calculate the Scope </a:t>
          </a:r>
          <a:r>
            <a:rPr lang="en-US" sz="1100" b="0" i="0" u="none" strike="noStrike">
              <a:solidFill>
                <a:schemeClr val="tx1"/>
              </a:solidFill>
              <a:latin typeface="+mn-lt"/>
              <a:ea typeface="+mn-ea"/>
              <a:cs typeface="+mn-cs"/>
            </a:rPr>
            <a:t>3</a:t>
          </a:r>
          <a:r>
            <a:rPr lang="en-US" sz="1100" b="0" i="0" u="none" strike="noStrike">
              <a:solidFill>
                <a:schemeClr val="dk1"/>
              </a:solidFill>
              <a:latin typeface="+mn-lt"/>
              <a:ea typeface="+mn-ea"/>
              <a:cs typeface="+mn-cs"/>
            </a:rPr>
            <a:t> emissions associated with imported water consumption by your community. These emissions are those that are indirectly associated with the electricity use and other emissions required to provide water to your community. </a:t>
          </a:r>
        </a:p>
        <a:p>
          <a:br>
            <a:rPr lang="en-US" sz="1100" b="0" i="0" u="none" strike="noStrike">
              <a:solidFill>
                <a:schemeClr val="dk1"/>
              </a:solidFill>
              <a:latin typeface="+mn-lt"/>
              <a:ea typeface="+mn-ea"/>
              <a:cs typeface="+mn-cs"/>
            </a:rPr>
          </a:br>
          <a:r>
            <a:rPr lang="en-US" sz="1100" b="0" i="0" u="none" strike="noStrike">
              <a:solidFill>
                <a:schemeClr val="dk1"/>
              </a:solidFill>
              <a:latin typeface="+mn-lt"/>
              <a:ea typeface="+mn-ea"/>
              <a:cs typeface="+mn-cs"/>
            </a:rPr>
            <a:t>Any electricity use associated with water within your tribe (such as water pumps) should be entered under the </a:t>
          </a:r>
          <a:r>
            <a:rPr lang="en-US" sz="1100" b="0" i="0" u="none" strike="noStrike">
              <a:solidFill>
                <a:sysClr val="windowText" lastClr="000000"/>
              </a:solidFill>
              <a:latin typeface="+mn-lt"/>
              <a:ea typeface="+mn-ea"/>
              <a:cs typeface="+mn-cs"/>
            </a:rPr>
            <a:t>Electricity tab.</a:t>
          </a:r>
          <a:r>
            <a:rPr lang="en-US" sz="1100" b="0" i="0" u="none" strike="noStrike" baseline="0">
              <a:solidFill>
                <a:sysClr val="windowText" lastClr="000000"/>
              </a:solidFill>
              <a:latin typeface="+mn-lt"/>
              <a:ea typeface="+mn-ea"/>
              <a:cs typeface="+mn-cs"/>
            </a:rPr>
            <a:t> </a:t>
          </a:r>
          <a:endParaRPr lang="en-US" sz="1100" u="sng" baseline="0">
            <a:solidFill>
              <a:srgbClr val="0070C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12</xdr:row>
          <xdr:rowOff>50800</xdr:rowOff>
        </xdr:from>
        <xdr:to>
          <xdr:col>2</xdr:col>
          <xdr:colOff>285750</xdr:colOff>
          <xdr:row>13</xdr:row>
          <xdr:rowOff>69850</xdr:rowOff>
        </xdr:to>
        <xdr:sp macro="" textlink="">
          <xdr:nvSpPr>
            <xdr:cNvPr id="53256" name="Drop Down 8" hidden="1">
              <a:extLst>
                <a:ext uri="{63B3BB69-23CF-44E3-9099-C40C66FF867C}">
                  <a14:compatExt spid="_x0000_s53256"/>
                </a:ext>
                <a:ext uri="{FF2B5EF4-FFF2-40B4-BE49-F238E27FC236}">
                  <a16:creationId xmlns:a16="http://schemas.microsoft.com/office/drawing/2014/main" id="{00000000-0008-0000-1A00-000008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1323978</xdr:colOff>
          <xdr:row>74</xdr:row>
          <xdr:rowOff>158750</xdr:rowOff>
        </xdr:from>
        <xdr:to>
          <xdr:col>3</xdr:col>
          <xdr:colOff>6351</xdr:colOff>
          <xdr:row>76</xdr:row>
          <xdr:rowOff>117475</xdr:rowOff>
        </xdr:to>
        <xdr:grpSp>
          <xdr:nvGrpSpPr>
            <xdr:cNvPr id="9" name="Group 8">
              <a:extLst>
                <a:ext uri="{FF2B5EF4-FFF2-40B4-BE49-F238E27FC236}">
                  <a16:creationId xmlns:a16="http://schemas.microsoft.com/office/drawing/2014/main" id="{00000000-0008-0000-1A00-000009000000}"/>
                </a:ext>
              </a:extLst>
            </xdr:cNvPr>
            <xdr:cNvGrpSpPr/>
          </xdr:nvGrpSpPr>
          <xdr:grpSpPr>
            <a:xfrm>
              <a:off x="1939928" y="8166100"/>
              <a:ext cx="1616073" cy="339725"/>
              <a:chOff x="1933577" y="14516100"/>
              <a:chExt cx="1400163" cy="333375"/>
            </a:xfrm>
          </xdr:grpSpPr>
          <xdr:sp macro="" textlink="">
            <xdr:nvSpPr>
              <xdr:cNvPr id="53262" name="Check Box 14" hidden="1">
                <a:extLst>
                  <a:ext uri="{63B3BB69-23CF-44E3-9099-C40C66FF867C}">
                    <a14:compatExt spid="_x0000_s53262"/>
                  </a:ext>
                  <a:ext uri="{FF2B5EF4-FFF2-40B4-BE49-F238E27FC236}">
                    <a16:creationId xmlns:a16="http://schemas.microsoft.com/office/drawing/2014/main" id="{00000000-0008-0000-1A00-00000ED00000}"/>
                  </a:ext>
                </a:extLst>
              </xdr:cNvPr>
              <xdr:cNvSpPr/>
            </xdr:nvSpPr>
            <xdr:spPr bwMode="auto">
              <a:xfrm>
                <a:off x="1933577" y="14516100"/>
                <a:ext cx="695319" cy="3333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Emissions</a:t>
                </a:r>
              </a:p>
            </xdr:txBody>
          </xdr:sp>
          <xdr:sp macro="" textlink="">
            <xdr:nvSpPr>
              <xdr:cNvPr id="53263" name="Check Box 15" hidden="1">
                <a:extLst>
                  <a:ext uri="{63B3BB69-23CF-44E3-9099-C40C66FF867C}">
                    <a14:compatExt spid="_x0000_s53263"/>
                  </a:ext>
                  <a:ext uri="{FF2B5EF4-FFF2-40B4-BE49-F238E27FC236}">
                    <a16:creationId xmlns:a16="http://schemas.microsoft.com/office/drawing/2014/main" id="{00000000-0008-0000-1A00-00000FD00000}"/>
                  </a:ext>
                </a:extLst>
              </xdr:cNvPr>
              <xdr:cNvSpPr/>
            </xdr:nvSpPr>
            <xdr:spPr bwMode="auto">
              <a:xfrm>
                <a:off x="2733665" y="14516100"/>
                <a:ext cx="600075" cy="3333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Water Use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1349374</xdr:colOff>
          <xdr:row>99</xdr:row>
          <xdr:rowOff>149225</xdr:rowOff>
        </xdr:from>
        <xdr:to>
          <xdr:col>3</xdr:col>
          <xdr:colOff>47631</xdr:colOff>
          <xdr:row>101</xdr:row>
          <xdr:rowOff>130175</xdr:rowOff>
        </xdr:to>
        <xdr:grpSp>
          <xdr:nvGrpSpPr>
            <xdr:cNvPr id="10" name="Group 9">
              <a:extLst>
                <a:ext uri="{FF2B5EF4-FFF2-40B4-BE49-F238E27FC236}">
                  <a16:creationId xmlns:a16="http://schemas.microsoft.com/office/drawing/2014/main" id="{00000000-0008-0000-1A00-00000A000000}"/>
                </a:ext>
              </a:extLst>
            </xdr:cNvPr>
            <xdr:cNvGrpSpPr/>
          </xdr:nvGrpSpPr>
          <xdr:grpSpPr>
            <a:xfrm>
              <a:off x="1965324" y="12900025"/>
              <a:ext cx="1631957" cy="349250"/>
              <a:chOff x="1933562" y="19116675"/>
              <a:chExt cx="1409703" cy="342900"/>
            </a:xfrm>
          </xdr:grpSpPr>
          <xdr:sp macro="" textlink="">
            <xdr:nvSpPr>
              <xdr:cNvPr id="53264" name="Check Box 16" hidden="1">
                <a:extLst>
                  <a:ext uri="{63B3BB69-23CF-44E3-9099-C40C66FF867C}">
                    <a14:compatExt spid="_x0000_s53264"/>
                  </a:ext>
                  <a:ext uri="{FF2B5EF4-FFF2-40B4-BE49-F238E27FC236}">
                    <a16:creationId xmlns:a16="http://schemas.microsoft.com/office/drawing/2014/main" id="{00000000-0008-0000-1A00-000010D00000}"/>
                  </a:ext>
                </a:extLst>
              </xdr:cNvPr>
              <xdr:cNvSpPr/>
            </xdr:nvSpPr>
            <xdr:spPr bwMode="auto">
              <a:xfrm>
                <a:off x="1933562" y="19116675"/>
                <a:ext cx="657222" cy="3429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Emissions</a:t>
                </a:r>
              </a:p>
            </xdr:txBody>
          </xdr:sp>
          <xdr:sp macro="" textlink="">
            <xdr:nvSpPr>
              <xdr:cNvPr id="53265" name="Check Box 17" hidden="1">
                <a:extLst>
                  <a:ext uri="{63B3BB69-23CF-44E3-9099-C40C66FF867C}">
                    <a14:compatExt spid="_x0000_s53265"/>
                  </a:ext>
                  <a:ext uri="{FF2B5EF4-FFF2-40B4-BE49-F238E27FC236}">
                    <a16:creationId xmlns:a16="http://schemas.microsoft.com/office/drawing/2014/main" id="{00000000-0008-0000-1A00-000011D00000}"/>
                  </a:ext>
                </a:extLst>
              </xdr:cNvPr>
              <xdr:cNvSpPr/>
            </xdr:nvSpPr>
            <xdr:spPr bwMode="auto">
              <a:xfrm>
                <a:off x="2743190" y="19116675"/>
                <a:ext cx="600075" cy="34290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Water Use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0</xdr:row>
          <xdr:rowOff>107950</xdr:rowOff>
        </xdr:from>
        <xdr:to>
          <xdr:col>11</xdr:col>
          <xdr:colOff>527050</xdr:colOff>
          <xdr:row>0</xdr:row>
          <xdr:rowOff>374650</xdr:rowOff>
        </xdr:to>
        <xdr:sp macro="" textlink="">
          <xdr:nvSpPr>
            <xdr:cNvPr id="53266" name="ck_comp_Water" hidden="1">
              <a:extLst>
                <a:ext uri="{63B3BB69-23CF-44E3-9099-C40C66FF867C}">
                  <a14:compatExt spid="_x0000_s53266"/>
                </a:ext>
                <a:ext uri="{FF2B5EF4-FFF2-40B4-BE49-F238E27FC236}">
                  <a16:creationId xmlns:a16="http://schemas.microsoft.com/office/drawing/2014/main" id="{00000000-0008-0000-1A00-00001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25400</xdr:colOff>
      <xdr:row>242</xdr:row>
      <xdr:rowOff>0</xdr:rowOff>
    </xdr:from>
    <xdr:to>
      <xdr:col>2</xdr:col>
      <xdr:colOff>196529</xdr:colOff>
      <xdr:row>243</xdr:row>
      <xdr:rowOff>16782</xdr:rowOff>
    </xdr:to>
    <xdr:grpSp>
      <xdr:nvGrpSpPr>
        <xdr:cNvPr id="25" name="Group 24">
          <a:extLst>
            <a:ext uri="{FF2B5EF4-FFF2-40B4-BE49-F238E27FC236}">
              <a16:creationId xmlns:a16="http://schemas.microsoft.com/office/drawing/2014/main" id="{00000000-0008-0000-1A00-000019000000}"/>
            </a:ext>
          </a:extLst>
        </xdr:cNvPr>
        <xdr:cNvGrpSpPr/>
      </xdr:nvGrpSpPr>
      <xdr:grpSpPr>
        <a:xfrm>
          <a:off x="641350" y="28136850"/>
          <a:ext cx="1955479" cy="842282"/>
          <a:chOff x="482600" y="12822918"/>
          <a:chExt cx="1955479" cy="842282"/>
        </a:xfrm>
      </xdr:grpSpPr>
      <xdr:pic>
        <xdr:nvPicPr>
          <xdr:cNvPr id="26" name="Picture 25">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27" name="Picture 26">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twoCellAnchor>
    <xdr:from>
      <xdr:col>1</xdr:col>
      <xdr:colOff>72231</xdr:colOff>
      <xdr:row>102</xdr:row>
      <xdr:rowOff>50007</xdr:rowOff>
    </xdr:from>
    <xdr:to>
      <xdr:col>8</xdr:col>
      <xdr:colOff>552450</xdr:colOff>
      <xdr:row>124</xdr:row>
      <xdr:rowOff>38099</xdr:rowOff>
    </xdr:to>
    <xdr:graphicFrame macro="">
      <xdr:nvGraphicFramePr>
        <xdr:cNvPr id="11" name="Chart 10">
          <a:extLst>
            <a:ext uri="{FF2B5EF4-FFF2-40B4-BE49-F238E27FC236}">
              <a16:creationId xmlns:a16="http://schemas.microsoft.com/office/drawing/2014/main" id="{00000000-0008-0000-1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65879</xdr:colOff>
      <xdr:row>102</xdr:row>
      <xdr:rowOff>37307</xdr:rowOff>
    </xdr:from>
    <xdr:to>
      <xdr:col>8</xdr:col>
      <xdr:colOff>546099</xdr:colOff>
      <xdr:row>124</xdr:row>
      <xdr:rowOff>25400</xdr:rowOff>
    </xdr:to>
    <xdr:graphicFrame macro="">
      <xdr:nvGraphicFramePr>
        <xdr:cNvPr id="12" name="Chart 11">
          <a:extLst>
            <a:ext uri="{FF2B5EF4-FFF2-40B4-BE49-F238E27FC236}">
              <a16:creationId xmlns:a16="http://schemas.microsoft.com/office/drawing/2014/main" id="{00000000-0008-0000-1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64559</xdr:colOff>
      <xdr:row>102</xdr:row>
      <xdr:rowOff>43657</xdr:rowOff>
    </xdr:from>
    <xdr:to>
      <xdr:col>8</xdr:col>
      <xdr:colOff>551392</xdr:colOff>
      <xdr:row>124</xdr:row>
      <xdr:rowOff>26459</xdr:rowOff>
    </xdr:to>
    <xdr:graphicFrame macro="">
      <xdr:nvGraphicFramePr>
        <xdr:cNvPr id="6" name="Chart 5">
          <a:extLst>
            <a:ext uri="{FF2B5EF4-FFF2-40B4-BE49-F238E27FC236}">
              <a16:creationId xmlns:a16="http://schemas.microsoft.com/office/drawing/2014/main" id="{00000000-0008-0000-1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69851</xdr:colOff>
      <xdr:row>77</xdr:row>
      <xdr:rowOff>134937</xdr:rowOff>
    </xdr:from>
    <xdr:to>
      <xdr:col>8</xdr:col>
      <xdr:colOff>556684</xdr:colOff>
      <xdr:row>99</xdr:row>
      <xdr:rowOff>121443</xdr:rowOff>
    </xdr:to>
    <xdr:graphicFrame macro="">
      <xdr:nvGraphicFramePr>
        <xdr:cNvPr id="7" name="Chart 6">
          <a:extLst>
            <a:ext uri="{FF2B5EF4-FFF2-40B4-BE49-F238E27FC236}">
              <a16:creationId xmlns:a16="http://schemas.microsoft.com/office/drawing/2014/main" id="{00000000-0008-0000-1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50800</xdr:colOff>
      <xdr:row>77</xdr:row>
      <xdr:rowOff>137583</xdr:rowOff>
    </xdr:from>
    <xdr:to>
      <xdr:col>8</xdr:col>
      <xdr:colOff>537632</xdr:colOff>
      <xdr:row>99</xdr:row>
      <xdr:rowOff>121444</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58209</xdr:colOff>
      <xdr:row>77</xdr:row>
      <xdr:rowOff>131234</xdr:rowOff>
    </xdr:from>
    <xdr:to>
      <xdr:col>8</xdr:col>
      <xdr:colOff>550333</xdr:colOff>
      <xdr:row>99</xdr:row>
      <xdr:rowOff>116418</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542925</xdr:colOff>
      <xdr:row>0</xdr:row>
      <xdr:rowOff>58674</xdr:rowOff>
    </xdr:from>
    <xdr:to>
      <xdr:col>17</xdr:col>
      <xdr:colOff>200025</xdr:colOff>
      <xdr:row>0</xdr:row>
      <xdr:rowOff>439674</xdr:rowOff>
    </xdr:to>
    <xdr:sp macro="" textlink="">
      <xdr:nvSpPr>
        <xdr:cNvPr id="5" name="Left Arrow 4">
          <a:hlinkClick xmlns:r="http://schemas.openxmlformats.org/officeDocument/2006/relationships" r:id="rId1"/>
          <a:extLst>
            <a:ext uri="{FF2B5EF4-FFF2-40B4-BE49-F238E27FC236}">
              <a16:creationId xmlns:a16="http://schemas.microsoft.com/office/drawing/2014/main" id="{00000000-0008-0000-1B00-000005000000}"/>
            </a:ext>
          </a:extLst>
        </xdr:cNvPr>
        <xdr:cNvSpPr/>
      </xdr:nvSpPr>
      <xdr:spPr>
        <a:xfrm>
          <a:off x="9077325" y="58674"/>
          <a:ext cx="148590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editAs="oneCell">
    <xdr:from>
      <xdr:col>17</xdr:col>
      <xdr:colOff>381000</xdr:colOff>
      <xdr:row>0</xdr:row>
      <xdr:rowOff>57150</xdr:rowOff>
    </xdr:from>
    <xdr:to>
      <xdr:col>21</xdr:col>
      <xdr:colOff>552450</xdr:colOff>
      <xdr:row>0</xdr:row>
      <xdr:rowOff>441198</xdr:rowOff>
    </xdr:to>
    <xdr:sp macro="" textlink="">
      <xdr:nvSpPr>
        <xdr:cNvPr id="6" name="Rounded Rectangle 5">
          <a:extLst>
            <a:ext uri="{FF2B5EF4-FFF2-40B4-BE49-F238E27FC236}">
              <a16:creationId xmlns:a16="http://schemas.microsoft.com/office/drawing/2014/main" id="{00000000-0008-0000-1B00-000006000000}"/>
            </a:ext>
          </a:extLst>
        </xdr:cNvPr>
        <xdr:cNvSpPr/>
      </xdr:nvSpPr>
      <xdr:spPr>
        <a:xfrm>
          <a:off x="10744200" y="57150"/>
          <a:ext cx="26098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17</xdr:col>
          <xdr:colOff>412750</xdr:colOff>
          <xdr:row>0</xdr:row>
          <xdr:rowOff>114300</xdr:rowOff>
        </xdr:from>
        <xdr:to>
          <xdr:col>21</xdr:col>
          <xdr:colOff>527050</xdr:colOff>
          <xdr:row>0</xdr:row>
          <xdr:rowOff>381000</xdr:rowOff>
        </xdr:to>
        <xdr:sp macro="" textlink="">
          <xdr:nvSpPr>
            <xdr:cNvPr id="57345" name="ck_comp_AgLandManagement" hidden="1">
              <a:extLst>
                <a:ext uri="{63B3BB69-23CF-44E3-9099-C40C66FF867C}">
                  <a14:compatExt spid="_x0000_s57345"/>
                </a:ext>
                <a:ext uri="{FF2B5EF4-FFF2-40B4-BE49-F238E27FC236}">
                  <a16:creationId xmlns:a16="http://schemas.microsoft.com/office/drawing/2014/main" id="{00000000-0008-0000-1B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438150</xdr:colOff>
      <xdr:row>2</xdr:row>
      <xdr:rowOff>114300</xdr:rowOff>
    </xdr:from>
    <xdr:to>
      <xdr:col>16</xdr:col>
      <xdr:colOff>238125</xdr:colOff>
      <xdr:row>5</xdr:row>
      <xdr:rowOff>95250</xdr:rowOff>
    </xdr:to>
    <xdr:sp macro="" textlink="">
      <xdr:nvSpPr>
        <xdr:cNvPr id="8" name="TextBox 7">
          <a:extLst>
            <a:ext uri="{FF2B5EF4-FFF2-40B4-BE49-F238E27FC236}">
              <a16:creationId xmlns:a16="http://schemas.microsoft.com/office/drawing/2014/main" id="{00000000-0008-0000-1B00-000008000000}"/>
            </a:ext>
          </a:extLst>
        </xdr:cNvPr>
        <xdr:cNvSpPr txBox="1"/>
      </xdr:nvSpPr>
      <xdr:spPr>
        <a:xfrm>
          <a:off x="438150" y="800100"/>
          <a:ext cx="7429500" cy="5524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0" i="0" u="none" strike="noStrike">
              <a:solidFill>
                <a:schemeClr val="dk1"/>
              </a:solidFill>
              <a:latin typeface="+mn-lt"/>
              <a:ea typeface="+mn-ea"/>
              <a:cs typeface="+mn-cs"/>
            </a:rPr>
            <a:t>This sheet is where you will calculate the Scope </a:t>
          </a:r>
          <a:r>
            <a:rPr lang="en-US" sz="1100" b="0" i="0" u="none" strike="noStrike">
              <a:solidFill>
                <a:schemeClr val="tx1"/>
              </a:solidFill>
              <a:latin typeface="+mn-lt"/>
              <a:ea typeface="+mn-ea"/>
              <a:cs typeface="+mn-cs"/>
            </a:rPr>
            <a:t>3</a:t>
          </a:r>
          <a:r>
            <a:rPr lang="en-US" sz="1100" b="0" i="0" u="none" strike="noStrike">
              <a:solidFill>
                <a:schemeClr val="dk1"/>
              </a:solidFill>
              <a:latin typeface="+mn-lt"/>
              <a:ea typeface="+mn-ea"/>
              <a:cs typeface="+mn-cs"/>
            </a:rPr>
            <a:t> emissions associated with the application of synthetic, organic, and manure fertilizers.  A portion of applied fertilizers volatilize into the air in the form of nitrous oxide (N</a:t>
          </a:r>
          <a:r>
            <a:rPr lang="en-US" sz="1100" b="0" i="0" u="none" strike="noStrike" baseline="-25000">
              <a:solidFill>
                <a:schemeClr val="dk1"/>
              </a:solidFill>
              <a:latin typeface="+mn-lt"/>
              <a:ea typeface="+mn-ea"/>
              <a:cs typeface="+mn-cs"/>
            </a:rPr>
            <a:t>2</a:t>
          </a:r>
          <a:r>
            <a:rPr lang="en-US" sz="1100" b="0" i="0" u="none" strike="noStrike">
              <a:solidFill>
                <a:schemeClr val="dk1"/>
              </a:solidFill>
              <a:latin typeface="+mn-lt"/>
              <a:ea typeface="+mn-ea"/>
              <a:cs typeface="+mn-cs"/>
            </a:rPr>
            <a:t>O), a greenhouse gas.   </a:t>
          </a:r>
        </a:p>
      </xdr:txBody>
    </xdr:sp>
    <xdr:clientData/>
  </xdr:twoCellAnchor>
  <xdr:twoCellAnchor>
    <xdr:from>
      <xdr:col>0</xdr:col>
      <xdr:colOff>355600</xdr:colOff>
      <xdr:row>67</xdr:row>
      <xdr:rowOff>177800</xdr:rowOff>
    </xdr:from>
    <xdr:to>
      <xdr:col>1</xdr:col>
      <xdr:colOff>1701479</xdr:colOff>
      <xdr:row>69</xdr:row>
      <xdr:rowOff>10432</xdr:rowOff>
    </xdr:to>
    <xdr:grpSp>
      <xdr:nvGrpSpPr>
        <xdr:cNvPr id="9" name="Group 8">
          <a:extLst>
            <a:ext uri="{FF2B5EF4-FFF2-40B4-BE49-F238E27FC236}">
              <a16:creationId xmlns:a16="http://schemas.microsoft.com/office/drawing/2014/main" id="{00000000-0008-0000-1B00-000009000000}"/>
            </a:ext>
          </a:extLst>
        </xdr:cNvPr>
        <xdr:cNvGrpSpPr/>
      </xdr:nvGrpSpPr>
      <xdr:grpSpPr>
        <a:xfrm>
          <a:off x="355600" y="7480300"/>
          <a:ext cx="1955479" cy="842282"/>
          <a:chOff x="482600" y="12822918"/>
          <a:chExt cx="1955479" cy="842282"/>
        </a:xfrm>
      </xdr:grpSpPr>
      <xdr:pic>
        <xdr:nvPicPr>
          <xdr:cNvPr id="10" name="Picture 9">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1" name="Picture 10">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523875</xdr:colOff>
      <xdr:row>0</xdr:row>
      <xdr:rowOff>49149</xdr:rowOff>
    </xdr:from>
    <xdr:to>
      <xdr:col>17</xdr:col>
      <xdr:colOff>180975</xdr:colOff>
      <xdr:row>0</xdr:row>
      <xdr:rowOff>430149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C00-000003000000}"/>
            </a:ext>
          </a:extLst>
        </xdr:cNvPr>
        <xdr:cNvSpPr/>
      </xdr:nvSpPr>
      <xdr:spPr>
        <a:xfrm>
          <a:off x="9058275" y="49149"/>
          <a:ext cx="1485900"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editAs="oneCell">
    <xdr:from>
      <xdr:col>17</xdr:col>
      <xdr:colOff>361950</xdr:colOff>
      <xdr:row>0</xdr:row>
      <xdr:rowOff>47625</xdr:rowOff>
    </xdr:from>
    <xdr:to>
      <xdr:col>21</xdr:col>
      <xdr:colOff>533400</xdr:colOff>
      <xdr:row>0</xdr:row>
      <xdr:rowOff>431673</xdr:rowOff>
    </xdr:to>
    <xdr:sp macro="" textlink="">
      <xdr:nvSpPr>
        <xdr:cNvPr id="4" name="Rounded Rectangle 3">
          <a:extLst>
            <a:ext uri="{FF2B5EF4-FFF2-40B4-BE49-F238E27FC236}">
              <a16:creationId xmlns:a16="http://schemas.microsoft.com/office/drawing/2014/main" id="{00000000-0008-0000-1C00-000004000000}"/>
            </a:ext>
          </a:extLst>
        </xdr:cNvPr>
        <xdr:cNvSpPr/>
      </xdr:nvSpPr>
      <xdr:spPr>
        <a:xfrm>
          <a:off x="10725150" y="47625"/>
          <a:ext cx="26098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17</xdr:col>
          <xdr:colOff>393700</xdr:colOff>
          <xdr:row>0</xdr:row>
          <xdr:rowOff>107950</xdr:rowOff>
        </xdr:from>
        <xdr:to>
          <xdr:col>21</xdr:col>
          <xdr:colOff>508000</xdr:colOff>
          <xdr:row>0</xdr:row>
          <xdr:rowOff>374650</xdr:rowOff>
        </xdr:to>
        <xdr:sp macro="" textlink="">
          <xdr:nvSpPr>
            <xdr:cNvPr id="55297" name="ck_comp_UrbanForestry" hidden="1">
              <a:extLst>
                <a:ext uri="{63B3BB69-23CF-44E3-9099-C40C66FF867C}">
                  <a14:compatExt spid="_x0000_s55297"/>
                </a:ext>
                <a:ext uri="{FF2B5EF4-FFF2-40B4-BE49-F238E27FC236}">
                  <a16:creationId xmlns:a16="http://schemas.microsoft.com/office/drawing/2014/main" id="{00000000-0008-0000-1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0</xdr:colOff>
      <xdr:row>1</xdr:row>
      <xdr:rowOff>180974</xdr:rowOff>
    </xdr:from>
    <xdr:to>
      <xdr:col>16</xdr:col>
      <xdr:colOff>323851</xdr:colOff>
      <xdr:row>5</xdr:row>
      <xdr:rowOff>114299</xdr:rowOff>
    </xdr:to>
    <xdr:sp macro="" textlink="">
      <xdr:nvSpPr>
        <xdr:cNvPr id="8" name="TextBox 7">
          <a:extLst>
            <a:ext uri="{FF2B5EF4-FFF2-40B4-BE49-F238E27FC236}">
              <a16:creationId xmlns:a16="http://schemas.microsoft.com/office/drawing/2014/main" id="{00000000-0008-0000-1C00-000008000000}"/>
            </a:ext>
          </a:extLst>
        </xdr:cNvPr>
        <xdr:cNvSpPr txBox="1"/>
      </xdr:nvSpPr>
      <xdr:spPr>
        <a:xfrm>
          <a:off x="609600" y="666749"/>
          <a:ext cx="7981951" cy="65722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0" i="0" u="none" strike="noStrike">
              <a:solidFill>
                <a:schemeClr val="dk1"/>
              </a:solidFill>
              <a:latin typeface="+mn-lt"/>
              <a:ea typeface="+mn-ea"/>
              <a:cs typeface="+mn-cs"/>
            </a:rPr>
            <a:t>This sheet is where you will estimate the Scope </a:t>
          </a:r>
          <a:r>
            <a:rPr lang="en-US" sz="1100" b="0" i="0" u="none" strike="noStrike">
              <a:solidFill>
                <a:schemeClr val="tx1"/>
              </a:solidFill>
              <a:latin typeface="+mn-lt"/>
              <a:ea typeface="+mn-ea"/>
              <a:cs typeface="+mn-cs"/>
            </a:rPr>
            <a:t>3</a:t>
          </a:r>
          <a:r>
            <a:rPr lang="en-US" sz="1100" b="0" i="0" u="none" strike="noStrike">
              <a:solidFill>
                <a:schemeClr val="dk1"/>
              </a:solidFill>
              <a:latin typeface="+mn-lt"/>
              <a:ea typeface="+mn-ea"/>
              <a:cs typeface="+mn-cs"/>
            </a:rPr>
            <a:t> carbon</a:t>
          </a:r>
          <a:r>
            <a:rPr lang="en-US" sz="1100" b="0" i="0" u="none" strike="noStrike" baseline="0">
              <a:solidFill>
                <a:schemeClr val="dk1"/>
              </a:solidFill>
              <a:latin typeface="+mn-lt"/>
              <a:ea typeface="+mn-ea"/>
              <a:cs typeface="+mn-cs"/>
            </a:rPr>
            <a:t> dioxide sequestration </a:t>
          </a:r>
          <a:r>
            <a:rPr lang="en-US" sz="1100" b="0" i="0" u="none" strike="noStrike">
              <a:solidFill>
                <a:schemeClr val="dk1"/>
              </a:solidFill>
              <a:latin typeface="+mn-lt"/>
              <a:ea typeface="+mn-ea"/>
              <a:cs typeface="+mn-cs"/>
            </a:rPr>
            <a:t>associated with urban trees located within the</a:t>
          </a:r>
          <a:r>
            <a:rPr lang="en-US" sz="1100" b="0" i="0" u="none" strike="noStrike" baseline="0">
              <a:solidFill>
                <a:schemeClr val="dk1"/>
              </a:solidFill>
              <a:latin typeface="+mn-lt"/>
              <a:ea typeface="+mn-ea"/>
              <a:cs typeface="+mn-cs"/>
            </a:rPr>
            <a:t> borders of your community</a:t>
          </a:r>
          <a:r>
            <a:rPr lang="en-US" sz="1100" b="0" i="0" u="none" strike="noStrike">
              <a:solidFill>
                <a:schemeClr val="dk1"/>
              </a:solidFill>
              <a:latin typeface="+mn-lt"/>
              <a:ea typeface="+mn-ea"/>
              <a:cs typeface="+mn-cs"/>
            </a:rPr>
            <a:t>. Changes in carbon stocks in urban trees are equivalent</a:t>
          </a:r>
          <a:r>
            <a:rPr lang="en-US" sz="1100" b="0" i="0" u="none" strike="noStrike" baseline="0">
              <a:solidFill>
                <a:schemeClr val="dk1"/>
              </a:solidFill>
              <a:latin typeface="+mn-lt"/>
              <a:ea typeface="+mn-ea"/>
              <a:cs typeface="+mn-cs"/>
            </a:rPr>
            <a:t> to tree growth minus biomass losses resulting from pruning and mortality. Net carbon sequestration can be calculated using data on crown cover area or number of trees. </a:t>
          </a:r>
          <a:r>
            <a:rPr lang="en-US" sz="1100" b="0" i="0" u="none" strike="noStrike">
              <a:solidFill>
                <a:schemeClr val="dk1"/>
              </a:solidFill>
              <a:latin typeface="+mn-lt"/>
              <a:ea typeface="+mn-ea"/>
              <a:cs typeface="+mn-cs"/>
            </a:rPr>
            <a:t> </a:t>
          </a:r>
        </a:p>
      </xdr:txBody>
    </xdr:sp>
    <xdr:clientData/>
  </xdr:twoCellAnchor>
  <xdr:twoCellAnchor>
    <xdr:from>
      <xdr:col>7</xdr:col>
      <xdr:colOff>295274</xdr:colOff>
      <xdr:row>6</xdr:row>
      <xdr:rowOff>57151</xdr:rowOff>
    </xdr:from>
    <xdr:to>
      <xdr:col>19</xdr:col>
      <xdr:colOff>85725</xdr:colOff>
      <xdr:row>10</xdr:row>
      <xdr:rowOff>152400</xdr:rowOff>
    </xdr:to>
    <xdr:sp macro="" textlink="">
      <xdr:nvSpPr>
        <xdr:cNvPr id="9" name="TextBox 8">
          <a:extLst>
            <a:ext uri="{FF2B5EF4-FFF2-40B4-BE49-F238E27FC236}">
              <a16:creationId xmlns:a16="http://schemas.microsoft.com/office/drawing/2014/main" id="{00000000-0008-0000-1C00-000009000000}"/>
            </a:ext>
          </a:extLst>
        </xdr:cNvPr>
        <xdr:cNvSpPr txBox="1"/>
      </xdr:nvSpPr>
      <xdr:spPr>
        <a:xfrm>
          <a:off x="6486524" y="1495426"/>
          <a:ext cx="3448051" cy="1295399"/>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100" b="1" u="sng">
              <a:solidFill>
                <a:schemeClr val="bg1"/>
              </a:solidFill>
            </a:rPr>
            <a:t>Helpful</a:t>
          </a:r>
          <a:r>
            <a:rPr lang="en-US" sz="1100" b="1" u="sng" baseline="0">
              <a:solidFill>
                <a:schemeClr val="bg1"/>
              </a:solidFill>
            </a:rPr>
            <a:t> Hints -- Potentially Useful Conversions</a:t>
          </a:r>
          <a:endParaRPr lang="en-US" sz="1100" b="0" u="none" baseline="0">
            <a:solidFill>
              <a:schemeClr val="bg1"/>
            </a:solidFill>
          </a:endParaRPr>
        </a:p>
        <a:p>
          <a:pPr algn="l"/>
          <a:endParaRPr lang="en-US" sz="1100" b="0" u="none" baseline="0">
            <a:solidFill>
              <a:schemeClr val="bg1"/>
            </a:solidFill>
          </a:endParaRPr>
        </a:p>
        <a:p>
          <a:pPr algn="l"/>
          <a:r>
            <a:rPr lang="en-US" sz="1100" b="0" u="sng" baseline="0">
              <a:solidFill>
                <a:schemeClr val="bg1"/>
              </a:solidFill>
            </a:rPr>
            <a:t>Urban Area Conversions</a:t>
          </a:r>
        </a:p>
        <a:p>
          <a:pPr algn="l"/>
          <a:r>
            <a:rPr lang="en-US" sz="1100" b="0" u="none" baseline="0">
              <a:solidFill>
                <a:schemeClr val="bg1"/>
              </a:solidFill>
            </a:rPr>
            <a:t>   1 km</a:t>
          </a:r>
          <a:r>
            <a:rPr lang="en-US" sz="1100" b="0" u="none" baseline="30000">
              <a:solidFill>
                <a:schemeClr val="bg1"/>
              </a:solidFill>
            </a:rPr>
            <a:t>2</a:t>
          </a:r>
          <a:r>
            <a:rPr lang="en-US" sz="1100" b="0" u="none" baseline="0">
              <a:solidFill>
                <a:schemeClr val="bg1"/>
              </a:solidFill>
            </a:rPr>
            <a:t> = 247.1 acres</a:t>
          </a: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a:t>
          </a:r>
          <a:r>
            <a:rPr lang="en-US" sz="1100" b="0" baseline="0">
              <a:solidFill>
                <a:schemeClr val="bg1"/>
              </a:solidFill>
              <a:effectLst/>
              <a:latin typeface="+mn-lt"/>
              <a:ea typeface="+mn-ea"/>
              <a:cs typeface="+mn-cs"/>
            </a:rPr>
            <a:t>1 km</a:t>
          </a:r>
          <a:r>
            <a:rPr lang="en-US" sz="1100" b="0" baseline="30000">
              <a:solidFill>
                <a:schemeClr val="bg1"/>
              </a:solidFill>
              <a:effectLst/>
              <a:latin typeface="+mn-lt"/>
              <a:ea typeface="+mn-ea"/>
              <a:cs typeface="+mn-cs"/>
            </a:rPr>
            <a:t>2</a:t>
          </a:r>
          <a:r>
            <a:rPr lang="en-US" sz="1100" b="0" baseline="0">
              <a:solidFill>
                <a:schemeClr val="bg1"/>
              </a:solidFill>
              <a:effectLst/>
              <a:latin typeface="+mn-lt"/>
              <a:ea typeface="+mn-ea"/>
              <a:cs typeface="+mn-cs"/>
            </a:rPr>
            <a:t> = 0.39 square miles </a:t>
          </a:r>
          <a:endParaRPr lang="en-US" sz="1100" b="0" u="none" baseline="0">
            <a:solidFill>
              <a:schemeClr val="bg1"/>
            </a:solidFill>
          </a:endParaRPr>
        </a:p>
        <a:p>
          <a:pPr algn="l"/>
          <a:endParaRPr lang="en-US" sz="1100" b="0" u="none" baseline="0">
            <a:solidFill>
              <a:schemeClr val="bg1"/>
            </a:solidFill>
          </a:endParaRPr>
        </a:p>
        <a:p>
          <a:pPr algn="ctr"/>
          <a:r>
            <a:rPr lang="en-US" sz="1100" b="0" u="none" baseline="0">
              <a:solidFill>
                <a:schemeClr val="bg1"/>
              </a:solidFill>
            </a:rPr>
            <a:t>Total U.S. percent of urban area with tree cover is 27%.</a:t>
          </a:r>
        </a:p>
      </xdr:txBody>
    </xdr:sp>
    <xdr:clientData/>
  </xdr:twoCellAnchor>
  <xdr:twoCellAnchor>
    <xdr:from>
      <xdr:col>0</xdr:col>
      <xdr:colOff>387350</xdr:colOff>
      <xdr:row>68</xdr:row>
      <xdr:rowOff>0</xdr:rowOff>
    </xdr:from>
    <xdr:to>
      <xdr:col>1</xdr:col>
      <xdr:colOff>1733229</xdr:colOff>
      <xdr:row>69</xdr:row>
      <xdr:rowOff>16782</xdr:rowOff>
    </xdr:to>
    <xdr:grpSp>
      <xdr:nvGrpSpPr>
        <xdr:cNvPr id="12" name="Group 11">
          <a:extLst>
            <a:ext uri="{FF2B5EF4-FFF2-40B4-BE49-F238E27FC236}">
              <a16:creationId xmlns:a16="http://schemas.microsoft.com/office/drawing/2014/main" id="{00000000-0008-0000-1C00-00000C000000}"/>
            </a:ext>
          </a:extLst>
        </xdr:cNvPr>
        <xdr:cNvGrpSpPr/>
      </xdr:nvGrpSpPr>
      <xdr:grpSpPr>
        <a:xfrm>
          <a:off x="387350" y="7772400"/>
          <a:ext cx="1955479" cy="842282"/>
          <a:chOff x="482600" y="12822918"/>
          <a:chExt cx="1955479" cy="842282"/>
        </a:xfrm>
      </xdr:grpSpPr>
      <xdr:pic>
        <xdr:nvPicPr>
          <xdr:cNvPr id="13" name="Picture 12">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4" name="Picture 13">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26.xml><?xml version="1.0" encoding="utf-8"?>
<xdr:wsDr xmlns:xdr="http://schemas.openxmlformats.org/drawingml/2006/spreadsheetDrawing" xmlns:a="http://schemas.openxmlformats.org/drawingml/2006/main">
  <xdr:twoCellAnchor editAs="oneCell">
    <xdr:from>
      <xdr:col>6</xdr:col>
      <xdr:colOff>523875</xdr:colOff>
      <xdr:row>0</xdr:row>
      <xdr:rowOff>58674</xdr:rowOff>
    </xdr:from>
    <xdr:to>
      <xdr:col>9</xdr:col>
      <xdr:colOff>177800</xdr:colOff>
      <xdr:row>0</xdr:row>
      <xdr:rowOff>445897</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7715250" y="58674"/>
          <a:ext cx="1485900" cy="384048"/>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editAs="oneCell">
    <xdr:from>
      <xdr:col>9</xdr:col>
      <xdr:colOff>366712</xdr:colOff>
      <xdr:row>0</xdr:row>
      <xdr:rowOff>57150</xdr:rowOff>
    </xdr:from>
    <xdr:to>
      <xdr:col>13</xdr:col>
      <xdr:colOff>541337</xdr:colOff>
      <xdr:row>0</xdr:row>
      <xdr:rowOff>441198</xdr:rowOff>
    </xdr:to>
    <xdr:sp macro="" textlink="">
      <xdr:nvSpPr>
        <xdr:cNvPr id="3" name="Rounded Rectangle 2">
          <a:extLst>
            <a:ext uri="{FF2B5EF4-FFF2-40B4-BE49-F238E27FC236}">
              <a16:creationId xmlns:a16="http://schemas.microsoft.com/office/drawing/2014/main" id="{00000000-0008-0000-1D00-000003000000}"/>
            </a:ext>
          </a:extLst>
        </xdr:cNvPr>
        <xdr:cNvSpPr/>
      </xdr:nvSpPr>
      <xdr:spPr>
        <a:xfrm>
          <a:off x="9386887" y="57150"/>
          <a:ext cx="2609850" cy="38404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9</xdr:col>
          <xdr:colOff>412750</xdr:colOff>
          <xdr:row>0</xdr:row>
          <xdr:rowOff>152400</xdr:rowOff>
        </xdr:from>
        <xdr:to>
          <xdr:col>13</xdr:col>
          <xdr:colOff>546100</xdr:colOff>
          <xdr:row>0</xdr:row>
          <xdr:rowOff>355600</xdr:rowOff>
        </xdr:to>
        <xdr:sp macro="" textlink="">
          <xdr:nvSpPr>
            <xdr:cNvPr id="61443" name="CheckBox1" hidden="1">
              <a:extLst>
                <a:ext uri="{63B3BB69-23CF-44E3-9099-C40C66FF867C}">
                  <a14:compatExt spid="_x0000_s61443"/>
                </a:ext>
                <a:ext uri="{FF2B5EF4-FFF2-40B4-BE49-F238E27FC236}">
                  <a16:creationId xmlns:a16="http://schemas.microsoft.com/office/drawing/2014/main" id="{00000000-0008-0000-1D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0</xdr:colOff>
      <xdr:row>2</xdr:row>
      <xdr:rowOff>0</xdr:rowOff>
    </xdr:from>
    <xdr:to>
      <xdr:col>10</xdr:col>
      <xdr:colOff>447676</xdr:colOff>
      <xdr:row>3</xdr:row>
      <xdr:rowOff>9525</xdr:rowOff>
    </xdr:to>
    <xdr:sp macro="" textlink="">
      <xdr:nvSpPr>
        <xdr:cNvPr id="8" name="TextBox 7">
          <a:extLst>
            <a:ext uri="{FF2B5EF4-FFF2-40B4-BE49-F238E27FC236}">
              <a16:creationId xmlns:a16="http://schemas.microsoft.com/office/drawing/2014/main" id="{00000000-0008-0000-1D00-000008000000}"/>
            </a:ext>
          </a:extLst>
        </xdr:cNvPr>
        <xdr:cNvSpPr txBox="1"/>
      </xdr:nvSpPr>
      <xdr:spPr>
        <a:xfrm>
          <a:off x="609600" y="676275"/>
          <a:ext cx="9467851" cy="116205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Ins="2286000" rtlCol="0" anchor="t"/>
        <a:lstStyle/>
        <a:p>
          <a:r>
            <a:rPr lang="en-US" sz="1100" b="0" i="0" u="none" strike="noStrike">
              <a:solidFill>
                <a:schemeClr val="dk1"/>
              </a:solidFill>
              <a:latin typeface="+mn-lt"/>
              <a:ea typeface="+mn-ea"/>
              <a:cs typeface="+mn-cs"/>
            </a:rPr>
            <a:t>This sheet is where you will estimate the Scope </a:t>
          </a:r>
          <a:r>
            <a:rPr lang="en-US" sz="1100" b="0" i="0" u="none" strike="noStrike">
              <a:solidFill>
                <a:schemeClr val="tx1"/>
              </a:solidFill>
              <a:latin typeface="+mn-lt"/>
              <a:ea typeface="+mn-ea"/>
              <a:cs typeface="+mn-cs"/>
            </a:rPr>
            <a:t>3</a:t>
          </a:r>
          <a:r>
            <a:rPr lang="en-US" sz="1100" b="0" i="0" u="none" strike="noStrike">
              <a:solidFill>
                <a:schemeClr val="dk1"/>
              </a:solidFill>
              <a:latin typeface="+mn-lt"/>
              <a:ea typeface="+mn-ea"/>
              <a:cs typeface="+mn-cs"/>
            </a:rPr>
            <a:t> emissions</a:t>
          </a:r>
          <a:r>
            <a:rPr lang="en-US" sz="1100" b="0" i="0" u="none" strike="noStrike" baseline="0">
              <a:solidFill>
                <a:schemeClr val="dk1"/>
              </a:solidFill>
              <a:latin typeface="+mn-lt"/>
              <a:ea typeface="+mn-ea"/>
              <a:cs typeface="+mn-cs"/>
            </a:rPr>
            <a:t> </a:t>
          </a:r>
          <a:r>
            <a:rPr lang="en-US" sz="1100" b="0" i="0" u="none" strike="noStrike">
              <a:solidFill>
                <a:schemeClr val="dk1"/>
              </a:solidFill>
              <a:latin typeface="+mn-lt"/>
              <a:ea typeface="+mn-ea"/>
              <a:cs typeface="+mn-cs"/>
            </a:rPr>
            <a:t>associated with</a:t>
          </a:r>
          <a:r>
            <a:rPr lang="en-US" sz="1100" b="0" i="0" u="none" strike="noStrike" baseline="0">
              <a:solidFill>
                <a:schemeClr val="dk1"/>
              </a:solidFill>
              <a:latin typeface="+mn-lt"/>
              <a:ea typeface="+mn-ea"/>
              <a:cs typeface="+mn-cs"/>
            </a:rPr>
            <a:t> the decomposition of waste </a:t>
          </a:r>
          <a:r>
            <a:rPr lang="en-US" sz="1100" b="0" i="0" baseline="0">
              <a:solidFill>
                <a:schemeClr val="dk1"/>
              </a:solidFill>
              <a:effectLst/>
              <a:latin typeface="+mn-lt"/>
              <a:ea typeface="+mn-ea"/>
              <a:cs typeface="+mn-cs"/>
            </a:rPr>
            <a:t>generated within the borders by your community, but landfilled elsewhere. This sheet applies to waste </a:t>
          </a:r>
          <a:r>
            <a:rPr lang="en-US" sz="1100" b="0" i="0" u="none" strike="noStrike" baseline="0">
              <a:solidFill>
                <a:schemeClr val="dk1"/>
              </a:solidFill>
              <a:latin typeface="+mn-lt"/>
              <a:ea typeface="+mn-ea"/>
              <a:cs typeface="+mn-cs"/>
            </a:rPr>
            <a:t>produced directly or indirectly by your community's activities and disposed of in a solid waste facility not operated within the community's geopolitical boundaries. It is optional to report these Scope 3 emissions. If the waste is disposed of in a facility operated within the community's geopolitical boundaries, emissions should be calculated as Scope 1 emissions on the Solid Waste-Control and Solid Waste-Entry sheets. </a:t>
          </a:r>
          <a:endParaRPr lang="en-US" sz="1100" b="0" i="0" u="none" strike="noStrike">
            <a:solidFill>
              <a:schemeClr val="dk1"/>
            </a:solidFill>
            <a:latin typeface="+mn-lt"/>
            <a:ea typeface="+mn-ea"/>
            <a:cs typeface="+mn-cs"/>
          </a:endParaRPr>
        </a:p>
      </xdr:txBody>
    </xdr:sp>
    <xdr:clientData/>
  </xdr:twoCellAnchor>
  <xdr:twoCellAnchor>
    <xdr:from>
      <xdr:col>7</xdr:col>
      <xdr:colOff>333375</xdr:colOff>
      <xdr:row>2</xdr:row>
      <xdr:rowOff>219075</xdr:rowOff>
    </xdr:from>
    <xdr:to>
      <xdr:col>10</xdr:col>
      <xdr:colOff>285750</xdr:colOff>
      <xdr:row>2</xdr:row>
      <xdr:rowOff>733424</xdr:rowOff>
    </xdr:to>
    <xdr:sp macro="" textlink="">
      <xdr:nvSpPr>
        <xdr:cNvPr id="12" name="Pentagon 11">
          <a:hlinkClick xmlns:r="http://schemas.openxmlformats.org/officeDocument/2006/relationships" r:id="rId2"/>
          <a:extLst>
            <a:ext uri="{FF2B5EF4-FFF2-40B4-BE49-F238E27FC236}">
              <a16:creationId xmlns:a16="http://schemas.microsoft.com/office/drawing/2014/main" id="{00000000-0008-0000-1D00-00000C000000}"/>
            </a:ext>
          </a:extLst>
        </xdr:cNvPr>
        <xdr:cNvSpPr/>
      </xdr:nvSpPr>
      <xdr:spPr>
        <a:xfrm>
          <a:off x="8134350" y="895350"/>
          <a:ext cx="1781175" cy="514349"/>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Calculate</a:t>
          </a:r>
          <a:r>
            <a:rPr lang="en-US" sz="1100" baseline="0"/>
            <a:t> Scope 1 Solid Waste Emissions</a:t>
          </a:r>
          <a:endParaRPr lang="en-US" sz="1100"/>
        </a:p>
      </xdr:txBody>
    </xdr:sp>
    <xdr:clientData/>
  </xdr:twoCellAnchor>
  <xdr:twoCellAnchor>
    <xdr:from>
      <xdr:col>7</xdr:col>
      <xdr:colOff>0</xdr:colOff>
      <xdr:row>6</xdr:row>
      <xdr:rowOff>0</xdr:rowOff>
    </xdr:from>
    <xdr:to>
      <xdr:col>9</xdr:col>
      <xdr:colOff>561975</xdr:colOff>
      <xdr:row>9</xdr:row>
      <xdr:rowOff>66675</xdr:rowOff>
    </xdr:to>
    <xdr:sp macro="" textlink="">
      <xdr:nvSpPr>
        <xdr:cNvPr id="13" name="Pentagon 12">
          <a:hlinkClick xmlns:r="http://schemas.openxmlformats.org/officeDocument/2006/relationships" r:id="rId3"/>
          <a:extLst>
            <a:ext uri="{FF2B5EF4-FFF2-40B4-BE49-F238E27FC236}">
              <a16:creationId xmlns:a16="http://schemas.microsoft.com/office/drawing/2014/main" id="{00000000-0008-0000-1D00-00000D000000}"/>
            </a:ext>
          </a:extLst>
        </xdr:cNvPr>
        <xdr:cNvSpPr/>
      </xdr:nvSpPr>
      <xdr:spPr>
        <a:xfrm>
          <a:off x="7800975" y="2266950"/>
          <a:ext cx="1781175" cy="6381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Calculate</a:t>
          </a:r>
          <a:r>
            <a:rPr lang="en-US" sz="1100" baseline="0"/>
            <a:t> Scope 3 Emissions in WARM (</a:t>
          </a:r>
          <a:r>
            <a:rPr lang="en-US" sz="1100" i="1" baseline="0"/>
            <a:t>links to the EPA website</a:t>
          </a:r>
          <a:r>
            <a:rPr lang="en-US" sz="1100" baseline="0"/>
            <a:t>)</a:t>
          </a:r>
          <a:endParaRPr lang="en-US" sz="1100"/>
        </a:p>
      </xdr:txBody>
    </xdr:sp>
    <xdr:clientData/>
  </xdr:twoCellAnchor>
  <xdr:twoCellAnchor>
    <xdr:from>
      <xdr:col>1</xdr:col>
      <xdr:colOff>12700</xdr:colOff>
      <xdr:row>39</xdr:row>
      <xdr:rowOff>177800</xdr:rowOff>
    </xdr:from>
    <xdr:to>
      <xdr:col>1</xdr:col>
      <xdr:colOff>1968179</xdr:colOff>
      <xdr:row>41</xdr:row>
      <xdr:rowOff>10432</xdr:rowOff>
    </xdr:to>
    <xdr:grpSp>
      <xdr:nvGrpSpPr>
        <xdr:cNvPr id="11" name="Group 10">
          <a:extLst>
            <a:ext uri="{FF2B5EF4-FFF2-40B4-BE49-F238E27FC236}">
              <a16:creationId xmlns:a16="http://schemas.microsoft.com/office/drawing/2014/main" id="{00000000-0008-0000-1D00-00000B000000}"/>
            </a:ext>
          </a:extLst>
        </xdr:cNvPr>
        <xdr:cNvGrpSpPr/>
      </xdr:nvGrpSpPr>
      <xdr:grpSpPr>
        <a:xfrm>
          <a:off x="654050" y="5645150"/>
          <a:ext cx="1955479" cy="842282"/>
          <a:chOff x="482600" y="12822918"/>
          <a:chExt cx="1955479" cy="842282"/>
        </a:xfrm>
      </xdr:grpSpPr>
      <xdr:pic>
        <xdr:nvPicPr>
          <xdr:cNvPr id="17" name="Picture 16">
            <a:extLst>
              <a:ext uri="{FF2B5EF4-FFF2-40B4-BE49-F238E27FC236}">
                <a16:creationId xmlns:a16="http://schemas.microsoft.com/office/drawing/2014/main" id="{00000000-0008-0000-1D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8" name="Picture 17">
            <a:extLst>
              <a:ext uri="{FF2B5EF4-FFF2-40B4-BE49-F238E27FC236}">
                <a16:creationId xmlns:a16="http://schemas.microsoft.com/office/drawing/2014/main" id="{00000000-0008-0000-1D00-000012000000}"/>
              </a:ext>
            </a:extLst>
          </xdr:cNvPr>
          <xdr:cNvPicPr>
            <a:picLocks noChangeAspect="1"/>
          </xdr:cNvPicPr>
        </xdr:nvPicPr>
        <xdr:blipFill>
          <a:blip xmlns:r="http://schemas.openxmlformats.org/officeDocument/2006/relationships" r:embed="rId5"/>
          <a:stretch>
            <a:fillRect/>
          </a:stretch>
        </xdr:blipFill>
        <xdr:spPr>
          <a:xfrm>
            <a:off x="482600" y="12822918"/>
            <a:ext cx="1071996" cy="842282"/>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10</xdr:col>
      <xdr:colOff>628650</xdr:colOff>
      <xdr:row>0</xdr:row>
      <xdr:rowOff>53975</xdr:rowOff>
    </xdr:from>
    <xdr:to>
      <xdr:col>14</xdr:col>
      <xdr:colOff>552450</xdr:colOff>
      <xdr:row>0</xdr:row>
      <xdr:rowOff>434848</xdr:rowOff>
    </xdr:to>
    <xdr:sp macro="" textlink="">
      <xdr:nvSpPr>
        <xdr:cNvPr id="2" name="Rounded Rectangle 1">
          <a:extLst>
            <a:ext uri="{FF2B5EF4-FFF2-40B4-BE49-F238E27FC236}">
              <a16:creationId xmlns:a16="http://schemas.microsoft.com/office/drawing/2014/main" id="{00000000-0008-0000-1E00-000002000000}"/>
            </a:ext>
          </a:extLst>
        </xdr:cNvPr>
        <xdr:cNvSpPr/>
      </xdr:nvSpPr>
      <xdr:spPr>
        <a:xfrm>
          <a:off x="9112250" y="53975"/>
          <a:ext cx="2711450" cy="380873"/>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xdr:txBody>
    </xdr:sp>
    <xdr:clientData/>
  </xdr:twoCellAnchor>
  <xdr:twoCellAnchor editAs="oneCell">
    <xdr:from>
      <xdr:col>8</xdr:col>
      <xdr:colOff>266700</xdr:colOff>
      <xdr:row>0</xdr:row>
      <xdr:rowOff>49149</xdr:rowOff>
    </xdr:from>
    <xdr:to>
      <xdr:col>10</xdr:col>
      <xdr:colOff>549275</xdr:colOff>
      <xdr:row>0</xdr:row>
      <xdr:rowOff>436499</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6591300" y="49149"/>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0</xdr:col>
      <xdr:colOff>590549</xdr:colOff>
      <xdr:row>1</xdr:row>
      <xdr:rowOff>180975</xdr:rowOff>
    </xdr:from>
    <xdr:to>
      <xdr:col>14</xdr:col>
      <xdr:colOff>133349</xdr:colOff>
      <xdr:row>7</xdr:row>
      <xdr:rowOff>19050</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590549" y="666750"/>
          <a:ext cx="10315575" cy="98107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Please use this sheet to enter any additional emission sources you would like to include in the inventory. One example is GHG emissions resulting from non-energy related industrial activities and product uses. The manufacture of concrete, steel, aluminum, ammonia, and other minerals and chemicals result in greenhouse gases as a byproduct. This is separate from energy consumption in industrial factilities, which should be reported under Stationary Units.</a:t>
          </a:r>
        </a:p>
        <a:p>
          <a:endParaRPr lang="en-US" sz="1100" baseline="0"/>
        </a:p>
        <a:p>
          <a:r>
            <a:rPr lang="en-US" sz="1100" baseline="0"/>
            <a:t>Assign each source to a sector, note what scope the emissions fall under, and enter any greenhouse gas emissions in metric tons of carbon dioxide equivalent.</a:t>
          </a:r>
        </a:p>
        <a:p>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8</xdr:row>
          <xdr:rowOff>12700</xdr:rowOff>
        </xdr:from>
        <xdr:to>
          <xdr:col>7</xdr:col>
          <xdr:colOff>38100</xdr:colOff>
          <xdr:row>9</xdr:row>
          <xdr:rowOff>31750</xdr:rowOff>
        </xdr:to>
        <xdr:sp macro="" textlink="">
          <xdr:nvSpPr>
            <xdr:cNvPr id="54279" name="Drop Down 7" hidden="1">
              <a:extLst>
                <a:ext uri="{63B3BB69-23CF-44E3-9099-C40C66FF867C}">
                  <a14:compatExt spid="_x0000_s54279"/>
                </a:ext>
                <a:ext uri="{FF2B5EF4-FFF2-40B4-BE49-F238E27FC236}">
                  <a16:creationId xmlns:a16="http://schemas.microsoft.com/office/drawing/2014/main" id="{00000000-0008-0000-1E00-00000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717550</xdr:colOff>
          <xdr:row>0</xdr:row>
          <xdr:rowOff>127000</xdr:rowOff>
        </xdr:from>
        <xdr:to>
          <xdr:col>15</xdr:col>
          <xdr:colOff>12700</xdr:colOff>
          <xdr:row>0</xdr:row>
          <xdr:rowOff>393700</xdr:rowOff>
        </xdr:to>
        <xdr:sp macro="" textlink="">
          <xdr:nvSpPr>
            <xdr:cNvPr id="54280" name="ck_comp_AdditionalSources" hidden="1">
              <a:extLst>
                <a:ext uri="{63B3BB69-23CF-44E3-9099-C40C66FF867C}">
                  <a14:compatExt spid="_x0000_s54280"/>
                </a:ext>
                <a:ext uri="{FF2B5EF4-FFF2-40B4-BE49-F238E27FC236}">
                  <a16:creationId xmlns:a16="http://schemas.microsoft.com/office/drawing/2014/main" id="{00000000-0008-0000-1E00-000008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xdr:col>
      <xdr:colOff>25400</xdr:colOff>
      <xdr:row>28</xdr:row>
      <xdr:rowOff>0</xdr:rowOff>
    </xdr:from>
    <xdr:to>
      <xdr:col>2</xdr:col>
      <xdr:colOff>221929</xdr:colOff>
      <xdr:row>29</xdr:row>
      <xdr:rowOff>16782</xdr:rowOff>
    </xdr:to>
    <xdr:grpSp>
      <xdr:nvGrpSpPr>
        <xdr:cNvPr id="10" name="Group 9">
          <a:extLst>
            <a:ext uri="{FF2B5EF4-FFF2-40B4-BE49-F238E27FC236}">
              <a16:creationId xmlns:a16="http://schemas.microsoft.com/office/drawing/2014/main" id="{00000000-0008-0000-1E00-00000A000000}"/>
            </a:ext>
          </a:extLst>
        </xdr:cNvPr>
        <xdr:cNvGrpSpPr/>
      </xdr:nvGrpSpPr>
      <xdr:grpSpPr>
        <a:xfrm>
          <a:off x="641350" y="5321300"/>
          <a:ext cx="1955479" cy="842282"/>
          <a:chOff x="482600" y="12822918"/>
          <a:chExt cx="1955479" cy="842282"/>
        </a:xfrm>
      </xdr:grpSpPr>
      <xdr:pic>
        <xdr:nvPicPr>
          <xdr:cNvPr id="11" name="Picture 10">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2" name="Picture 1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3"/>
          <a:stretch>
            <a:fillRect/>
          </a:stretch>
        </xdr:blipFill>
        <xdr:spPr>
          <a:xfrm>
            <a:off x="482600" y="12822918"/>
            <a:ext cx="1071996" cy="842282"/>
          </a:xfrm>
          <a:prstGeom prst="rect">
            <a:avLst/>
          </a:prstGeom>
        </xdr:spPr>
      </xdr:pic>
    </xdr:grpSp>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408782</xdr:colOff>
      <xdr:row>3</xdr:row>
      <xdr:rowOff>265908</xdr:rowOff>
    </xdr:from>
    <xdr:to>
      <xdr:col>19</xdr:col>
      <xdr:colOff>777876</xdr:colOff>
      <xdr:row>27</xdr:row>
      <xdr:rowOff>83344</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444499</xdr:colOff>
      <xdr:row>64</xdr:row>
      <xdr:rowOff>128586</xdr:rowOff>
    </xdr:from>
    <xdr:to>
      <xdr:col>19</xdr:col>
      <xdr:colOff>830035</xdr:colOff>
      <xdr:row>85</xdr:row>
      <xdr:rowOff>80962</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444500</xdr:colOff>
      <xdr:row>29</xdr:row>
      <xdr:rowOff>90488</xdr:rowOff>
    </xdr:from>
    <xdr:to>
      <xdr:col>19</xdr:col>
      <xdr:colOff>830263</xdr:colOff>
      <xdr:row>42</xdr:row>
      <xdr:rowOff>154781</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601928</xdr:colOff>
      <xdr:row>64</xdr:row>
      <xdr:rowOff>128586</xdr:rowOff>
    </xdr:from>
    <xdr:to>
      <xdr:col>10</xdr:col>
      <xdr:colOff>0</xdr:colOff>
      <xdr:row>85</xdr:row>
      <xdr:rowOff>80962</xdr:rowOff>
    </xdr:to>
    <xdr:graphicFrame macro="">
      <xdr:nvGraphicFramePr>
        <xdr:cNvPr id="5" name="Chart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5556</xdr:colOff>
      <xdr:row>26</xdr:row>
      <xdr:rowOff>126207</xdr:rowOff>
    </xdr:from>
    <xdr:to>
      <xdr:col>9</xdr:col>
      <xdr:colOff>821532</xdr:colOff>
      <xdr:row>40</xdr:row>
      <xdr:rowOff>11907</xdr:rowOff>
    </xdr:to>
    <xdr:graphicFrame macro="">
      <xdr:nvGraphicFramePr>
        <xdr:cNvPr id="6" name="Chart 5">
          <a:extLst>
            <a:ext uri="{FF2B5EF4-FFF2-40B4-BE49-F238E27FC236}">
              <a16:creationId xmlns:a16="http://schemas.microsoft.com/office/drawing/2014/main" id="{00000000-0008-0000-1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486818</xdr:colOff>
      <xdr:row>0</xdr:row>
      <xdr:rowOff>52915</xdr:rowOff>
    </xdr:from>
    <xdr:to>
      <xdr:col>20</xdr:col>
      <xdr:colOff>225408</xdr:colOff>
      <xdr:row>0</xdr:row>
      <xdr:rowOff>433915</xdr:rowOff>
    </xdr:to>
    <xdr:sp macro="" textlink="">
      <xdr:nvSpPr>
        <xdr:cNvPr id="7" name="Left Arrow 12">
          <a:hlinkClick xmlns:r="http://schemas.openxmlformats.org/officeDocument/2006/relationships" r:id="rId6"/>
          <a:extLst>
            <a:ext uri="{FF2B5EF4-FFF2-40B4-BE49-F238E27FC236}">
              <a16:creationId xmlns:a16="http://schemas.microsoft.com/office/drawing/2014/main" id="{00000000-0008-0000-1F00-000007000000}"/>
            </a:ext>
          </a:extLst>
        </xdr:cNvPr>
        <xdr:cNvSpPr/>
      </xdr:nvSpPr>
      <xdr:spPr>
        <a:xfrm>
          <a:off x="16641218" y="52915"/>
          <a:ext cx="1570565" cy="377825"/>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twoCellAnchor>
    <xdr:from>
      <xdr:col>1</xdr:col>
      <xdr:colOff>6351</xdr:colOff>
      <xdr:row>1</xdr:row>
      <xdr:rowOff>76201</xdr:rowOff>
    </xdr:from>
    <xdr:to>
      <xdr:col>9</xdr:col>
      <xdr:colOff>971549</xdr:colOff>
      <xdr:row>1</xdr:row>
      <xdr:rowOff>514350</xdr:rowOff>
    </xdr:to>
    <xdr:sp macro="" textlink="">
      <xdr:nvSpPr>
        <xdr:cNvPr id="11" name="TextBox 10">
          <a:extLst>
            <a:ext uri="{FF2B5EF4-FFF2-40B4-BE49-F238E27FC236}">
              <a16:creationId xmlns:a16="http://schemas.microsoft.com/office/drawing/2014/main" id="{00000000-0008-0000-1F00-00000B000000}"/>
            </a:ext>
          </a:extLst>
        </xdr:cNvPr>
        <xdr:cNvSpPr txBox="1"/>
      </xdr:nvSpPr>
      <xdr:spPr>
        <a:xfrm>
          <a:off x="622301" y="558801"/>
          <a:ext cx="8864598" cy="43814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Please use the drop-down menu in the Scope 2 Emissions Selection box to determine which scope 2 emissions methodology is used in the summary tables below.</a:t>
          </a:r>
        </a:p>
      </xdr:txBody>
    </xdr:sp>
    <xdr:clientData/>
  </xdr:twoCellAnchor>
  <xdr:twoCellAnchor>
    <xdr:from>
      <xdr:col>10</xdr:col>
      <xdr:colOff>63500</xdr:colOff>
      <xdr:row>1</xdr:row>
      <xdr:rowOff>174624</xdr:rowOff>
    </xdr:from>
    <xdr:to>
      <xdr:col>10</xdr:col>
      <xdr:colOff>571500</xdr:colOff>
      <xdr:row>1</xdr:row>
      <xdr:rowOff>438150</xdr:rowOff>
    </xdr:to>
    <xdr:sp macro="" textlink="">
      <xdr:nvSpPr>
        <xdr:cNvPr id="12" name="Arrow: Right 11">
          <a:extLst>
            <a:ext uri="{FF2B5EF4-FFF2-40B4-BE49-F238E27FC236}">
              <a16:creationId xmlns:a16="http://schemas.microsoft.com/office/drawing/2014/main" id="{00000000-0008-0000-1F00-00000C000000}"/>
            </a:ext>
          </a:extLst>
        </xdr:cNvPr>
        <xdr:cNvSpPr/>
      </xdr:nvSpPr>
      <xdr:spPr>
        <a:xfrm>
          <a:off x="9556750" y="657224"/>
          <a:ext cx="508000" cy="263526"/>
        </a:xfrm>
        <a:prstGeom prst="rightArrow">
          <a:avLst/>
        </a:prstGeom>
        <a:solidFill>
          <a:schemeClr val="accent3">
            <a:lumMod val="20000"/>
            <a:lumOff val="80000"/>
          </a:schemeClr>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xdr:colOff>
      <xdr:row>114</xdr:row>
      <xdr:rowOff>0</xdr:rowOff>
    </xdr:from>
    <xdr:to>
      <xdr:col>1</xdr:col>
      <xdr:colOff>1961829</xdr:colOff>
      <xdr:row>115</xdr:row>
      <xdr:rowOff>16782</xdr:rowOff>
    </xdr:to>
    <xdr:grpSp>
      <xdr:nvGrpSpPr>
        <xdr:cNvPr id="13" name="Group 12">
          <a:extLst>
            <a:ext uri="{FF2B5EF4-FFF2-40B4-BE49-F238E27FC236}">
              <a16:creationId xmlns:a16="http://schemas.microsoft.com/office/drawing/2014/main" id="{00000000-0008-0000-1F00-00000D000000}"/>
            </a:ext>
          </a:extLst>
        </xdr:cNvPr>
        <xdr:cNvGrpSpPr/>
      </xdr:nvGrpSpPr>
      <xdr:grpSpPr>
        <a:xfrm>
          <a:off x="622300" y="17151350"/>
          <a:ext cx="1955479" cy="842282"/>
          <a:chOff x="482600" y="12822918"/>
          <a:chExt cx="1955479" cy="842282"/>
        </a:xfrm>
      </xdr:grpSpPr>
      <xdr:pic>
        <xdr:nvPicPr>
          <xdr:cNvPr id="14" name="Picture 13">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611868" y="12887611"/>
            <a:ext cx="826211" cy="712897"/>
          </a:xfrm>
          <a:prstGeom prst="rect">
            <a:avLst/>
          </a:prstGeom>
        </xdr:spPr>
      </xdr:pic>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8"/>
          <a:stretch>
            <a:fillRect/>
          </a:stretch>
        </xdr:blipFill>
        <xdr:spPr>
          <a:xfrm>
            <a:off x="482600" y="12822918"/>
            <a:ext cx="1071996" cy="842282"/>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133351</xdr:colOff>
      <xdr:row>1</xdr:row>
      <xdr:rowOff>104775</xdr:rowOff>
    </xdr:from>
    <xdr:to>
      <xdr:col>10</xdr:col>
      <xdr:colOff>219076</xdr:colOff>
      <xdr:row>1</xdr:row>
      <xdr:rowOff>1581150</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133351" y="590550"/>
          <a:ext cx="9791700" cy="1476375"/>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sheet shows all factors</a:t>
          </a:r>
          <a:r>
            <a:rPr lang="en-US" sz="1100" baseline="0"/>
            <a:t> used to calculate your community's greenhouse gas emissions. The Unit Conversion Factors are standard conversion factors that apply to multiple sheets in the tool. Each inventory sector additionally has a separate section on this sheet containing sector-specific emission factors. The majority of cells are hard-coded values, entered directly from the source provided. Values in </a:t>
          </a:r>
          <a:r>
            <a:rPr lang="en-US" sz="1100" baseline="0">
              <a:solidFill>
                <a:srgbClr val="22B7E6"/>
              </a:solidFill>
            </a:rPr>
            <a:t>blue </a:t>
          </a:r>
          <a:r>
            <a:rPr lang="en-US" sz="1100" baseline="0"/>
            <a:t>text were calculated based on the available data to convert it to an appropriate format.</a:t>
          </a:r>
        </a:p>
        <a:p>
          <a:endParaRPr lang="en-US" sz="1100" baseline="0"/>
        </a:p>
        <a:p>
          <a:r>
            <a:rPr lang="en-US" sz="1100" baseline="0"/>
            <a:t>Please do not make any changes to the factors on this sheet. Users have the opportunity while moving through the tool to input alternate values for many variables. Use this sheet simply as a reference or to understand factor sources.</a:t>
          </a:r>
          <a:endParaRPr lang="en-US" sz="1100"/>
        </a:p>
      </xdr:txBody>
    </xdr:sp>
    <xdr:clientData/>
  </xdr:twoCellAnchor>
  <xdr:twoCellAnchor editAs="oneCell">
    <xdr:from>
      <xdr:col>10</xdr:col>
      <xdr:colOff>314325</xdr:colOff>
      <xdr:row>0</xdr:row>
      <xdr:rowOff>47625</xdr:rowOff>
    </xdr:from>
    <xdr:to>
      <xdr:col>13</xdr:col>
      <xdr:colOff>0</xdr:colOff>
      <xdr:row>0</xdr:row>
      <xdr:rowOff>431165</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2000-000003000000}"/>
            </a:ext>
          </a:extLst>
        </xdr:cNvPr>
        <xdr:cNvSpPr/>
      </xdr:nvSpPr>
      <xdr:spPr>
        <a:xfrm>
          <a:off x="8829675" y="47625"/>
          <a:ext cx="1495425" cy="381000"/>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133350</xdr:colOff>
      <xdr:row>1</xdr:row>
      <xdr:rowOff>104776</xdr:rowOff>
    </xdr:from>
    <xdr:to>
      <xdr:col>11</xdr:col>
      <xdr:colOff>533400</xdr:colOff>
      <xdr:row>4</xdr:row>
      <xdr:rowOff>38100</xdr:rowOff>
    </xdr:to>
    <xdr:sp macro="" textlink="">
      <xdr:nvSpPr>
        <xdr:cNvPr id="2" name="TextBox 1">
          <a:extLst>
            <a:ext uri="{FF2B5EF4-FFF2-40B4-BE49-F238E27FC236}">
              <a16:creationId xmlns:a16="http://schemas.microsoft.com/office/drawing/2014/main" id="{00000000-0008-0000-2500-000002000000}"/>
            </a:ext>
          </a:extLst>
        </xdr:cNvPr>
        <xdr:cNvSpPr txBox="1"/>
      </xdr:nvSpPr>
      <xdr:spPr>
        <a:xfrm>
          <a:off x="133350" y="571501"/>
          <a:ext cx="7105650" cy="504824"/>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This sheet can be used to</a:t>
          </a:r>
          <a:r>
            <a:rPr lang="en-US" sz="1100" baseline="0"/>
            <a:t> note any changes made to the tool, and document the history of updates made to the inventory estimates.</a:t>
          </a:r>
          <a:endParaRPr lang="en-US" sz="1100"/>
        </a:p>
      </xdr:txBody>
    </xdr:sp>
    <xdr:clientData/>
  </xdr:twoCellAnchor>
  <xdr:twoCellAnchor editAs="oneCell">
    <xdr:from>
      <xdr:col>10</xdr:col>
      <xdr:colOff>314325</xdr:colOff>
      <xdr:row>0</xdr:row>
      <xdr:rowOff>47625</xdr:rowOff>
    </xdr:from>
    <xdr:to>
      <xdr:col>13</xdr:col>
      <xdr:colOff>0</xdr:colOff>
      <xdr:row>0</xdr:row>
      <xdr:rowOff>406400</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2500-000003000000}"/>
            </a:ext>
          </a:extLst>
        </xdr:cNvPr>
        <xdr:cNvSpPr/>
      </xdr:nvSpPr>
      <xdr:spPr>
        <a:xfrm>
          <a:off x="6727825" y="47625"/>
          <a:ext cx="1609725" cy="358775"/>
        </a:xfrm>
        <a:prstGeom prst="leftArrow">
          <a:avLst>
            <a:gd name="adj1" fmla="val 100000"/>
            <a:gd name="adj2" fmla="val 50000"/>
          </a:avLst>
        </a:prstGeom>
      </xdr:spPr>
      <xdr:style>
        <a:lnRef idx="2">
          <a:schemeClr val="accent6"/>
        </a:lnRef>
        <a:fillRef idx="1">
          <a:schemeClr val="lt1"/>
        </a:fillRef>
        <a:effectRef idx="0">
          <a:schemeClr val="accent6"/>
        </a:effectRef>
        <a:fontRef idx="minor">
          <a:schemeClr val="dk1"/>
        </a:fontRef>
      </xdr:style>
      <xdr:txBody>
        <a:bodyPr vertOverflow="clip" tIns="0" bIns="0" rtlCol="0" anchor="ctr"/>
        <a:lstStyle/>
        <a:p>
          <a:pPr algn="ctr"/>
          <a:r>
            <a:rPr lang="en-US" sz="1100"/>
            <a:t>Return to Table of Contents</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0.emf"/><Relationship Id="rId3" Type="http://schemas.openxmlformats.org/officeDocument/2006/relationships/vmlDrawing" Target="../drawings/vmlDrawing1.vml"/><Relationship Id="rId7" Type="http://schemas.openxmlformats.org/officeDocument/2006/relationships/image" Target="../media/image7.emf"/><Relationship Id="rId12" Type="http://schemas.openxmlformats.org/officeDocument/2006/relationships/control" Target="../activeX/activeX5.xml"/><Relationship Id="rId17" Type="http://schemas.openxmlformats.org/officeDocument/2006/relationships/ctrlProp" Target="../ctrlProps/ctrlProp2.xml"/><Relationship Id="rId2" Type="http://schemas.openxmlformats.org/officeDocument/2006/relationships/drawing" Target="../drawings/drawing5.xml"/><Relationship Id="rId16" Type="http://schemas.openxmlformats.org/officeDocument/2006/relationships/ctrlProp" Target="../ctrlProps/ctrlProp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ontrol" Target="../activeX/activeX7.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6.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image" Target="../media/image13.emf"/></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image" Target="../media/image14.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5.vml"/><Relationship Id="rId7" Type="http://schemas.openxmlformats.org/officeDocument/2006/relationships/ctrlProp" Target="../ctrlProps/ctrlProp12.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image" Target="../media/image15.emf"/><Relationship Id="rId4" Type="http://schemas.openxmlformats.org/officeDocument/2006/relationships/control" Target="../activeX/activeX9.xml"/><Relationship Id="rId9"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image" Target="../media/image16.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12.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8.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image" Target="../media/image17.emf"/><Relationship Id="rId4" Type="http://schemas.openxmlformats.org/officeDocument/2006/relationships/control" Target="../activeX/activeX1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22.emf"/><Relationship Id="rId3" Type="http://schemas.openxmlformats.org/officeDocument/2006/relationships/vmlDrawing" Target="../drawings/vmlDrawing9.vml"/><Relationship Id="rId7" Type="http://schemas.openxmlformats.org/officeDocument/2006/relationships/image" Target="../media/image19.emf"/><Relationship Id="rId12" Type="http://schemas.openxmlformats.org/officeDocument/2006/relationships/control" Target="../activeX/activeX16.xml"/><Relationship Id="rId2" Type="http://schemas.openxmlformats.org/officeDocument/2006/relationships/drawing" Target="../drawings/drawing14.xml"/><Relationship Id="rId1" Type="http://schemas.openxmlformats.org/officeDocument/2006/relationships/hyperlink" Target="https://ghgdata.epa.gov/ghgp/main.do" TargetMode="External"/><Relationship Id="rId6" Type="http://schemas.openxmlformats.org/officeDocument/2006/relationships/control" Target="../activeX/activeX13.xml"/><Relationship Id="rId11" Type="http://schemas.openxmlformats.org/officeDocument/2006/relationships/image" Target="../media/image21.emf"/><Relationship Id="rId5" Type="http://schemas.openxmlformats.org/officeDocument/2006/relationships/image" Target="../media/image18.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20.emf"/></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26" Type="http://schemas.openxmlformats.org/officeDocument/2006/relationships/ctrlProp" Target="../ctrlProps/ctrlProp39.xml"/><Relationship Id="rId3" Type="http://schemas.openxmlformats.org/officeDocument/2006/relationships/vmlDrawing" Target="../drawings/vmlDrawing10.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5" Type="http://schemas.openxmlformats.org/officeDocument/2006/relationships/ctrlProp" Target="../ctrlProps/ctrlProp38.xml"/><Relationship Id="rId2" Type="http://schemas.openxmlformats.org/officeDocument/2006/relationships/drawing" Target="../drawings/drawing15.xml"/><Relationship Id="rId16" Type="http://schemas.openxmlformats.org/officeDocument/2006/relationships/ctrlProp" Target="../ctrlProps/ctrlProp29.xml"/><Relationship Id="rId20" Type="http://schemas.openxmlformats.org/officeDocument/2006/relationships/ctrlProp" Target="../ctrlProps/ctrlProp33.xml"/><Relationship Id="rId29"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32" Type="http://schemas.openxmlformats.org/officeDocument/2006/relationships/ctrlProp" Target="../ctrlProps/ctrlProp45.xml"/><Relationship Id="rId5" Type="http://schemas.openxmlformats.org/officeDocument/2006/relationships/image" Target="../media/image23.emf"/><Relationship Id="rId15" Type="http://schemas.openxmlformats.org/officeDocument/2006/relationships/ctrlProp" Target="../ctrlProps/ctrlProp28.xml"/><Relationship Id="rId23" Type="http://schemas.openxmlformats.org/officeDocument/2006/relationships/ctrlProp" Target="../ctrlProps/ctrlProp36.xml"/><Relationship Id="rId28" Type="http://schemas.openxmlformats.org/officeDocument/2006/relationships/ctrlProp" Target="../ctrlProps/ctrlProp41.xml"/><Relationship Id="rId10" Type="http://schemas.openxmlformats.org/officeDocument/2006/relationships/ctrlProp" Target="../ctrlProps/ctrlProp23.xml"/><Relationship Id="rId19" Type="http://schemas.openxmlformats.org/officeDocument/2006/relationships/ctrlProp" Target="../ctrlProps/ctrlProp32.xml"/><Relationship Id="rId31" Type="http://schemas.openxmlformats.org/officeDocument/2006/relationships/ctrlProp" Target="../ctrlProps/ctrlProp44.xml"/><Relationship Id="rId4" Type="http://schemas.openxmlformats.org/officeDocument/2006/relationships/control" Target="../activeX/activeX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 Id="rId27" Type="http://schemas.openxmlformats.org/officeDocument/2006/relationships/ctrlProp" Target="../ctrlProps/ctrlProp40.xml"/><Relationship Id="rId30" Type="http://schemas.openxmlformats.org/officeDocument/2006/relationships/ctrlProp" Target="../ctrlProps/ctrlProp43.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11.vml"/><Relationship Id="rId1" Type="http://schemas.openxmlformats.org/officeDocument/2006/relationships/drawing" Target="../drawings/drawing16.xml"/><Relationship Id="rId5" Type="http://schemas.openxmlformats.org/officeDocument/2006/relationships/ctrlProp" Target="../ctrlProps/ctrlProp46.xml"/><Relationship Id="rId4" Type="http://schemas.openxmlformats.org/officeDocument/2006/relationships/image" Target="../media/image24.emf"/></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image" Target="../media/image25.emf"/><Relationship Id="rId4" Type="http://schemas.openxmlformats.org/officeDocument/2006/relationships/control" Target="../activeX/activeX19.xml"/><Relationship Id="rId9" Type="http://schemas.openxmlformats.org/officeDocument/2006/relationships/ctrlProp" Target="../ctrlProps/ctrlProp50.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3.vml"/><Relationship Id="rId1" Type="http://schemas.openxmlformats.org/officeDocument/2006/relationships/drawing" Target="../drawings/drawing19.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image" Target="../media/image26.emf"/></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1.xml"/><Relationship Id="rId2" Type="http://schemas.openxmlformats.org/officeDocument/2006/relationships/vmlDrawing" Target="../drawings/vmlDrawing14.vml"/><Relationship Id="rId1" Type="http://schemas.openxmlformats.org/officeDocument/2006/relationships/drawing" Target="../drawings/drawing21.xml"/><Relationship Id="rId4" Type="http://schemas.openxmlformats.org/officeDocument/2006/relationships/image" Target="../media/image27.emf"/></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5.vml"/><Relationship Id="rId7" Type="http://schemas.openxmlformats.org/officeDocument/2006/relationships/ctrlProp" Target="../ctrlProps/ctrlProp54.xml"/><Relationship Id="rId2" Type="http://schemas.openxmlformats.org/officeDocument/2006/relationships/drawing" Target="../drawings/drawing23.xml"/><Relationship Id="rId1" Type="http://schemas.openxmlformats.org/officeDocument/2006/relationships/printerSettings" Target="../printerSettings/printerSettings13.bin"/><Relationship Id="rId6" Type="http://schemas.openxmlformats.org/officeDocument/2006/relationships/ctrlProp" Target="../ctrlProps/ctrlProp53.xml"/><Relationship Id="rId5" Type="http://schemas.openxmlformats.org/officeDocument/2006/relationships/image" Target="../media/image30.emf"/><Relationship Id="rId10" Type="http://schemas.openxmlformats.org/officeDocument/2006/relationships/ctrlProp" Target="../ctrlProps/ctrlProp57.xml"/><Relationship Id="rId4" Type="http://schemas.openxmlformats.org/officeDocument/2006/relationships/control" Target="../activeX/activeX22.xml"/><Relationship Id="rId9" Type="http://schemas.openxmlformats.org/officeDocument/2006/relationships/ctrlProp" Target="../ctrlProps/ctrlProp5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14.bin"/><Relationship Id="rId5" Type="http://schemas.openxmlformats.org/officeDocument/2006/relationships/image" Target="../media/image31.emf"/><Relationship Id="rId4" Type="http://schemas.openxmlformats.org/officeDocument/2006/relationships/control" Target="../activeX/activeX2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15.bin"/><Relationship Id="rId5" Type="http://schemas.openxmlformats.org/officeDocument/2006/relationships/image" Target="../media/image32.emf"/><Relationship Id="rId4" Type="http://schemas.openxmlformats.org/officeDocument/2006/relationships/control" Target="../activeX/activeX24.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rinterSettings" Target="../printerSettings/printerSettings16.bin"/><Relationship Id="rId1" Type="http://schemas.openxmlformats.org/officeDocument/2006/relationships/hyperlink" Target="https://www.epa.gov/warm" TargetMode="External"/><Relationship Id="rId6" Type="http://schemas.openxmlformats.org/officeDocument/2006/relationships/image" Target="../media/image33.emf"/><Relationship Id="rId5" Type="http://schemas.openxmlformats.org/officeDocument/2006/relationships/control" Target="../activeX/activeX25.xml"/><Relationship Id="rId4" Type="http://schemas.openxmlformats.org/officeDocument/2006/relationships/vmlDrawing" Target="../drawings/vmlDrawing18.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17.bin"/><Relationship Id="rId6" Type="http://schemas.openxmlformats.org/officeDocument/2006/relationships/ctrlProp" Target="../ctrlProps/ctrlProp58.xml"/><Relationship Id="rId5" Type="http://schemas.openxmlformats.org/officeDocument/2006/relationships/image" Target="../media/image34.emf"/><Relationship Id="rId4" Type="http://schemas.openxmlformats.org/officeDocument/2006/relationships/control" Target="../activeX/activeX26.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9.bin"/><Relationship Id="rId4" Type="http://schemas.openxmlformats.org/officeDocument/2006/relationships/comments" Target="../comments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N36"/>
  <sheetViews>
    <sheetView showGridLines="0" tabSelected="1" workbookViewId="0"/>
  </sheetViews>
  <sheetFormatPr defaultColWidth="9.1796875" defaultRowHeight="14.5"/>
  <cols>
    <col min="1" max="1" width="22" style="265" customWidth="1"/>
    <col min="2" max="12" width="9.1796875" customWidth="1"/>
    <col min="13" max="13" width="9.1796875" style="266" customWidth="1"/>
    <col min="14" max="18" width="9.1796875" style="109" customWidth="1"/>
    <col min="19" max="19" width="9" style="109" customWidth="1"/>
    <col min="20" max="16384" width="9.1796875" style="109"/>
  </cols>
  <sheetData>
    <row r="1" spans="1:13" ht="38.25" customHeight="1" thickBot="1">
      <c r="A1" s="485" t="s">
        <v>0</v>
      </c>
      <c r="B1" s="486"/>
      <c r="C1" s="486"/>
      <c r="D1" s="486"/>
      <c r="E1" s="486"/>
      <c r="F1" s="486"/>
      <c r="G1" s="486"/>
      <c r="H1" s="486"/>
      <c r="I1" s="486"/>
      <c r="J1" s="486"/>
      <c r="K1" s="486"/>
      <c r="L1" s="486"/>
      <c r="M1" s="487"/>
    </row>
    <row r="2" spans="1:13" ht="21" customHeight="1">
      <c r="A2" s="493"/>
      <c r="B2" s="494"/>
      <c r="C2" s="494"/>
      <c r="D2" s="494"/>
      <c r="E2" s="494"/>
      <c r="F2" s="494"/>
      <c r="G2" s="494"/>
      <c r="H2" s="494"/>
      <c r="I2" s="494"/>
      <c r="J2" s="494"/>
      <c r="K2" s="494"/>
      <c r="L2" s="494"/>
      <c r="M2" s="495"/>
    </row>
    <row r="13" spans="1:13">
      <c r="B13" s="1"/>
    </row>
    <row r="35" spans="1:14" ht="15" thickBot="1"/>
    <row r="36" spans="1:14" ht="65.150000000000006" customHeight="1" thickBot="1">
      <c r="A36" s="1027" t="s">
        <v>1</v>
      </c>
      <c r="B36" s="1028"/>
      <c r="C36" s="1028"/>
      <c r="D36" s="1028"/>
      <c r="E36" s="1028"/>
      <c r="F36" s="1028"/>
      <c r="G36" s="1028"/>
      <c r="H36" s="1028"/>
      <c r="I36" s="1028"/>
      <c r="J36" s="1028"/>
      <c r="K36" s="1028"/>
      <c r="L36" s="1028"/>
      <c r="M36" s="1028"/>
      <c r="N36" s="308"/>
    </row>
  </sheetData>
  <mergeCells count="1">
    <mergeCell ref="A36:M36"/>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0">
    <tabColor rgb="FF92D050"/>
  </sheetPr>
  <dimension ref="A1:T69"/>
  <sheetViews>
    <sheetView showGridLines="0" topLeftCell="A14" workbookViewId="0">
      <selection activeCell="Q1" sqref="Q1"/>
    </sheetView>
  </sheetViews>
  <sheetFormatPr defaultColWidth="8.81640625" defaultRowHeight="14.5"/>
  <cols>
    <col min="1" max="1" width="8.81640625" style="265"/>
    <col min="20" max="20" width="8.81640625" style="266"/>
    <col min="21" max="16384" width="8.81640625" style="109"/>
  </cols>
  <sheetData>
    <row r="1" spans="1:20" ht="38.25" customHeight="1" thickBot="1">
      <c r="A1" s="485" t="s">
        <v>2</v>
      </c>
      <c r="B1" s="486"/>
      <c r="C1" s="486"/>
      <c r="D1" s="486"/>
      <c r="E1" s="486"/>
      <c r="F1" s="486"/>
      <c r="G1" s="486"/>
      <c r="H1" s="486"/>
      <c r="I1" s="486"/>
      <c r="J1" s="486"/>
      <c r="K1" s="486"/>
      <c r="L1" s="486"/>
      <c r="M1" s="486"/>
      <c r="N1" s="486"/>
      <c r="O1" s="486"/>
      <c r="P1" s="486"/>
      <c r="Q1" s="486"/>
      <c r="R1" s="486"/>
      <c r="S1" s="486"/>
      <c r="T1" s="487"/>
    </row>
    <row r="3" spans="1:20">
      <c r="B3" s="1"/>
    </row>
    <row r="22" spans="2:2">
      <c r="B22" s="1"/>
    </row>
    <row r="68" spans="1:20" ht="15" thickBot="1"/>
    <row r="69" spans="1:20" ht="65.150000000000006" customHeight="1" thickBot="1">
      <c r="A69" s="1027" t="s">
        <v>1</v>
      </c>
      <c r="B69" s="1028"/>
      <c r="C69" s="1028"/>
      <c r="D69" s="1028"/>
      <c r="E69" s="1028"/>
      <c r="F69" s="1028"/>
      <c r="G69" s="1028"/>
      <c r="H69" s="1028"/>
      <c r="I69" s="1028"/>
      <c r="J69" s="1028"/>
      <c r="K69" s="1028"/>
      <c r="L69" s="1028"/>
      <c r="M69" s="1028"/>
      <c r="N69" s="1028"/>
      <c r="O69" s="1028"/>
      <c r="P69" s="1028"/>
      <c r="Q69" s="1028"/>
      <c r="R69" s="1028"/>
      <c r="S69" s="1028"/>
      <c r="T69" s="1029"/>
    </row>
  </sheetData>
  <mergeCells count="1">
    <mergeCell ref="A69:T6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sheetPr>
  <dimension ref="A1:V42"/>
  <sheetViews>
    <sheetView showGridLines="0" workbookViewId="0"/>
  </sheetViews>
  <sheetFormatPr defaultColWidth="8.81640625" defaultRowHeight="14.5"/>
  <cols>
    <col min="1" max="1" width="8.81640625" style="265"/>
    <col min="20" max="20" width="8.81640625" customWidth="1"/>
    <col min="21" max="21" width="8.81640625" style="109"/>
    <col min="22" max="22" width="8.81640625" style="492"/>
    <col min="23" max="16384" width="8.81640625" style="109"/>
  </cols>
  <sheetData>
    <row r="1" spans="1:22" ht="38.25" customHeight="1" thickBot="1">
      <c r="A1" s="496" t="s">
        <v>3</v>
      </c>
      <c r="B1" s="486"/>
      <c r="C1" s="486"/>
      <c r="D1" s="486"/>
      <c r="E1" s="486"/>
      <c r="F1" s="486"/>
      <c r="G1" s="486"/>
      <c r="H1" s="486"/>
      <c r="I1" s="486"/>
      <c r="J1" s="486"/>
      <c r="K1" s="486"/>
      <c r="L1" s="486"/>
      <c r="M1" s="486"/>
      <c r="N1" s="486"/>
      <c r="O1" s="486"/>
      <c r="P1" s="486"/>
      <c r="Q1" s="486"/>
      <c r="R1" s="486"/>
      <c r="S1" s="486"/>
      <c r="T1" s="486"/>
      <c r="U1" s="486"/>
      <c r="V1" s="487"/>
    </row>
    <row r="2" spans="1:22">
      <c r="A2" s="264"/>
      <c r="T2" s="27"/>
      <c r="U2" s="27"/>
      <c r="V2" s="304"/>
    </row>
    <row r="3" spans="1:22">
      <c r="A3" s="264"/>
      <c r="T3" s="27"/>
      <c r="U3" s="27"/>
      <c r="V3" s="304"/>
    </row>
    <row r="4" spans="1:22">
      <c r="A4" s="264"/>
      <c r="T4" s="27"/>
      <c r="U4" s="27"/>
      <c r="V4" s="304"/>
    </row>
    <row r="5" spans="1:22">
      <c r="A5" s="264"/>
      <c r="T5" s="27"/>
      <c r="U5" s="27"/>
      <c r="V5" s="304"/>
    </row>
    <row r="6" spans="1:22">
      <c r="A6" s="264"/>
      <c r="T6" s="27"/>
      <c r="U6" s="27"/>
      <c r="V6" s="304"/>
    </row>
    <row r="7" spans="1:22">
      <c r="A7" s="264"/>
      <c r="T7" s="27"/>
      <c r="U7" s="27"/>
      <c r="V7" s="304"/>
    </row>
    <row r="8" spans="1:22">
      <c r="A8" s="264"/>
      <c r="T8" s="27"/>
      <c r="U8" s="27"/>
      <c r="V8" s="304"/>
    </row>
    <row r="9" spans="1:22">
      <c r="A9" s="264"/>
      <c r="T9" s="27"/>
      <c r="U9" s="27"/>
      <c r="V9" s="304"/>
    </row>
    <row r="10" spans="1:22">
      <c r="A10" s="264"/>
      <c r="T10" s="27"/>
      <c r="U10" s="27"/>
      <c r="V10" s="304"/>
    </row>
    <row r="11" spans="1:22">
      <c r="T11" s="27"/>
      <c r="U11" s="27"/>
      <c r="V11" s="304"/>
    </row>
    <row r="12" spans="1:22">
      <c r="T12" s="27"/>
      <c r="U12" s="27"/>
      <c r="V12" s="304"/>
    </row>
    <row r="13" spans="1:22">
      <c r="T13" s="27"/>
      <c r="U13" s="27"/>
      <c r="V13" s="304"/>
    </row>
    <row r="14" spans="1:22">
      <c r="T14" s="27"/>
      <c r="U14" s="27"/>
      <c r="V14" s="304"/>
    </row>
    <row r="15" spans="1:22">
      <c r="T15" s="27"/>
      <c r="U15" s="27"/>
      <c r="V15" s="304"/>
    </row>
    <row r="16" spans="1:22">
      <c r="T16" s="27"/>
      <c r="U16" s="27"/>
      <c r="V16" s="304"/>
    </row>
    <row r="17" spans="20:22">
      <c r="T17" s="27"/>
      <c r="U17" s="27"/>
      <c r="V17" s="304"/>
    </row>
    <row r="18" spans="20:22">
      <c r="T18" s="27"/>
      <c r="U18" s="27"/>
      <c r="V18" s="304"/>
    </row>
    <row r="19" spans="20:22">
      <c r="T19" s="27"/>
      <c r="U19" s="27"/>
      <c r="V19" s="304"/>
    </row>
    <row r="20" spans="20:22">
      <c r="T20" s="27"/>
      <c r="U20" s="27"/>
      <c r="V20" s="304"/>
    </row>
    <row r="21" spans="20:22">
      <c r="T21" s="27"/>
      <c r="U21" s="27"/>
      <c r="V21" s="304"/>
    </row>
    <row r="22" spans="20:22">
      <c r="T22" s="27"/>
      <c r="U22" s="27"/>
      <c r="V22" s="304"/>
    </row>
    <row r="23" spans="20:22">
      <c r="T23" s="27"/>
      <c r="U23" s="27"/>
      <c r="V23" s="304"/>
    </row>
    <row r="24" spans="20:22">
      <c r="T24" s="27"/>
      <c r="U24" s="27"/>
      <c r="V24" s="304"/>
    </row>
    <row r="25" spans="20:22">
      <c r="T25" s="27"/>
      <c r="U25" s="27"/>
      <c r="V25" s="304"/>
    </row>
    <row r="26" spans="20:22">
      <c r="T26" s="27"/>
      <c r="U26" s="27"/>
      <c r="V26" s="304"/>
    </row>
    <row r="27" spans="20:22">
      <c r="T27" s="27"/>
      <c r="U27" s="27"/>
      <c r="V27" s="304"/>
    </row>
    <row r="28" spans="20:22">
      <c r="T28" s="27"/>
      <c r="U28" s="27"/>
      <c r="V28" s="304"/>
    </row>
    <row r="29" spans="20:22">
      <c r="T29" s="27"/>
      <c r="U29" s="27"/>
      <c r="V29" s="304"/>
    </row>
    <row r="30" spans="20:22">
      <c r="T30" s="27"/>
      <c r="U30" s="27"/>
      <c r="V30" s="304"/>
    </row>
    <row r="31" spans="20:22">
      <c r="T31" s="27"/>
      <c r="U31" s="27"/>
      <c r="V31" s="304"/>
    </row>
    <row r="32" spans="20:22">
      <c r="T32" s="27"/>
      <c r="U32" s="27"/>
      <c r="V32" s="304"/>
    </row>
    <row r="33" spans="1:22">
      <c r="T33" s="27"/>
      <c r="U33" s="27"/>
      <c r="V33" s="304"/>
    </row>
    <row r="34" spans="1:22">
      <c r="T34" s="27"/>
      <c r="U34" s="27"/>
      <c r="V34" s="304"/>
    </row>
    <row r="35" spans="1:22">
      <c r="T35" s="27"/>
      <c r="U35" s="27"/>
      <c r="V35" s="304"/>
    </row>
    <row r="36" spans="1:22">
      <c r="T36" s="27"/>
      <c r="U36" s="27"/>
      <c r="V36" s="304"/>
    </row>
    <row r="37" spans="1:22">
      <c r="T37" s="27"/>
      <c r="U37" s="27"/>
      <c r="V37" s="304"/>
    </row>
    <row r="38" spans="1:22">
      <c r="T38" s="27"/>
      <c r="U38" s="27"/>
      <c r="V38" s="304"/>
    </row>
    <row r="39" spans="1:22">
      <c r="T39" s="27"/>
      <c r="U39" s="27"/>
      <c r="V39" s="304"/>
    </row>
    <row r="40" spans="1:22">
      <c r="T40" s="27"/>
      <c r="U40" s="27"/>
      <c r="V40" s="304"/>
    </row>
    <row r="41" spans="1:22" ht="15" thickBot="1">
      <c r="T41" s="27"/>
      <c r="U41" s="27"/>
      <c r="V41" s="304"/>
    </row>
    <row r="42" spans="1:22" ht="65.150000000000006" customHeight="1" thickBot="1">
      <c r="A42" s="1027" t="s">
        <v>1</v>
      </c>
      <c r="B42" s="1028"/>
      <c r="C42" s="1028"/>
      <c r="D42" s="1028"/>
      <c r="E42" s="1028"/>
      <c r="F42" s="1028"/>
      <c r="G42" s="1028"/>
      <c r="H42" s="1028"/>
      <c r="I42" s="1028"/>
      <c r="J42" s="1028"/>
      <c r="K42" s="1028"/>
      <c r="L42" s="1028"/>
      <c r="M42" s="1028"/>
      <c r="N42" s="1028"/>
      <c r="O42" s="1028"/>
      <c r="P42" s="1028"/>
      <c r="Q42" s="1028"/>
      <c r="R42" s="1028"/>
      <c r="S42" s="1028"/>
      <c r="T42" s="1028"/>
      <c r="U42" s="1028"/>
      <c r="V42" s="1029"/>
    </row>
  </sheetData>
  <mergeCells count="1">
    <mergeCell ref="A42:V42"/>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tabColor rgb="FF92D050"/>
  </sheetPr>
  <dimension ref="A1:J52"/>
  <sheetViews>
    <sheetView showGridLines="0" workbookViewId="0">
      <selection activeCell="C17" sqref="C17"/>
    </sheetView>
  </sheetViews>
  <sheetFormatPr defaultColWidth="8.81640625" defaultRowHeight="14.5"/>
  <cols>
    <col min="1" max="1" width="8.81640625" style="265"/>
    <col min="2" max="2" width="19.1796875" customWidth="1"/>
    <col min="3" max="3" width="83.26953125" customWidth="1"/>
    <col min="10" max="10" width="8.81640625" style="308"/>
    <col min="11" max="16384" width="8.81640625" style="109"/>
  </cols>
  <sheetData>
    <row r="1" spans="1:9" ht="36.5" thickBot="1">
      <c r="A1" s="496" t="s">
        <v>4</v>
      </c>
      <c r="B1" s="486"/>
      <c r="C1" s="486"/>
      <c r="D1" s="486"/>
      <c r="E1" s="486"/>
      <c r="F1" s="486"/>
      <c r="G1" s="486"/>
      <c r="H1" s="486"/>
      <c r="I1" s="487"/>
    </row>
    <row r="2" spans="1:9">
      <c r="A2" s="264"/>
    </row>
    <row r="3" spans="1:9">
      <c r="B3" s="1" t="s">
        <v>5</v>
      </c>
    </row>
    <row r="5" spans="1:9">
      <c r="B5" s="840" t="s">
        <v>6</v>
      </c>
      <c r="C5" s="194" t="s">
        <v>7</v>
      </c>
    </row>
    <row r="6" spans="1:9" ht="43.5">
      <c r="B6" s="469" t="s">
        <v>8</v>
      </c>
      <c r="C6" s="470" t="s">
        <v>9</v>
      </c>
    </row>
    <row r="7" spans="1:9" ht="29">
      <c r="B7" s="455" t="s">
        <v>10</v>
      </c>
      <c r="C7" s="453" t="s">
        <v>11</v>
      </c>
    </row>
    <row r="8" spans="1:9" ht="29">
      <c r="B8" s="455" t="s">
        <v>12</v>
      </c>
      <c r="C8" s="453" t="s">
        <v>13</v>
      </c>
    </row>
    <row r="9" spans="1:9" ht="33" customHeight="1">
      <c r="B9" s="455" t="s">
        <v>14</v>
      </c>
      <c r="C9" s="453" t="s">
        <v>15</v>
      </c>
    </row>
    <row r="10" spans="1:9" ht="16.5">
      <c r="B10" s="455" t="s">
        <v>16</v>
      </c>
      <c r="C10" s="453" t="s">
        <v>17</v>
      </c>
    </row>
    <row r="11" spans="1:9" ht="29">
      <c r="B11" s="455" t="s">
        <v>18</v>
      </c>
      <c r="C11" s="453" t="s">
        <v>19</v>
      </c>
    </row>
    <row r="12" spans="1:9" ht="45.5">
      <c r="B12" s="455" t="s">
        <v>20</v>
      </c>
      <c r="C12" s="453" t="s">
        <v>21</v>
      </c>
    </row>
    <row r="13" spans="1:9" ht="58">
      <c r="B13" s="455" t="s">
        <v>22</v>
      </c>
      <c r="C13" s="453" t="s">
        <v>23</v>
      </c>
    </row>
    <row r="14" spans="1:9" ht="31">
      <c r="B14" s="455" t="s">
        <v>24</v>
      </c>
      <c r="C14" s="453" t="s">
        <v>25</v>
      </c>
    </row>
    <row r="15" spans="1:9" ht="29">
      <c r="B15" s="455" t="s">
        <v>26</v>
      </c>
      <c r="C15" s="453" t="s">
        <v>27</v>
      </c>
    </row>
    <row r="16" spans="1:9" ht="29">
      <c r="B16" s="455" t="s">
        <v>28</v>
      </c>
      <c r="C16" s="453" t="s">
        <v>1223</v>
      </c>
    </row>
    <row r="17" spans="2:3">
      <c r="B17" s="455" t="s">
        <v>29</v>
      </c>
      <c r="C17" s="453" t="s">
        <v>30</v>
      </c>
    </row>
    <row r="18" spans="2:3" ht="46" customHeight="1">
      <c r="B18" s="455" t="s">
        <v>31</v>
      </c>
      <c r="C18" s="453" t="s">
        <v>32</v>
      </c>
    </row>
    <row r="19" spans="2:3" ht="15.65" customHeight="1">
      <c r="B19" s="455" t="s">
        <v>33</v>
      </c>
      <c r="C19" s="453" t="s">
        <v>34</v>
      </c>
    </row>
    <row r="20" spans="2:3" ht="45.5">
      <c r="B20" s="455" t="s">
        <v>35</v>
      </c>
      <c r="C20" s="453" t="s">
        <v>36</v>
      </c>
    </row>
    <row r="21" spans="2:3" ht="29">
      <c r="B21" s="455" t="s">
        <v>37</v>
      </c>
      <c r="C21" s="453" t="s">
        <v>38</v>
      </c>
    </row>
    <row r="22" spans="2:3">
      <c r="B22" s="455" t="s">
        <v>39</v>
      </c>
      <c r="C22" s="453" t="s">
        <v>40</v>
      </c>
    </row>
    <row r="23" spans="2:3">
      <c r="B23" s="455" t="s">
        <v>41</v>
      </c>
      <c r="C23" s="453" t="s">
        <v>42</v>
      </c>
    </row>
    <row r="24" spans="2:3">
      <c r="B24" s="455" t="s">
        <v>43</v>
      </c>
      <c r="C24" s="453" t="s">
        <v>44</v>
      </c>
    </row>
    <row r="25" spans="2:3" ht="58">
      <c r="B25" s="455" t="s">
        <v>45</v>
      </c>
      <c r="C25" s="453" t="s">
        <v>46</v>
      </c>
    </row>
    <row r="26" spans="2:3" ht="87">
      <c r="B26" s="455" t="s">
        <v>47</v>
      </c>
      <c r="C26" s="453" t="s">
        <v>48</v>
      </c>
    </row>
    <row r="27" spans="2:3">
      <c r="B27" s="455" t="s">
        <v>49</v>
      </c>
      <c r="C27" s="453" t="s">
        <v>50</v>
      </c>
    </row>
    <row r="28" spans="2:3">
      <c r="B28" s="455" t="s">
        <v>51</v>
      </c>
      <c r="C28" s="453" t="s">
        <v>52</v>
      </c>
    </row>
    <row r="29" spans="2:3">
      <c r="B29" s="455" t="s">
        <v>53</v>
      </c>
      <c r="C29" s="453" t="s">
        <v>54</v>
      </c>
    </row>
    <row r="30" spans="2:3">
      <c r="B30" s="455" t="s">
        <v>55</v>
      </c>
      <c r="C30" s="453" t="s">
        <v>56</v>
      </c>
    </row>
    <row r="31" spans="2:3">
      <c r="B31" s="455" t="s">
        <v>57</v>
      </c>
      <c r="C31" s="453" t="s">
        <v>58</v>
      </c>
    </row>
    <row r="32" spans="2:3" ht="29">
      <c r="B32" s="455" t="s">
        <v>59</v>
      </c>
      <c r="C32" s="453" t="s">
        <v>60</v>
      </c>
    </row>
    <row r="33" spans="2:6" ht="58">
      <c r="B33" s="455" t="s">
        <v>61</v>
      </c>
      <c r="C33" s="453" t="s">
        <v>62</v>
      </c>
    </row>
    <row r="34" spans="2:6">
      <c r="B34" s="455" t="s">
        <v>63</v>
      </c>
      <c r="C34" s="453" t="s">
        <v>64</v>
      </c>
    </row>
    <row r="35" spans="2:6">
      <c r="B35" s="455" t="s">
        <v>65</v>
      </c>
      <c r="C35" s="453" t="s">
        <v>66</v>
      </c>
    </row>
    <row r="36" spans="2:6">
      <c r="B36" s="455" t="s">
        <v>67</v>
      </c>
      <c r="C36" s="453" t="s">
        <v>68</v>
      </c>
    </row>
    <row r="37" spans="2:6" ht="29">
      <c r="B37" s="455" t="s">
        <v>69</v>
      </c>
      <c r="C37" s="453" t="s">
        <v>70</v>
      </c>
    </row>
    <row r="38" spans="2:6" ht="29">
      <c r="B38" s="455" t="s">
        <v>71</v>
      </c>
      <c r="C38" s="453" t="s">
        <v>72</v>
      </c>
    </row>
    <row r="39" spans="2:6" ht="16.5">
      <c r="B39" s="455" t="s">
        <v>73</v>
      </c>
      <c r="C39" s="453" t="s">
        <v>74</v>
      </c>
      <c r="F39" s="195"/>
    </row>
    <row r="40" spans="2:6" ht="16.5">
      <c r="B40" s="455" t="s">
        <v>75</v>
      </c>
      <c r="C40" s="453" t="s">
        <v>76</v>
      </c>
      <c r="F40" s="195"/>
    </row>
    <row r="41" spans="2:6" ht="29">
      <c r="B41" s="455" t="s">
        <v>77</v>
      </c>
      <c r="C41" s="453" t="s">
        <v>78</v>
      </c>
      <c r="F41" s="195"/>
    </row>
    <row r="42" spans="2:6">
      <c r="B42" s="455" t="s">
        <v>79</v>
      </c>
      <c r="C42" s="453" t="s">
        <v>80</v>
      </c>
      <c r="F42" s="195"/>
    </row>
    <row r="43" spans="2:6">
      <c r="B43" s="455" t="s">
        <v>81</v>
      </c>
      <c r="C43" s="453" t="s">
        <v>82</v>
      </c>
      <c r="F43" s="195"/>
    </row>
    <row r="44" spans="2:6">
      <c r="B44" s="455" t="s">
        <v>83</v>
      </c>
      <c r="C44" s="453" t="s">
        <v>84</v>
      </c>
      <c r="F44" s="195"/>
    </row>
    <row r="45" spans="2:6" ht="58">
      <c r="B45" s="455" t="s">
        <v>85</v>
      </c>
      <c r="C45" s="453" t="s">
        <v>86</v>
      </c>
      <c r="F45" s="195"/>
    </row>
    <row r="46" spans="2:6">
      <c r="B46" s="455" t="s">
        <v>87</v>
      </c>
      <c r="C46" s="453" t="s">
        <v>88</v>
      </c>
      <c r="F46" s="195"/>
    </row>
    <row r="47" spans="2:6" ht="29">
      <c r="B47" s="456" t="s">
        <v>89</v>
      </c>
      <c r="C47" s="454" t="s">
        <v>90</v>
      </c>
    </row>
    <row r="51" spans="1:9" ht="15" thickBot="1"/>
    <row r="52" spans="1:9" ht="65.150000000000006" customHeight="1" thickBot="1">
      <c r="A52" s="1027" t="s">
        <v>1</v>
      </c>
      <c r="B52" s="1028"/>
      <c r="C52" s="1028"/>
      <c r="D52" s="1028"/>
      <c r="E52" s="1028"/>
      <c r="F52" s="1028"/>
      <c r="G52" s="1028"/>
      <c r="H52" s="1028"/>
      <c r="I52" s="1029"/>
    </row>
  </sheetData>
  <mergeCells count="1">
    <mergeCell ref="A52:I5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sheetPr>
  <dimension ref="A1:O92"/>
  <sheetViews>
    <sheetView showGridLines="0" zoomScale="92" zoomScaleNormal="92" workbookViewId="0">
      <selection activeCell="G9" sqref="G9"/>
    </sheetView>
  </sheetViews>
  <sheetFormatPr defaultColWidth="8.81640625" defaultRowHeight="14.5"/>
  <cols>
    <col min="1" max="1" width="8.81640625" style="265"/>
    <col min="2" max="2" width="16.1796875" customWidth="1"/>
    <col min="4" max="4" width="34" customWidth="1"/>
    <col min="5" max="9" width="17" customWidth="1"/>
    <col min="10" max="10" width="6.1796875" customWidth="1"/>
    <col min="15" max="15" width="8.81640625" style="308"/>
    <col min="16" max="16384" width="8.81640625" style="109"/>
  </cols>
  <sheetData>
    <row r="1" spans="1:14" ht="38.25" customHeight="1" thickBot="1">
      <c r="A1" s="496" t="s">
        <v>91</v>
      </c>
      <c r="B1" s="486"/>
      <c r="C1" s="486"/>
      <c r="D1" s="486"/>
      <c r="E1" s="486"/>
      <c r="F1" s="486"/>
      <c r="G1" s="486"/>
      <c r="H1" s="486"/>
      <c r="I1" s="486"/>
      <c r="J1" s="486"/>
      <c r="K1" s="486"/>
      <c r="L1" s="486"/>
      <c r="M1" s="486"/>
      <c r="N1" s="487"/>
    </row>
    <row r="2" spans="1:14">
      <c r="A2" s="661" t="s">
        <v>92</v>
      </c>
    </row>
    <row r="3" spans="1:14">
      <c r="A3" s="268" t="s">
        <v>93</v>
      </c>
    </row>
    <row r="4" spans="1:14">
      <c r="I4" s="434"/>
    </row>
    <row r="5" spans="1:14">
      <c r="B5" s="195" t="s">
        <v>94</v>
      </c>
      <c r="D5" s="992"/>
      <c r="I5" s="434"/>
    </row>
    <row r="6" spans="1:14">
      <c r="B6" s="195" t="s">
        <v>95</v>
      </c>
      <c r="D6" s="992"/>
    </row>
    <row r="7" spans="1:14">
      <c r="B7" s="195" t="s">
        <v>96</v>
      </c>
      <c r="D7" s="1017"/>
    </row>
    <row r="8" spans="1:14">
      <c r="A8" s="268" t="s">
        <v>97</v>
      </c>
      <c r="B8" s="1"/>
    </row>
    <row r="9" spans="1:14" ht="14.25" customHeight="1">
      <c r="A9" s="268" t="s">
        <v>98</v>
      </c>
      <c r="B9" s="367"/>
      <c r="C9" s="367"/>
      <c r="D9" s="367"/>
      <c r="E9" s="367"/>
      <c r="F9" s="367"/>
      <c r="G9" s="367"/>
      <c r="H9" s="367"/>
      <c r="I9" s="367"/>
      <c r="J9" s="367"/>
      <c r="K9" s="367"/>
      <c r="L9" s="367"/>
    </row>
    <row r="10" spans="1:14" ht="15" hidden="1" customHeight="1">
      <c r="A10" s="268"/>
      <c r="B10" t="s">
        <v>99</v>
      </c>
      <c r="D10" s="27"/>
      <c r="E10" s="27"/>
      <c r="F10" s="27"/>
      <c r="G10" s="27"/>
      <c r="H10" s="27"/>
      <c r="I10" s="27"/>
      <c r="J10" s="27"/>
      <c r="K10" s="27"/>
      <c r="L10" s="27"/>
    </row>
    <row r="11" spans="1:14" hidden="1"/>
    <row r="12" spans="1:14" hidden="1">
      <c r="D12" s="843">
        <v>4</v>
      </c>
    </row>
    <row r="13" spans="1:14">
      <c r="A13" s="268" t="s">
        <v>100</v>
      </c>
    </row>
    <row r="14" spans="1:14" hidden="1"/>
    <row r="15" spans="1:14">
      <c r="A15" s="268"/>
    </row>
    <row r="16" spans="1:14">
      <c r="A16" s="284" t="s">
        <v>101</v>
      </c>
      <c r="C16">
        <v>1</v>
      </c>
      <c r="D16" s="841" t="s">
        <v>102</v>
      </c>
    </row>
    <row r="17" spans="3:4">
      <c r="C17">
        <v>2</v>
      </c>
      <c r="D17" s="841" t="s">
        <v>103</v>
      </c>
    </row>
    <row r="18" spans="3:4">
      <c r="C18">
        <v>3</v>
      </c>
      <c r="D18" s="841" t="s">
        <v>104</v>
      </c>
    </row>
    <row r="19" spans="3:4">
      <c r="C19">
        <v>4</v>
      </c>
      <c r="D19" s="841" t="s">
        <v>105</v>
      </c>
    </row>
    <row r="20" spans="3:4" hidden="1">
      <c r="C20">
        <v>5</v>
      </c>
      <c r="D20" s="843"/>
    </row>
    <row r="21" spans="3:4" hidden="1">
      <c r="C21">
        <v>6</v>
      </c>
      <c r="D21" s="843"/>
    </row>
    <row r="22" spans="3:4" hidden="1">
      <c r="C22">
        <v>7</v>
      </c>
      <c r="D22" s="843"/>
    </row>
    <row r="23" spans="3:4" hidden="1">
      <c r="C23">
        <v>8</v>
      </c>
      <c r="D23" s="843"/>
    </row>
    <row r="24" spans="3:4" hidden="1">
      <c r="C24">
        <v>9</v>
      </c>
      <c r="D24" s="843"/>
    </row>
    <row r="25" spans="3:4" hidden="1">
      <c r="C25">
        <v>10</v>
      </c>
      <c r="D25" s="843"/>
    </row>
    <row r="26" spans="3:4" hidden="1">
      <c r="C26">
        <v>11</v>
      </c>
      <c r="D26" s="843"/>
    </row>
    <row r="27" spans="3:4" hidden="1">
      <c r="C27">
        <v>12</v>
      </c>
      <c r="D27" s="843"/>
    </row>
    <row r="28" spans="3:4" hidden="1">
      <c r="C28">
        <v>13</v>
      </c>
      <c r="D28" s="843"/>
    </row>
    <row r="29" spans="3:4" hidden="1">
      <c r="C29">
        <v>14</v>
      </c>
      <c r="D29" s="843"/>
    </row>
    <row r="30" spans="3:4" hidden="1">
      <c r="C30">
        <v>15</v>
      </c>
      <c r="D30" s="843"/>
    </row>
    <row r="31" spans="3:4" hidden="1">
      <c r="C31">
        <v>16</v>
      </c>
      <c r="D31" s="843"/>
    </row>
    <row r="32" spans="3:4" hidden="1">
      <c r="C32">
        <v>17</v>
      </c>
      <c r="D32" s="843"/>
    </row>
    <row r="33" spans="1:13" hidden="1">
      <c r="C33">
        <v>18</v>
      </c>
      <c r="D33" s="843"/>
    </row>
    <row r="34" spans="1:13" hidden="1">
      <c r="C34">
        <v>19</v>
      </c>
      <c r="D34" s="843"/>
    </row>
    <row r="35" spans="1:13" hidden="1">
      <c r="A35" s="272"/>
      <c r="C35">
        <v>20</v>
      </c>
      <c r="D35" s="843"/>
    </row>
    <row r="38" spans="1:13" ht="46.5" customHeight="1">
      <c r="A38" s="1034" t="s">
        <v>106</v>
      </c>
      <c r="B38" s="1035"/>
      <c r="C38" s="1035"/>
      <c r="D38" s="1035"/>
      <c r="E38" s="1035"/>
      <c r="F38" s="1035"/>
      <c r="G38" s="1035"/>
      <c r="H38" s="1035"/>
    </row>
    <row r="39" spans="1:13" ht="48" customHeight="1">
      <c r="A39" s="268"/>
      <c r="B39" s="1036" t="s">
        <v>107</v>
      </c>
      <c r="C39" s="1036"/>
      <c r="D39" s="1036"/>
      <c r="E39" s="1036"/>
      <c r="F39" s="1036"/>
      <c r="G39" s="1036"/>
      <c r="H39" s="1036"/>
    </row>
    <row r="40" spans="1:13">
      <c r="B40" s="1031" t="s">
        <v>108</v>
      </c>
      <c r="C40" s="1031"/>
      <c r="D40" s="1031"/>
      <c r="E40" s="1031"/>
      <c r="F40" s="1031"/>
      <c r="G40" s="1031"/>
      <c r="H40" s="1031"/>
      <c r="I40" s="1031"/>
      <c r="J40" s="1031"/>
      <c r="K40" s="1031"/>
      <c r="L40" s="1031"/>
      <c r="M40" s="1031"/>
    </row>
    <row r="41" spans="1:13" ht="14.25" customHeight="1">
      <c r="B41" s="12" t="s">
        <v>109</v>
      </c>
      <c r="C41" s="357"/>
      <c r="D41" s="357"/>
      <c r="E41" s="357"/>
      <c r="F41" s="357"/>
      <c r="G41" s="357"/>
      <c r="H41" s="357"/>
      <c r="I41" s="357"/>
      <c r="J41" s="357"/>
      <c r="K41" s="357"/>
      <c r="L41" s="357"/>
      <c r="M41" s="357"/>
    </row>
    <row r="42" spans="1:13">
      <c r="D42" s="1"/>
      <c r="E42" s="1030" t="s">
        <v>110</v>
      </c>
      <c r="F42" s="1030"/>
      <c r="G42" s="1030"/>
      <c r="H42" s="62" t="s">
        <v>111</v>
      </c>
    </row>
    <row r="43" spans="1:13" ht="17.25" customHeight="1">
      <c r="D43" s="1" t="s">
        <v>112</v>
      </c>
      <c r="E43" s="62" t="s">
        <v>16</v>
      </c>
      <c r="F43" s="62" t="s">
        <v>20</v>
      </c>
      <c r="G43" s="62" t="s">
        <v>73</v>
      </c>
      <c r="H43" s="180" t="s">
        <v>113</v>
      </c>
    </row>
    <row r="44" spans="1:13">
      <c r="B44" s="1032" t="s">
        <v>114</v>
      </c>
      <c r="C44" s="1033"/>
      <c r="D44" s="844" t="s">
        <v>115</v>
      </c>
      <c r="E44" s="845" t="str">
        <f>IFERROR(VLOOKUP(D44, elec_factors_CO2, elec_colindex_MyYear+1, FALSE),"")</f>
        <v/>
      </c>
      <c r="F44" s="846" t="str">
        <f>IFERROR(VLOOKUP(D44, elec_factors_CH4, elec_colindex_MyYear+1, FALSE),"")</f>
        <v/>
      </c>
      <c r="G44" s="846" t="str">
        <f>IFERROR(VLOOKUP(D44, elec_factors_N2O, elec_colindex_MyYear+1, FALSE),"")</f>
        <v/>
      </c>
      <c r="H44" s="847" t="str">
        <f>IFERROR(E44*CO2_CO2e+F44*CH4_CO2e+G44*N2O_CO2e,"")</f>
        <v/>
      </c>
    </row>
    <row r="45" spans="1:13">
      <c r="D45" s="1" t="s">
        <v>116</v>
      </c>
    </row>
    <row r="46" spans="1:13">
      <c r="B46" s="658" t="b">
        <v>1</v>
      </c>
      <c r="D46" s="844"/>
      <c r="E46" s="848"/>
      <c r="F46" s="849"/>
      <c r="G46" s="849"/>
      <c r="H46" s="847">
        <f>E46*CO2_CO2e+F46*CH4_CO2e+G46*N2O_CO2e</f>
        <v>0</v>
      </c>
    </row>
    <row r="47" spans="1:13">
      <c r="B47" s="658" t="b">
        <v>0</v>
      </c>
      <c r="D47" s="844"/>
      <c r="E47" s="848"/>
      <c r="F47" s="849"/>
      <c r="G47" s="849"/>
      <c r="H47" s="847">
        <f>E47*CO2_CO2e+F47*CH4_CO2e+G47*N2O_CO2e</f>
        <v>0</v>
      </c>
    </row>
    <row r="48" spans="1:13">
      <c r="B48" s="658" t="b">
        <v>0</v>
      </c>
      <c r="D48" s="844"/>
      <c r="E48" s="848"/>
      <c r="F48" s="849"/>
      <c r="G48" s="849"/>
      <c r="H48" s="847">
        <f>E48*CO2_CO2e+F48*CH4_CO2e+G48*N2O_CO2e</f>
        <v>0</v>
      </c>
    </row>
    <row r="49" spans="2:11">
      <c r="B49" s="658" t="b">
        <v>0</v>
      </c>
      <c r="D49" s="844"/>
      <c r="E49" s="848"/>
      <c r="F49" s="849"/>
      <c r="G49" s="849"/>
      <c r="H49" s="847">
        <f>E49*CO2_CO2e+F49*CH4_CO2e+G49*N2O_CO2e</f>
        <v>0</v>
      </c>
      <c r="J49" s="350"/>
      <c r="K49" s="349"/>
    </row>
    <row r="50" spans="2:11">
      <c r="B50" s="658" t="b">
        <v>0</v>
      </c>
      <c r="D50" s="844"/>
      <c r="E50" s="848"/>
      <c r="F50" s="849"/>
      <c r="G50" s="849"/>
      <c r="H50" s="847">
        <f>E50*CO2_CO2e+F50*CH4_CO2e+G50*N2O_CO2e</f>
        <v>0</v>
      </c>
    </row>
    <row r="82" spans="1:14">
      <c r="A82" s="268" t="s">
        <v>117</v>
      </c>
    </row>
    <row r="83" spans="1:14">
      <c r="B83" t="s">
        <v>118</v>
      </c>
    </row>
    <row r="84" spans="1:14">
      <c r="B84" t="s">
        <v>119</v>
      </c>
    </row>
    <row r="88" spans="1:14" ht="16.5">
      <c r="B88" s="57" t="s">
        <v>120</v>
      </c>
    </row>
    <row r="89" spans="1:14">
      <c r="B89" s="57" t="s">
        <v>121</v>
      </c>
    </row>
    <row r="90" spans="1:14">
      <c r="B90" s="57" t="s">
        <v>122</v>
      </c>
    </row>
    <row r="91" spans="1:14" ht="15" thickBot="1"/>
    <row r="92" spans="1:14" ht="65.150000000000006" customHeight="1" thickBot="1">
      <c r="A92" s="1027" t="s">
        <v>1</v>
      </c>
      <c r="B92" s="1028"/>
      <c r="C92" s="1028"/>
      <c r="D92" s="1028"/>
      <c r="E92" s="1028"/>
      <c r="F92" s="1028"/>
      <c r="G92" s="1028"/>
      <c r="H92" s="1028"/>
      <c r="I92" s="1028"/>
      <c r="J92" s="1028"/>
      <c r="K92" s="1028"/>
      <c r="L92" s="1028"/>
      <c r="M92" s="1028"/>
      <c r="N92" s="1029"/>
    </row>
  </sheetData>
  <mergeCells count="6">
    <mergeCell ref="E42:G42"/>
    <mergeCell ref="B40:M40"/>
    <mergeCell ref="A92:N92"/>
    <mergeCell ref="B44:C44"/>
    <mergeCell ref="A38:H38"/>
    <mergeCell ref="B39:H39"/>
  </mergeCells>
  <dataValidations count="3">
    <dataValidation type="whole" allowBlank="1" showInputMessage="1" showErrorMessage="1" sqref="D12" xr:uid="{00000000-0002-0000-0400-000000000000}">
      <formula1>1</formula1>
      <formula2>20</formula2>
    </dataValidation>
    <dataValidation type="whole" allowBlank="1" showInputMessage="1" showErrorMessage="1" sqref="D6" xr:uid="{00000000-0002-0000-0400-000001000000}">
      <formula1>2000</formula1>
      <formula2>2025</formula2>
    </dataValidation>
    <dataValidation type="list" allowBlank="1" showInputMessage="1" showErrorMessage="1" sqref="D44" xr:uid="{00000000-0002-0000-0400-000002000000}">
      <formula1>egridnames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2565" r:id="rId4" name="CheckBox16">
          <controlPr locked="0" defaultSize="0" autoLine="0" linkedCell="B50" r:id="rId5">
            <anchor moveWithCells="1">
              <from>
                <xdr:col>2</xdr:col>
                <xdr:colOff>393700</xdr:colOff>
                <xdr:row>49</xdr:row>
                <xdr:rowOff>31750</xdr:rowOff>
              </from>
              <to>
                <xdr:col>2</xdr:col>
                <xdr:colOff>546100</xdr:colOff>
                <xdr:row>50</xdr:row>
                <xdr:rowOff>12700</xdr:rowOff>
              </to>
            </anchor>
          </controlPr>
        </control>
      </mc:Choice>
      <mc:Fallback>
        <control shapeId="22565" r:id="rId4" name="CheckBox16"/>
      </mc:Fallback>
    </mc:AlternateContent>
    <mc:AlternateContent xmlns:mc="http://schemas.openxmlformats.org/markup-compatibility/2006">
      <mc:Choice Requires="x14">
        <control shapeId="22564" r:id="rId6" name="CheckBox15">
          <controlPr locked="0" defaultSize="0" autoLine="0" linkedCell="B49" r:id="rId7">
            <anchor moveWithCells="1">
              <from>
                <xdr:col>2</xdr:col>
                <xdr:colOff>393700</xdr:colOff>
                <xdr:row>48</xdr:row>
                <xdr:rowOff>31750</xdr:rowOff>
              </from>
              <to>
                <xdr:col>2</xdr:col>
                <xdr:colOff>546100</xdr:colOff>
                <xdr:row>49</xdr:row>
                <xdr:rowOff>12700</xdr:rowOff>
              </to>
            </anchor>
          </controlPr>
        </control>
      </mc:Choice>
      <mc:Fallback>
        <control shapeId="22564" r:id="rId6" name="CheckBox15"/>
      </mc:Fallback>
    </mc:AlternateContent>
    <mc:AlternateContent xmlns:mc="http://schemas.openxmlformats.org/markup-compatibility/2006">
      <mc:Choice Requires="x14">
        <control shapeId="22563" r:id="rId8" name="CheckBox14">
          <controlPr locked="0" defaultSize="0" autoLine="0" linkedCell="B48" r:id="rId9">
            <anchor moveWithCells="1">
              <from>
                <xdr:col>2</xdr:col>
                <xdr:colOff>393700</xdr:colOff>
                <xdr:row>47</xdr:row>
                <xdr:rowOff>31750</xdr:rowOff>
              </from>
              <to>
                <xdr:col>2</xdr:col>
                <xdr:colOff>546100</xdr:colOff>
                <xdr:row>48</xdr:row>
                <xdr:rowOff>12700</xdr:rowOff>
              </to>
            </anchor>
          </controlPr>
        </control>
      </mc:Choice>
      <mc:Fallback>
        <control shapeId="22563" r:id="rId8" name="CheckBox14"/>
      </mc:Fallback>
    </mc:AlternateContent>
    <mc:AlternateContent xmlns:mc="http://schemas.openxmlformats.org/markup-compatibility/2006">
      <mc:Choice Requires="x14">
        <control shapeId="22562" r:id="rId10" name="CheckBox13">
          <controlPr locked="0" defaultSize="0" autoLine="0" linkedCell="B47" r:id="rId11">
            <anchor moveWithCells="1">
              <from>
                <xdr:col>2</xdr:col>
                <xdr:colOff>393700</xdr:colOff>
                <xdr:row>46</xdr:row>
                <xdr:rowOff>31750</xdr:rowOff>
              </from>
              <to>
                <xdr:col>2</xdr:col>
                <xdr:colOff>546100</xdr:colOff>
                <xdr:row>47</xdr:row>
                <xdr:rowOff>12700</xdr:rowOff>
              </to>
            </anchor>
          </controlPr>
        </control>
      </mc:Choice>
      <mc:Fallback>
        <control shapeId="22562" r:id="rId10" name="CheckBox13"/>
      </mc:Fallback>
    </mc:AlternateContent>
    <mc:AlternateContent xmlns:mc="http://schemas.openxmlformats.org/markup-compatibility/2006">
      <mc:Choice Requires="x14">
        <control shapeId="22561" r:id="rId12" name="CheckBox12">
          <controlPr locked="0" defaultSize="0" autoLine="0" linkedCell="B46" r:id="rId13">
            <anchor moveWithCells="1">
              <from>
                <xdr:col>2</xdr:col>
                <xdr:colOff>393700</xdr:colOff>
                <xdr:row>45</xdr:row>
                <xdr:rowOff>31750</xdr:rowOff>
              </from>
              <to>
                <xdr:col>2</xdr:col>
                <xdr:colOff>546100</xdr:colOff>
                <xdr:row>46</xdr:row>
                <xdr:rowOff>12700</xdr:rowOff>
              </to>
            </anchor>
          </controlPr>
        </control>
      </mc:Choice>
      <mc:Fallback>
        <control shapeId="22561" r:id="rId12" name="CheckBox12"/>
      </mc:Fallback>
    </mc:AlternateContent>
    <mc:AlternateContent xmlns:mc="http://schemas.openxmlformats.org/markup-compatibility/2006">
      <mc:Choice Requires="x14">
        <control shapeId="22556" r:id="rId14" name="ck_comp_control">
          <controlPr locked="0" autoLine="0" linkedCell="comp_control" r:id="rId15">
            <anchor moveWithCells="1">
              <from>
                <xdr:col>8</xdr:col>
                <xdr:colOff>1098550</xdr:colOff>
                <xdr:row>0</xdr:row>
                <xdr:rowOff>107950</xdr:rowOff>
              </from>
              <to>
                <xdr:col>13</xdr:col>
                <xdr:colOff>184150</xdr:colOff>
                <xdr:row>0</xdr:row>
                <xdr:rowOff>374650</xdr:rowOff>
              </to>
            </anchor>
          </controlPr>
        </control>
      </mc:Choice>
      <mc:Fallback>
        <control shapeId="22556" r:id="rId14" name="ck_comp_control"/>
      </mc:Fallback>
    </mc:AlternateContent>
    <mc:AlternateContent xmlns:mc="http://schemas.openxmlformats.org/markup-compatibility/2006">
      <mc:Choice Requires="x14">
        <control shapeId="22530" r:id="rId16" name="Button 2">
          <controlPr defaultSize="0" print="0" autoFill="0" autoPict="0" macro="[0]!Sheet3.SetAllDepartments">
            <anchor moveWithCells="1" sizeWithCells="1">
              <from>
                <xdr:col>3</xdr:col>
                <xdr:colOff>0</xdr:colOff>
                <xdr:row>84</xdr:row>
                <xdr:rowOff>114300</xdr:rowOff>
              </from>
              <to>
                <xdr:col>3</xdr:col>
                <xdr:colOff>1943100</xdr:colOff>
                <xdr:row>85</xdr:row>
                <xdr:rowOff>184150</xdr:rowOff>
              </to>
            </anchor>
          </controlPr>
        </control>
      </mc:Choice>
    </mc:AlternateContent>
    <mc:AlternateContent xmlns:mc="http://schemas.openxmlformats.org/markup-compatibility/2006">
      <mc:Choice Requires="x14">
        <control shapeId="22553" r:id="rId17" name="Spinner 25">
          <controlPr defaultSize="0" autoPict="0">
            <anchor moveWithCells="1" sizeWithCells="1">
              <from>
                <xdr:col>4</xdr:col>
                <xdr:colOff>69850</xdr:colOff>
                <xdr:row>4</xdr:row>
                <xdr:rowOff>146050</xdr:rowOff>
              </from>
              <to>
                <xdr:col>4</xdr:col>
                <xdr:colOff>450850</xdr:colOff>
                <xdr:row>6</xdr:row>
                <xdr:rowOff>50800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theme="0" tint="-0.499984740745262"/>
  </sheetPr>
  <dimension ref="A1:C24"/>
  <sheetViews>
    <sheetView workbookViewId="0">
      <selection activeCell="B16" sqref="B16"/>
    </sheetView>
  </sheetViews>
  <sheetFormatPr defaultColWidth="8.81640625" defaultRowHeight="14.5"/>
  <cols>
    <col min="1" max="1" width="31" style="586" customWidth="1"/>
    <col min="2" max="16384" width="8.81640625" style="576"/>
  </cols>
  <sheetData>
    <row r="1" spans="1:3" ht="36">
      <c r="A1" s="659" t="s">
        <v>123</v>
      </c>
      <c r="B1" s="659"/>
      <c r="C1" s="659"/>
    </row>
    <row r="4" spans="1:3">
      <c r="A4" s="586" t="s">
        <v>124</v>
      </c>
      <c r="B4" s="576" t="b">
        <v>0</v>
      </c>
    </row>
    <row r="5" spans="1:3">
      <c r="A5" s="586" t="s">
        <v>125</v>
      </c>
      <c r="B5" s="576" t="b">
        <v>0</v>
      </c>
    </row>
    <row r="6" spans="1:3">
      <c r="A6" s="586" t="s">
        <v>126</v>
      </c>
      <c r="B6" s="576" t="b">
        <v>0</v>
      </c>
    </row>
    <row r="7" spans="1:3">
      <c r="A7" s="586" t="s">
        <v>127</v>
      </c>
      <c r="B7" s="576" t="b">
        <v>0</v>
      </c>
    </row>
    <row r="8" spans="1:3">
      <c r="A8" s="586" t="s">
        <v>128</v>
      </c>
      <c r="B8" s="576" t="b">
        <v>0</v>
      </c>
    </row>
    <row r="9" spans="1:3">
      <c r="A9" s="586" t="s">
        <v>129</v>
      </c>
      <c r="B9" s="576" t="b">
        <v>0</v>
      </c>
    </row>
    <row r="10" spans="1:3">
      <c r="A10" s="586" t="s">
        <v>130</v>
      </c>
      <c r="B10" s="576" t="b">
        <v>0</v>
      </c>
    </row>
    <row r="11" spans="1:3">
      <c r="A11" s="586" t="s">
        <v>131</v>
      </c>
      <c r="B11" s="576" t="b">
        <v>0</v>
      </c>
    </row>
    <row r="12" spans="1:3">
      <c r="A12" s="586" t="s">
        <v>132</v>
      </c>
      <c r="B12" s="576" t="b">
        <v>0</v>
      </c>
    </row>
    <row r="13" spans="1:3">
      <c r="A13" s="586" t="s">
        <v>133</v>
      </c>
      <c r="B13" s="576" t="b">
        <v>0</v>
      </c>
    </row>
    <row r="14" spans="1:3">
      <c r="A14" s="586" t="s">
        <v>134</v>
      </c>
      <c r="B14" s="576" t="b">
        <v>0</v>
      </c>
    </row>
    <row r="15" spans="1:3">
      <c r="A15" s="586" t="s">
        <v>135</v>
      </c>
      <c r="B15" s="576" t="b">
        <v>0</v>
      </c>
    </row>
    <row r="16" spans="1:3">
      <c r="A16" s="586" t="s">
        <v>136</v>
      </c>
      <c r="B16" s="576" t="b">
        <v>0</v>
      </c>
    </row>
    <row r="17" spans="1:2">
      <c r="A17" s="586" t="s">
        <v>137</v>
      </c>
      <c r="B17" s="576" t="b">
        <v>0</v>
      </c>
    </row>
    <row r="18" spans="1:2">
      <c r="A18" s="586" t="s">
        <v>138</v>
      </c>
      <c r="B18" s="576" t="b">
        <v>0</v>
      </c>
    </row>
    <row r="19" spans="1:2">
      <c r="A19" s="586" t="s">
        <v>139</v>
      </c>
      <c r="B19" s="576" t="b">
        <v>0</v>
      </c>
    </row>
    <row r="20" spans="1:2">
      <c r="A20" s="586" t="s">
        <v>140</v>
      </c>
      <c r="B20" s="576" t="b">
        <v>0</v>
      </c>
    </row>
    <row r="21" spans="1:2">
      <c r="A21" s="586" t="s">
        <v>141</v>
      </c>
    </row>
    <row r="22" spans="1:2">
      <c r="A22" s="586" t="s">
        <v>142</v>
      </c>
    </row>
    <row r="23" spans="1:2">
      <c r="A23" s="586" t="s">
        <v>143</v>
      </c>
    </row>
    <row r="24" spans="1:2">
      <c r="A24" s="586" t="s">
        <v>144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9"/>
  </sheetPr>
  <dimension ref="A1:F25"/>
  <sheetViews>
    <sheetView showGridLines="0" workbookViewId="0">
      <selection activeCell="B8" sqref="B8"/>
    </sheetView>
  </sheetViews>
  <sheetFormatPr defaultColWidth="8.81640625" defaultRowHeight="14.5"/>
  <cols>
    <col min="1" max="1" width="9.1796875" style="274" customWidth="1"/>
    <col min="2" max="2" width="27.1796875" style="27" customWidth="1"/>
    <col min="3" max="4" width="41.7265625" style="27" customWidth="1"/>
    <col min="5" max="5" width="32" style="27" customWidth="1"/>
    <col min="6" max="6" width="17.81640625" style="304" customWidth="1"/>
    <col min="7" max="16384" width="8.81640625" style="109"/>
  </cols>
  <sheetData>
    <row r="1" spans="1:6" ht="40" customHeight="1" thickBot="1">
      <c r="A1" s="485" t="s">
        <v>145</v>
      </c>
      <c r="B1" s="486"/>
      <c r="C1" s="486"/>
      <c r="D1" s="486"/>
      <c r="E1" s="486"/>
      <c r="F1" s="487"/>
    </row>
    <row r="2" spans="1:6" ht="23.25" customHeight="1">
      <c r="A2" s="273" t="s">
        <v>146</v>
      </c>
    </row>
    <row r="3" spans="1:6" ht="15" customHeight="1"/>
    <row r="4" spans="1:6" ht="144" customHeight="1"/>
    <row r="5" spans="1:6" ht="9" customHeight="1"/>
    <row r="6" spans="1:6" ht="4.5" customHeight="1"/>
    <row r="7" spans="1:6" ht="15.75" customHeight="1">
      <c r="A7" s="275" t="s">
        <v>147</v>
      </c>
      <c r="B7" s="320" t="s">
        <v>148</v>
      </c>
      <c r="C7" s="29"/>
      <c r="D7" s="29"/>
      <c r="E7" s="29"/>
    </row>
    <row r="8" spans="1:6" ht="15.5">
      <c r="A8" s="276"/>
      <c r="B8" s="28" t="s">
        <v>149</v>
      </c>
      <c r="C8" s="30" t="s">
        <v>150</v>
      </c>
      <c r="D8" s="1" t="s">
        <v>151</v>
      </c>
      <c r="E8" s="30" t="s">
        <v>152</v>
      </c>
    </row>
    <row r="9" spans="1:6">
      <c r="A9" s="358">
        <v>0</v>
      </c>
      <c r="B9" s="850">
        <v>1</v>
      </c>
      <c r="C9" s="851"/>
      <c r="D9" s="841"/>
      <c r="E9" s="851"/>
    </row>
    <row r="10" spans="1:6" ht="15.5">
      <c r="A10" s="277"/>
      <c r="B10" s="28"/>
      <c r="C10" s="31"/>
      <c r="E10" s="32"/>
    </row>
    <row r="11" spans="1:6">
      <c r="A11" s="277"/>
      <c r="B11" s="29"/>
      <c r="C11" s="29"/>
      <c r="D11" s="29"/>
      <c r="E11" s="29"/>
    </row>
    <row r="12" spans="1:6" ht="15.5">
      <c r="A12" s="275" t="s">
        <v>153</v>
      </c>
      <c r="B12" s="28" t="str">
        <f>"Enter the activity data for the year "&amp;MyYear</f>
        <v xml:space="preserve">Enter the activity data for the year </v>
      </c>
      <c r="C12" s="29"/>
      <c r="D12" s="29"/>
      <c r="E12" s="29"/>
    </row>
    <row r="13" spans="1:6">
      <c r="A13" s="278"/>
      <c r="B13" s="29"/>
      <c r="C13" s="29"/>
      <c r="D13" s="29"/>
      <c r="E13" s="29"/>
    </row>
    <row r="14" spans="1:6">
      <c r="A14" s="277"/>
      <c r="B14" s="30" t="s">
        <v>154</v>
      </c>
      <c r="C14" s="30" t="str">
        <f>IF(ISNA("Fuel Use ("&amp;VLOOKUP(stat_entry_fuel,stat_factors,6,FALSE)&amp;"):"),"Fuel Use","Fuel Use ("&amp;VLOOKUP(stat_entry_fuel,stat_factors,6,FALSE)&amp;"):")</f>
        <v>Fuel Use</v>
      </c>
      <c r="E14" s="29"/>
    </row>
    <row r="15" spans="1:6">
      <c r="A15" s="278"/>
      <c r="B15" s="851"/>
      <c r="C15" s="852"/>
      <c r="E15" s="29"/>
    </row>
    <row r="16" spans="1:6">
      <c r="B16" s="53"/>
      <c r="C16" s="29"/>
    </row>
    <row r="18" spans="1:6">
      <c r="F18" s="304" t="s">
        <v>155</v>
      </c>
    </row>
    <row r="24" spans="1:6" ht="15" thickBot="1"/>
    <row r="25" spans="1:6" ht="65.150000000000006" customHeight="1" thickBot="1">
      <c r="A25" s="1037" t="s">
        <v>1</v>
      </c>
      <c r="B25" s="1038"/>
      <c r="C25" s="1038"/>
      <c r="D25" s="1038"/>
      <c r="E25" s="1038"/>
      <c r="F25" s="1039"/>
    </row>
  </sheetData>
  <dataConsolidate link="1"/>
  <mergeCells count="1">
    <mergeCell ref="A25:F25"/>
  </mergeCells>
  <dataValidations count="5">
    <dataValidation type="list" allowBlank="1" showInputMessage="1" showErrorMessage="1" prompt="Please select a fuel from the dropdown list." sqref="B15" xr:uid="{00000000-0002-0000-0600-000000000000}">
      <formula1>stat_FuelsList</formula1>
    </dataValidation>
    <dataValidation allowBlank="1" showInputMessage="1" showErrorMessage="1" prompt="Please enter your fuel consumption for the inventory year here." sqref="C15" xr:uid="{00000000-0002-0000-0600-000001000000}"/>
    <dataValidation type="list" allowBlank="1" showInputMessage="1" showErrorMessage="1" prompt="Please select the sector to which this unit belongs from the dropdown menu. Sectors are specified on the control sheet." sqref="E9" xr:uid="{00000000-0002-0000-0600-000002000000}">
      <formula1>DepartmentList</formula1>
    </dataValidation>
    <dataValidation allowBlank="1" showInputMessage="1" showErrorMessage="1" prompt="Use this field to describe or name the unit or group that you are entering. This field is for the user's reference only." sqref="C9" xr:uid="{00000000-0002-0000-0600-000003000000}"/>
    <dataValidation type="list" allowBlank="1" showInputMessage="1" showErrorMessage="1" prompt="If you have chosen to enter data at the facility level, please specify the type of facility from the dropdown menu. This information will be used to more accurately determine the emissions reduction impacts of various reduction measures." sqref="D9" xr:uid="{00000000-0002-0000-0600-000004000000}">
      <formula1>bldg_type_list</formula1>
    </dataValidation>
  </dataValidations>
  <pageMargins left="0.7" right="0.7" top="0.75" bottom="0.75" header="0.3" footer="0.3"/>
  <pageSetup orientation="portrait"/>
  <drawing r:id="rId1"/>
  <legacyDrawing r:id="rId2"/>
  <controls>
    <mc:AlternateContent xmlns:mc="http://schemas.openxmlformats.org/markup-compatibility/2006">
      <mc:Choice Requires="x14">
        <control shapeId="10251" r:id="rId3" name="ck_comp_StatEntry">
          <controlPr locked="0" defaultSize="0" autoLine="0" linkedCell="comp_StatEntry" r:id="rId4">
            <anchor moveWithCells="1">
              <from>
                <xdr:col>4</xdr:col>
                <xdr:colOff>685800</xdr:colOff>
                <xdr:row>0</xdr:row>
                <xdr:rowOff>133350</xdr:rowOff>
              </from>
              <to>
                <xdr:col>5</xdr:col>
                <xdr:colOff>1009650</xdr:colOff>
                <xdr:row>0</xdr:row>
                <xdr:rowOff>361950</xdr:rowOff>
              </to>
            </anchor>
          </controlPr>
        </control>
      </mc:Choice>
      <mc:Fallback>
        <control shapeId="10251" r:id="rId3" name="ck_comp_StatEntry"/>
      </mc:Fallback>
    </mc:AlternateContent>
    <mc:AlternateContent xmlns:mc="http://schemas.openxmlformats.org/markup-compatibility/2006">
      <mc:Choice Requires="x14">
        <control shapeId="10245" r:id="rId5" name="Button 5">
          <controlPr defaultSize="0" print="0" autoFill="0" autoPict="0" macro="[0]!Sheet5.DeleteRecord">
            <anchor moveWithCells="1" sizeWithCells="1">
              <from>
                <xdr:col>2</xdr:col>
                <xdr:colOff>2362200</xdr:colOff>
                <xdr:row>17</xdr:row>
                <xdr:rowOff>57150</xdr:rowOff>
              </from>
              <to>
                <xdr:col>3</xdr:col>
                <xdr:colOff>628650</xdr:colOff>
                <xdr:row>18</xdr:row>
                <xdr:rowOff>152400</xdr:rowOff>
              </to>
            </anchor>
          </controlPr>
        </control>
      </mc:Choice>
    </mc:AlternateContent>
    <mc:AlternateContent xmlns:mc="http://schemas.openxmlformats.org/markup-compatibility/2006">
      <mc:Choice Requires="x14">
        <control shapeId="10246" r:id="rId6" name="Button 6">
          <controlPr defaultSize="0" print="0" autoFill="0" autoPict="0" macro="[0]!Sheet5.ResetForm">
            <anchor moveWithCells="1" sizeWithCells="1">
              <from>
                <xdr:col>3</xdr:col>
                <xdr:colOff>1047750</xdr:colOff>
                <xdr:row>17</xdr:row>
                <xdr:rowOff>69850</xdr:rowOff>
              </from>
              <to>
                <xdr:col>3</xdr:col>
                <xdr:colOff>2489200</xdr:colOff>
                <xdr:row>18</xdr:row>
                <xdr:rowOff>152400</xdr:rowOff>
              </to>
            </anchor>
          </controlPr>
        </control>
      </mc:Choice>
    </mc:AlternateContent>
    <mc:AlternateContent xmlns:mc="http://schemas.openxmlformats.org/markup-compatibility/2006">
      <mc:Choice Requires="x14">
        <control shapeId="10248" r:id="rId7" name="Button 8">
          <controlPr defaultSize="0" print="0" autoFill="0" autoPict="0" macro="[0]!Sheet5.EditRecord">
            <anchor moveWithCells="1" sizeWithCells="1">
              <from>
                <xdr:col>2</xdr:col>
                <xdr:colOff>50800</xdr:colOff>
                <xdr:row>17</xdr:row>
                <xdr:rowOff>57150</xdr:rowOff>
              </from>
              <to>
                <xdr:col>2</xdr:col>
                <xdr:colOff>2032000</xdr:colOff>
                <xdr:row>18</xdr:row>
                <xdr:rowOff>152400</xdr:rowOff>
              </to>
            </anchor>
          </controlPr>
        </control>
      </mc:Choice>
    </mc:AlternateContent>
    <mc:AlternateContent xmlns:mc="http://schemas.openxmlformats.org/markup-compatibility/2006">
      <mc:Choice Requires="x14">
        <control shapeId="10250" r:id="rId8" name="Button 10">
          <controlPr defaultSize="0" print="0" autoFill="0" autoPict="0" macro="[0]!Stationary.AddRecord">
            <anchor moveWithCells="1" sizeWithCells="1">
              <from>
                <xdr:col>1</xdr:col>
                <xdr:colOff>50800</xdr:colOff>
                <xdr:row>17</xdr:row>
                <xdr:rowOff>57150</xdr:rowOff>
              </from>
              <to>
                <xdr:col>1</xdr:col>
                <xdr:colOff>1517650</xdr:colOff>
                <xdr:row>18</xdr:row>
                <xdr:rowOff>152400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2">
    <tabColor rgb="FFFFFF00"/>
  </sheetPr>
  <dimension ref="A1:D81"/>
  <sheetViews>
    <sheetView topLeftCell="A28" workbookViewId="0">
      <selection activeCell="B7" sqref="B7:C7"/>
    </sheetView>
  </sheetViews>
  <sheetFormatPr defaultColWidth="8.81640625" defaultRowHeight="14.5"/>
  <cols>
    <col min="1" max="1" width="35" style="359" bestFit="1" customWidth="1"/>
    <col min="2" max="2" width="36.7265625" style="56" customWidth="1"/>
    <col min="3" max="3" width="62.453125" customWidth="1"/>
    <col min="4" max="4" width="42" customWidth="1"/>
  </cols>
  <sheetData>
    <row r="1" spans="1:4">
      <c r="A1" s="362" t="s">
        <v>156</v>
      </c>
      <c r="B1" s="1041" t="s">
        <v>157</v>
      </c>
      <c r="C1" s="1041"/>
      <c r="D1" s="41"/>
    </row>
    <row r="2" spans="1:4">
      <c r="A2" s="363"/>
      <c r="B2" s="1031" t="s">
        <v>158</v>
      </c>
      <c r="C2" s="1031"/>
      <c r="D2" s="42"/>
    </row>
    <row r="3" spans="1:4">
      <c r="A3" s="363"/>
      <c r="B3" s="1031" t="s">
        <v>159</v>
      </c>
      <c r="C3" s="1031"/>
      <c r="D3" s="42"/>
    </row>
    <row r="4" spans="1:4">
      <c r="A4" s="363"/>
      <c r="B4" s="1031" t="s">
        <v>160</v>
      </c>
      <c r="C4" s="1031"/>
      <c r="D4" s="45"/>
    </row>
    <row r="5" spans="1:4" ht="30" customHeight="1">
      <c r="A5" s="362" t="s">
        <v>149</v>
      </c>
      <c r="B5" s="1041" t="s">
        <v>161</v>
      </c>
      <c r="C5" s="1041"/>
      <c r="D5" s="41"/>
    </row>
    <row r="6" spans="1:4" ht="45" customHeight="1">
      <c r="A6" s="363"/>
      <c r="B6" s="1031" t="s">
        <v>162</v>
      </c>
      <c r="C6" s="1031"/>
      <c r="D6" s="42"/>
    </row>
    <row r="7" spans="1:4">
      <c r="A7" s="363"/>
      <c r="B7" s="1031" t="s">
        <v>163</v>
      </c>
      <c r="C7" s="1031"/>
      <c r="D7" s="45"/>
    </row>
    <row r="8" spans="1:4" ht="30" customHeight="1">
      <c r="A8" s="362" t="s">
        <v>150</v>
      </c>
      <c r="B8" s="1041" t="s">
        <v>164</v>
      </c>
      <c r="C8" s="1041"/>
      <c r="D8" s="110"/>
    </row>
    <row r="9" spans="1:4" ht="30" customHeight="1">
      <c r="A9" s="365" t="s">
        <v>152</v>
      </c>
      <c r="B9" s="1041" t="s">
        <v>165</v>
      </c>
      <c r="C9" s="1041"/>
      <c r="D9" s="110"/>
    </row>
    <row r="10" spans="1:4" ht="30" customHeight="1">
      <c r="A10" s="362" t="s">
        <v>154</v>
      </c>
      <c r="B10" s="1041" t="s">
        <v>166</v>
      </c>
      <c r="C10" s="1041"/>
      <c r="D10" s="42"/>
    </row>
    <row r="11" spans="1:4">
      <c r="A11" s="366"/>
      <c r="B11" s="357"/>
      <c r="C11" s="357"/>
      <c r="D11" s="391"/>
    </row>
    <row r="12" spans="1:4">
      <c r="A12" s="363"/>
      <c r="B12" s="367" t="s">
        <v>167</v>
      </c>
      <c r="C12" s="367" t="s">
        <v>168</v>
      </c>
      <c r="D12" s="368"/>
    </row>
    <row r="13" spans="1:4">
      <c r="A13" s="363"/>
      <c r="B13" s="360" t="s">
        <v>169</v>
      </c>
      <c r="C13" t="s">
        <v>170</v>
      </c>
      <c r="D13" s="42"/>
    </row>
    <row r="14" spans="1:4">
      <c r="A14" s="363"/>
      <c r="B14" s="360" t="s">
        <v>171</v>
      </c>
      <c r="C14" t="s">
        <v>170</v>
      </c>
      <c r="D14" s="42"/>
    </row>
    <row r="15" spans="1:4">
      <c r="A15" s="363"/>
      <c r="B15" s="360" t="s">
        <v>172</v>
      </c>
      <c r="C15" t="s">
        <v>173</v>
      </c>
      <c r="D15" s="42"/>
    </row>
    <row r="16" spans="1:4">
      <c r="A16" s="363"/>
      <c r="B16" s="360" t="s">
        <v>174</v>
      </c>
      <c r="C16" t="s">
        <v>173</v>
      </c>
      <c r="D16" s="42"/>
    </row>
    <row r="17" spans="1:4">
      <c r="A17" s="363"/>
      <c r="B17" s="360" t="s">
        <v>175</v>
      </c>
      <c r="C17" t="s">
        <v>173</v>
      </c>
      <c r="D17" s="42"/>
    </row>
    <row r="18" spans="1:4">
      <c r="A18" s="363"/>
      <c r="B18" s="360" t="s">
        <v>176</v>
      </c>
      <c r="C18" t="s">
        <v>173</v>
      </c>
      <c r="D18" s="42"/>
    </row>
    <row r="19" spans="1:4">
      <c r="A19" s="363"/>
      <c r="B19" s="360" t="s">
        <v>177</v>
      </c>
      <c r="C19" t="s">
        <v>173</v>
      </c>
      <c r="D19" s="42"/>
    </row>
    <row r="20" spans="1:4">
      <c r="A20" s="363"/>
      <c r="B20" s="360" t="s">
        <v>178</v>
      </c>
      <c r="C20" t="s">
        <v>173</v>
      </c>
      <c r="D20" s="42"/>
    </row>
    <row r="21" spans="1:4">
      <c r="A21" s="363"/>
      <c r="B21" s="360" t="s">
        <v>179</v>
      </c>
      <c r="C21" t="s">
        <v>173</v>
      </c>
      <c r="D21" s="42"/>
    </row>
    <row r="22" spans="1:4">
      <c r="A22" s="363"/>
      <c r="B22" s="360" t="s">
        <v>180</v>
      </c>
      <c r="C22" t="s">
        <v>173</v>
      </c>
      <c r="D22" s="42"/>
    </row>
    <row r="23" spans="1:4">
      <c r="A23" s="363"/>
      <c r="B23" s="360" t="s">
        <v>181</v>
      </c>
      <c r="C23" t="s">
        <v>182</v>
      </c>
      <c r="D23" s="42"/>
    </row>
    <row r="24" spans="1:4">
      <c r="A24" s="369" t="s">
        <v>183</v>
      </c>
      <c r="B24" s="1041" t="s">
        <v>184</v>
      </c>
      <c r="C24" s="1041"/>
      <c r="D24" s="110"/>
    </row>
    <row r="25" spans="1:4" ht="30.75" customHeight="1">
      <c r="A25" s="369" t="s">
        <v>168</v>
      </c>
      <c r="B25" s="1040" t="s">
        <v>185</v>
      </c>
      <c r="C25" s="1040"/>
      <c r="D25" s="110"/>
    </row>
    <row r="26" spans="1:4" ht="29.25" customHeight="1">
      <c r="A26" s="369" t="s">
        <v>186</v>
      </c>
      <c r="B26" s="1040" t="s">
        <v>187</v>
      </c>
      <c r="C26" s="1040"/>
      <c r="D26" s="42"/>
    </row>
    <row r="27" spans="1:4">
      <c r="A27" s="363"/>
      <c r="D27" s="42"/>
    </row>
    <row r="28" spans="1:4">
      <c r="A28" s="363"/>
      <c r="B28" s="367" t="s">
        <v>188</v>
      </c>
      <c r="C28" s="367" t="s">
        <v>189</v>
      </c>
      <c r="D28" s="368" t="s">
        <v>190</v>
      </c>
    </row>
    <row r="29" spans="1:4">
      <c r="A29" s="363"/>
      <c r="B29" t="s">
        <v>191</v>
      </c>
      <c r="C29" t="s">
        <v>192</v>
      </c>
      <c r="D29" s="42" t="s">
        <v>193</v>
      </c>
    </row>
    <row r="30" spans="1:4">
      <c r="A30" s="363"/>
      <c r="B30" t="s">
        <v>194</v>
      </c>
      <c r="C30" t="s">
        <v>195</v>
      </c>
      <c r="D30" s="42" t="s">
        <v>196</v>
      </c>
    </row>
    <row r="31" spans="1:4">
      <c r="A31" s="363"/>
      <c r="B31" t="s">
        <v>197</v>
      </c>
      <c r="C31" t="s">
        <v>198</v>
      </c>
      <c r="D31" s="42" t="s">
        <v>199</v>
      </c>
    </row>
    <row r="32" spans="1:4">
      <c r="A32" s="363"/>
      <c r="B32" s="360"/>
      <c r="C32" t="s">
        <v>200</v>
      </c>
      <c r="D32" s="42" t="s">
        <v>201</v>
      </c>
    </row>
    <row r="33" spans="1:4">
      <c r="A33" s="363"/>
      <c r="B33" s="57" t="s">
        <v>105</v>
      </c>
      <c r="C33" t="s">
        <v>202</v>
      </c>
      <c r="D33" s="42" t="s">
        <v>203</v>
      </c>
    </row>
    <row r="34" spans="1:4">
      <c r="A34" s="363"/>
      <c r="B34" t="s">
        <v>204</v>
      </c>
      <c r="C34" t="s">
        <v>205</v>
      </c>
      <c r="D34" s="42" t="s">
        <v>206</v>
      </c>
    </row>
    <row r="35" spans="1:4">
      <c r="A35" s="363"/>
      <c r="B35" s="361"/>
      <c r="C35" t="s">
        <v>207</v>
      </c>
      <c r="D35" s="42" t="s">
        <v>208</v>
      </c>
    </row>
    <row r="36" spans="1:4">
      <c r="A36" s="363"/>
      <c r="B36" s="360"/>
      <c r="C36" t="s">
        <v>209</v>
      </c>
      <c r="D36" s="42" t="s">
        <v>210</v>
      </c>
    </row>
    <row r="37" spans="1:4">
      <c r="C37" t="s">
        <v>211</v>
      </c>
      <c r="D37" s="42" t="s">
        <v>212</v>
      </c>
    </row>
    <row r="38" spans="1:4">
      <c r="C38" t="s">
        <v>213</v>
      </c>
      <c r="D38" s="42" t="s">
        <v>214</v>
      </c>
    </row>
    <row r="39" spans="1:4">
      <c r="C39" t="s">
        <v>215</v>
      </c>
      <c r="D39" s="42" t="s">
        <v>216</v>
      </c>
    </row>
    <row r="40" spans="1:4">
      <c r="C40" t="s">
        <v>217</v>
      </c>
      <c r="D40" s="42" t="s">
        <v>218</v>
      </c>
    </row>
    <row r="41" spans="1:4">
      <c r="C41" t="s">
        <v>219</v>
      </c>
      <c r="D41" s="42" t="s">
        <v>220</v>
      </c>
    </row>
    <row r="42" spans="1:4">
      <c r="C42" t="s">
        <v>221</v>
      </c>
      <c r="D42" s="42" t="s">
        <v>222</v>
      </c>
    </row>
    <row r="43" spans="1:4">
      <c r="B43"/>
      <c r="D43" s="42" t="s">
        <v>223</v>
      </c>
    </row>
    <row r="44" spans="1:4">
      <c r="B44"/>
      <c r="D44" s="42" t="s">
        <v>224</v>
      </c>
    </row>
    <row r="45" spans="1:4">
      <c r="B45"/>
      <c r="D45" s="42" t="s">
        <v>225</v>
      </c>
    </row>
    <row r="46" spans="1:4">
      <c r="B46"/>
      <c r="D46" s="42" t="s">
        <v>226</v>
      </c>
    </row>
    <row r="47" spans="1:4">
      <c r="B47"/>
      <c r="D47" s="42" t="s">
        <v>227</v>
      </c>
    </row>
    <row r="48" spans="1:4">
      <c r="B48"/>
      <c r="D48" s="42" t="s">
        <v>228</v>
      </c>
    </row>
    <row r="49" spans="1:4">
      <c r="A49" s="577"/>
      <c r="B49" s="44"/>
      <c r="C49" s="44"/>
      <c r="D49" s="45" t="s">
        <v>229</v>
      </c>
    </row>
    <row r="50" spans="1:4">
      <c r="B50"/>
    </row>
    <row r="51" spans="1:4">
      <c r="B51"/>
    </row>
    <row r="52" spans="1:4">
      <c r="B52"/>
    </row>
    <row r="53" spans="1:4">
      <c r="B53"/>
    </row>
    <row r="54" spans="1:4">
      <c r="B54"/>
      <c r="D54" s="457"/>
    </row>
    <row r="55" spans="1:4">
      <c r="B55"/>
    </row>
    <row r="56" spans="1:4">
      <c r="B56"/>
    </row>
    <row r="57" spans="1:4">
      <c r="B57"/>
    </row>
    <row r="58" spans="1:4">
      <c r="B58"/>
    </row>
    <row r="59" spans="1:4">
      <c r="B59"/>
    </row>
    <row r="60" spans="1:4">
      <c r="B60"/>
    </row>
    <row r="61" spans="1:4">
      <c r="B61"/>
    </row>
    <row r="62" spans="1:4">
      <c r="B62"/>
    </row>
    <row r="63" spans="1:4">
      <c r="B63"/>
    </row>
    <row r="64" spans="1:4">
      <c r="B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sheetData>
  <mergeCells count="13">
    <mergeCell ref="B26:C26"/>
    <mergeCell ref="B1:C1"/>
    <mergeCell ref="B2:C2"/>
    <mergeCell ref="B3:C3"/>
    <mergeCell ref="B4:C4"/>
    <mergeCell ref="B24:C24"/>
    <mergeCell ref="B25:C25"/>
    <mergeCell ref="B5:C5"/>
    <mergeCell ref="B6:C6"/>
    <mergeCell ref="B7:C7"/>
    <mergeCell ref="B8:C8"/>
    <mergeCell ref="B9:C9"/>
    <mergeCell ref="B10:C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9"/>
  </sheetPr>
  <dimension ref="A1:N25"/>
  <sheetViews>
    <sheetView showGridLines="0" workbookViewId="0">
      <selection activeCell="D18" sqref="D18"/>
    </sheetView>
  </sheetViews>
  <sheetFormatPr defaultColWidth="8.81640625" defaultRowHeight="14.5"/>
  <cols>
    <col min="1" max="1" width="8.81640625" style="586"/>
    <col min="2" max="2" width="25" style="576" customWidth="1"/>
    <col min="3" max="3" width="14.7265625" style="576" customWidth="1"/>
    <col min="4" max="4" width="13.7265625" style="576" customWidth="1"/>
    <col min="5" max="5" width="19.54296875" style="576" customWidth="1"/>
    <col min="6" max="13" width="8.81640625" style="576"/>
    <col min="14" max="14" width="8.81640625" style="584"/>
    <col min="15" max="16384" width="8.81640625" style="585"/>
  </cols>
  <sheetData>
    <row r="1" spans="1:13" ht="38.25" customHeight="1" thickBot="1">
      <c r="A1" s="479" t="s">
        <v>230</v>
      </c>
      <c r="B1" s="480"/>
      <c r="C1" s="480"/>
      <c r="D1" s="480"/>
      <c r="E1" s="480"/>
      <c r="F1" s="480"/>
      <c r="G1" s="480"/>
      <c r="H1" s="480"/>
      <c r="I1" s="480"/>
      <c r="J1" s="480"/>
      <c r="K1" s="480"/>
      <c r="L1" s="480"/>
      <c r="M1" s="481"/>
    </row>
    <row r="2" spans="1:13">
      <c r="A2" s="265"/>
      <c r="B2"/>
      <c r="C2"/>
      <c r="D2"/>
      <c r="E2"/>
      <c r="F2"/>
      <c r="G2"/>
      <c r="H2"/>
      <c r="I2"/>
      <c r="J2"/>
      <c r="K2"/>
      <c r="L2"/>
      <c r="M2"/>
    </row>
    <row r="3" spans="1:13" ht="49.5" customHeight="1">
      <c r="A3" s="265"/>
      <c r="B3"/>
      <c r="C3"/>
      <c r="D3"/>
      <c r="E3"/>
      <c r="F3"/>
      <c r="G3"/>
      <c r="H3"/>
      <c r="I3"/>
      <c r="J3"/>
      <c r="K3"/>
      <c r="L3"/>
      <c r="M3"/>
    </row>
    <row r="4" spans="1:13">
      <c r="A4" s="265"/>
      <c r="B4"/>
      <c r="C4"/>
      <c r="D4"/>
      <c r="E4"/>
      <c r="F4"/>
      <c r="G4"/>
      <c r="H4"/>
      <c r="I4"/>
      <c r="J4"/>
      <c r="K4"/>
      <c r="L4"/>
      <c r="M4"/>
    </row>
    <row r="5" spans="1:13" hidden="1">
      <c r="A5" s="798" t="s">
        <v>231</v>
      </c>
      <c r="B5" s="11"/>
      <c r="C5" s="11"/>
      <c r="D5" s="11"/>
      <c r="E5" s="11"/>
      <c r="F5" s="11"/>
      <c r="G5" s="11"/>
      <c r="H5" s="11"/>
      <c r="I5" s="11"/>
      <c r="J5" s="11"/>
      <c r="K5" s="11"/>
      <c r="L5" s="11"/>
      <c r="M5" s="11"/>
    </row>
    <row r="6" spans="1:13" ht="15.5">
      <c r="A6" s="799" t="s">
        <v>149</v>
      </c>
      <c r="B6" s="1" t="s">
        <v>150</v>
      </c>
      <c r="C6" s="5" t="s">
        <v>152</v>
      </c>
      <c r="D6" s="1" t="s">
        <v>154</v>
      </c>
      <c r="E6" s="5" t="s">
        <v>232</v>
      </c>
      <c r="F6" s="5" t="s">
        <v>168</v>
      </c>
      <c r="G6" s="5" t="s">
        <v>186</v>
      </c>
      <c r="H6" s="5"/>
      <c r="I6" s="5"/>
      <c r="J6"/>
      <c r="K6"/>
      <c r="L6"/>
      <c r="M6"/>
    </row>
    <row r="7" spans="1:13" hidden="1">
      <c r="A7" s="590">
        <f>MAX(A9:A65521)+1</f>
        <v>1</v>
      </c>
      <c r="B7" s="576">
        <f>stat_entry_description</f>
        <v>0</v>
      </c>
      <c r="C7" s="591">
        <f>stat_entry_dept</f>
        <v>0</v>
      </c>
      <c r="D7" s="591">
        <f>stat_entry_fuel</f>
        <v>0</v>
      </c>
      <c r="E7" s="591">
        <f>stat_entry_consumption</f>
        <v>0</v>
      </c>
      <c r="F7" s="591" t="str">
        <f>IF(ISNA(VLOOKUP(D7,stat_factors,6,FALSE)), " ", VLOOKUP(D7, stat_factors, 6, FALSE))</f>
        <v xml:space="preserve"> </v>
      </c>
      <c r="G7" s="591">
        <f>stat_entry_bldgtype</f>
        <v>0</v>
      </c>
      <c r="H7" s="591"/>
      <c r="I7" s="591"/>
    </row>
    <row r="8" spans="1:13">
      <c r="A8" s="587" t="s">
        <v>233</v>
      </c>
      <c r="B8" s="588"/>
      <c r="C8" s="588"/>
      <c r="D8" s="588"/>
      <c r="E8" s="588"/>
      <c r="F8" s="588"/>
      <c r="G8" s="588"/>
      <c r="H8" s="588"/>
      <c r="I8" s="588"/>
      <c r="J8" s="588"/>
      <c r="K8" s="588"/>
      <c r="L8" s="588"/>
      <c r="M8" s="588"/>
    </row>
    <row r="9" spans="1:13">
      <c r="A9" s="590"/>
      <c r="C9" s="591"/>
      <c r="D9" s="591"/>
      <c r="E9" s="591"/>
      <c r="F9" s="591"/>
      <c r="G9" s="591"/>
      <c r="H9" s="591"/>
      <c r="I9" s="591"/>
    </row>
    <row r="10" spans="1:13">
      <c r="A10" s="590"/>
      <c r="C10" s="591"/>
      <c r="D10" s="591"/>
      <c r="E10" s="591"/>
      <c r="F10" s="591"/>
      <c r="G10" s="591"/>
      <c r="H10" s="591"/>
      <c r="I10" s="591"/>
    </row>
    <row r="11" spans="1:13">
      <c r="A11" s="590"/>
      <c r="C11" s="591"/>
      <c r="D11" s="591"/>
      <c r="E11" s="591"/>
      <c r="F11" s="591"/>
      <c r="G11" s="591"/>
      <c r="H11" s="591"/>
      <c r="I11" s="591"/>
    </row>
    <row r="12" spans="1:13">
      <c r="A12" s="590"/>
      <c r="C12" s="591"/>
      <c r="D12" s="591"/>
      <c r="E12" s="591"/>
      <c r="F12" s="591"/>
      <c r="G12" s="591"/>
      <c r="H12" s="591"/>
      <c r="I12" s="591"/>
    </row>
    <row r="13" spans="1:13">
      <c r="H13" s="591"/>
      <c r="I13" s="591"/>
    </row>
    <row r="14" spans="1:13">
      <c r="H14" s="591"/>
      <c r="I14" s="591"/>
    </row>
    <row r="15" spans="1:13">
      <c r="H15" s="591"/>
      <c r="I15" s="591"/>
    </row>
    <row r="16" spans="1:13">
      <c r="H16" s="591"/>
      <c r="I16" s="591"/>
    </row>
    <row r="17" spans="8:9">
      <c r="H17" s="591"/>
      <c r="I17" s="591"/>
    </row>
    <row r="18" spans="8:9">
      <c r="H18" s="591"/>
      <c r="I18" s="591"/>
    </row>
    <row r="19" spans="8:9">
      <c r="H19" s="591"/>
      <c r="I19" s="591"/>
    </row>
    <row r="20" spans="8:9">
      <c r="H20" s="591"/>
      <c r="I20" s="591"/>
    </row>
    <row r="21" spans="8:9">
      <c r="H21" s="591"/>
      <c r="I21" s="591"/>
    </row>
    <row r="22" spans="8:9">
      <c r="H22" s="591"/>
      <c r="I22" s="591"/>
    </row>
    <row r="23" spans="8:9">
      <c r="H23" s="591"/>
      <c r="I23" s="591"/>
    </row>
    <row r="24" spans="8:9">
      <c r="H24" s="591"/>
      <c r="I24" s="591"/>
    </row>
    <row r="25" spans="8:9">
      <c r="H25" s="591"/>
      <c r="I25" s="591"/>
    </row>
  </sheetData>
  <pageMargins left="0.7" right="0.7" top="0.75" bottom="0.75" header="0.3" footer="0.3"/>
  <drawing r:id="rId1"/>
  <legacyDrawing r:id="rId2"/>
  <controls>
    <mc:AlternateContent xmlns:mc="http://schemas.openxmlformats.org/markup-compatibility/2006">
      <mc:Choice Requires="x14">
        <control shapeId="24577" r:id="rId3" name="ck_comp_StatData">
          <controlPr locked="0" defaultSize="0" autoLine="0" linkedCell="comp_StatData" r:id="rId4">
            <anchor moveWithCells="1">
              <from>
                <xdr:col>8</xdr:col>
                <xdr:colOff>361950</xdr:colOff>
                <xdr:row>0</xdr:row>
                <xdr:rowOff>107950</xdr:rowOff>
              </from>
              <to>
                <xdr:col>12</xdr:col>
                <xdr:colOff>450850</xdr:colOff>
                <xdr:row>0</xdr:row>
                <xdr:rowOff>381000</xdr:rowOff>
              </to>
            </anchor>
          </controlPr>
        </control>
      </mc:Choice>
      <mc:Fallback>
        <control shapeId="24577" r:id="rId3" name="ck_comp_StatData"/>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pageSetUpPr fitToPage="1"/>
  </sheetPr>
  <dimension ref="A1:AA301"/>
  <sheetViews>
    <sheetView showGridLines="0" workbookViewId="0"/>
  </sheetViews>
  <sheetFormatPr defaultColWidth="8.81640625" defaultRowHeight="14.5"/>
  <cols>
    <col min="1" max="1" width="7.1796875" style="265" customWidth="1"/>
    <col min="2" max="2" width="33.1796875" customWidth="1"/>
    <col min="3" max="3" width="13" style="54" customWidth="1"/>
    <col min="4" max="4" width="9.453125" style="54" customWidth="1"/>
    <col min="5" max="5" width="11.26953125" style="54" customWidth="1"/>
    <col min="6" max="6" width="10.7265625" style="54" customWidth="1"/>
    <col min="7" max="7" width="11.1796875" customWidth="1"/>
    <col min="8" max="8" width="10.26953125" customWidth="1"/>
    <col min="9" max="9" width="32.26953125" bestFit="1" customWidth="1"/>
    <col min="10" max="10" width="11.453125" customWidth="1"/>
    <col min="11" max="11" width="12.26953125" customWidth="1"/>
    <col min="12" max="12" width="11.453125" customWidth="1"/>
    <col min="13" max="13" width="15.81640625" bestFit="1" customWidth="1"/>
    <col min="14" max="14" width="14.26953125" customWidth="1"/>
    <col min="15" max="15" width="17.7265625" bestFit="1" customWidth="1"/>
    <col min="16" max="16" width="13.1796875" customWidth="1"/>
    <col min="17" max="17" width="17.54296875" bestFit="1" customWidth="1"/>
    <col min="18" max="18" width="13.1796875" customWidth="1"/>
    <col min="19" max="19" width="13.453125" bestFit="1" customWidth="1"/>
    <col min="20" max="20" width="11" customWidth="1"/>
    <col min="21" max="21" width="11.81640625" customWidth="1"/>
    <col min="22" max="22" width="13" style="266" customWidth="1"/>
    <col min="23" max="24" width="9.1796875" style="109" hidden="1" customWidth="1"/>
    <col min="25" max="26" width="8.81640625" style="109"/>
    <col min="27" max="27" width="9.1796875" style="109" bestFit="1" customWidth="1"/>
    <col min="28" max="16384" width="8.81640625" style="109"/>
  </cols>
  <sheetData>
    <row r="1" spans="1:22" ht="38.25" customHeight="1" thickBot="1">
      <c r="A1" s="479" t="s">
        <v>234</v>
      </c>
      <c r="B1" s="480"/>
      <c r="C1" s="484"/>
      <c r="D1" s="484"/>
      <c r="E1" s="484"/>
      <c r="F1" s="484"/>
      <c r="G1" s="480"/>
      <c r="H1" s="480"/>
      <c r="I1" s="480"/>
      <c r="J1" s="480"/>
      <c r="K1" s="480"/>
      <c r="L1" s="480"/>
      <c r="M1" s="480"/>
      <c r="N1" s="480"/>
      <c r="O1" s="480"/>
      <c r="P1" s="480"/>
      <c r="Q1" s="480"/>
      <c r="R1" s="480"/>
      <c r="S1" s="480"/>
      <c r="T1" s="480"/>
      <c r="U1" s="480"/>
      <c r="V1" s="481"/>
    </row>
    <row r="2" spans="1:22" s="309" customFormat="1" ht="15" customHeight="1">
      <c r="A2" s="279" t="s">
        <v>235</v>
      </c>
      <c r="B2" s="71"/>
      <c r="C2" s="79"/>
      <c r="D2" s="79"/>
      <c r="E2" s="79"/>
      <c r="F2" s="79"/>
      <c r="G2" s="71"/>
      <c r="H2" s="71"/>
      <c r="I2" s="71"/>
      <c r="J2" s="71"/>
      <c r="K2" s="71"/>
      <c r="L2" s="71"/>
      <c r="M2" s="71"/>
      <c r="N2" s="71"/>
      <c r="O2" s="71"/>
      <c r="P2" s="71"/>
      <c r="Q2" s="71"/>
      <c r="R2" s="71"/>
      <c r="S2" s="71"/>
      <c r="T2" s="71"/>
      <c r="U2" s="71"/>
      <c r="V2" s="316"/>
    </row>
    <row r="3" spans="1:22" s="309" customFormat="1" ht="15" customHeight="1">
      <c r="A3" s="280" t="s">
        <v>236</v>
      </c>
      <c r="B3" s="71"/>
      <c r="C3" s="79"/>
      <c r="D3" s="79"/>
      <c r="E3" s="79"/>
      <c r="F3" s="79"/>
      <c r="G3" s="71"/>
      <c r="H3" s="71"/>
      <c r="I3" s="71"/>
      <c r="J3" s="71"/>
      <c r="K3" s="71"/>
      <c r="L3" s="71"/>
      <c r="M3" s="71"/>
      <c r="N3" s="71"/>
      <c r="O3" s="71"/>
      <c r="P3" s="71"/>
      <c r="Q3" s="71"/>
      <c r="R3" s="71"/>
      <c r="S3" s="71"/>
      <c r="T3" s="71"/>
      <c r="U3" s="71"/>
      <c r="V3" s="316"/>
    </row>
    <row r="4" spans="1:22" s="309" customFormat="1" ht="15" customHeight="1">
      <c r="A4" s="281" t="s">
        <v>237</v>
      </c>
      <c r="B4" s="82"/>
      <c r="C4" s="79"/>
      <c r="D4" s="79"/>
      <c r="E4" s="79"/>
      <c r="F4" s="79"/>
      <c r="G4" s="71"/>
      <c r="H4" s="71"/>
      <c r="I4" s="71"/>
      <c r="J4" s="71"/>
      <c r="K4" s="71"/>
      <c r="L4" s="71"/>
      <c r="M4" s="71"/>
      <c r="N4" s="71"/>
      <c r="O4" s="71"/>
      <c r="P4" s="71"/>
      <c r="Q4" s="71"/>
      <c r="R4" s="71"/>
      <c r="S4" s="71"/>
      <c r="T4" s="71"/>
      <c r="U4" s="71"/>
      <c r="V4" s="316"/>
    </row>
    <row r="5" spans="1:22" s="309" customFormat="1" ht="15" customHeight="1">
      <c r="A5" s="281" t="s">
        <v>238</v>
      </c>
      <c r="B5" s="82"/>
      <c r="C5" s="83"/>
      <c r="D5" s="83"/>
      <c r="E5" s="79"/>
      <c r="F5" s="79"/>
      <c r="G5" s="71"/>
      <c r="H5" s="71"/>
      <c r="I5" s="71"/>
      <c r="J5" s="71"/>
      <c r="K5" s="71"/>
      <c r="L5" s="71"/>
      <c r="M5" s="71"/>
      <c r="N5" s="71"/>
      <c r="O5" s="71"/>
      <c r="P5" s="71"/>
      <c r="Q5" s="71"/>
      <c r="R5" s="71"/>
      <c r="S5" s="71"/>
      <c r="T5" s="71"/>
      <c r="U5" s="71"/>
      <c r="V5" s="316"/>
    </row>
    <row r="6" spans="1:22">
      <c r="A6" s="280" t="s">
        <v>239</v>
      </c>
    </row>
    <row r="7" spans="1:22" s="309" customFormat="1" ht="15" customHeight="1">
      <c r="A7" s="281" t="s">
        <v>240</v>
      </c>
      <c r="B7" s="82"/>
      <c r="C7" s="79"/>
      <c r="D7" s="79"/>
      <c r="E7" s="79"/>
      <c r="F7" s="79"/>
      <c r="G7" s="71"/>
      <c r="H7" s="71"/>
      <c r="I7" s="71"/>
      <c r="J7" s="71"/>
      <c r="K7" s="71"/>
      <c r="L7" s="71"/>
      <c r="M7" s="71"/>
      <c r="N7" s="71"/>
      <c r="O7" s="71"/>
      <c r="P7" s="71"/>
      <c r="Q7" s="71"/>
      <c r="R7" s="71"/>
      <c r="S7" s="71"/>
      <c r="T7" s="71"/>
      <c r="U7" s="71"/>
      <c r="V7" s="316"/>
    </row>
    <row r="8" spans="1:22" s="309" customFormat="1" ht="15" customHeight="1">
      <c r="A8" s="281" t="s">
        <v>241</v>
      </c>
      <c r="B8" s="82"/>
      <c r="C8" s="83"/>
      <c r="D8" s="79"/>
      <c r="E8" s="79"/>
      <c r="F8" s="79"/>
      <c r="G8" s="71"/>
      <c r="H8" s="71"/>
      <c r="I8" s="71"/>
      <c r="J8" s="71"/>
      <c r="K8" s="71"/>
      <c r="L8" s="71"/>
      <c r="M8" s="71"/>
      <c r="N8" s="71"/>
      <c r="O8" s="71"/>
      <c r="P8" s="71"/>
      <c r="Q8" s="71"/>
      <c r="R8" s="71"/>
      <c r="S8" s="71"/>
      <c r="T8" s="71"/>
      <c r="U8" s="71"/>
      <c r="V8" s="316"/>
    </row>
    <row r="9" spans="1:22" s="309" customFormat="1" ht="15" customHeight="1">
      <c r="A9" s="280" t="s">
        <v>242</v>
      </c>
      <c r="B9" s="71"/>
      <c r="C9" s="79"/>
      <c r="D9" s="79"/>
      <c r="E9" s="79"/>
      <c r="F9" s="79"/>
      <c r="G9" s="71"/>
      <c r="H9" s="71"/>
      <c r="I9" s="71"/>
      <c r="J9" s="71"/>
      <c r="K9" s="71"/>
      <c r="L9" s="71"/>
      <c r="M9" s="71"/>
      <c r="N9" s="71"/>
      <c r="O9" s="71"/>
      <c r="P9" s="71"/>
      <c r="Q9" s="71"/>
      <c r="R9" s="71"/>
      <c r="S9" s="71"/>
      <c r="T9" s="71"/>
      <c r="U9" s="71"/>
      <c r="V9" s="316"/>
    </row>
    <row r="10" spans="1:22" s="309" customFormat="1" ht="15" customHeight="1">
      <c r="A10" s="281" t="s">
        <v>243</v>
      </c>
      <c r="B10" s="82"/>
      <c r="C10" s="79"/>
      <c r="D10" s="79"/>
      <c r="E10" s="79"/>
      <c r="F10" s="79"/>
      <c r="G10" s="71"/>
      <c r="H10" s="71"/>
      <c r="I10" s="71"/>
      <c r="J10" s="71"/>
      <c r="K10" s="71"/>
      <c r="L10" s="71"/>
      <c r="M10" s="71"/>
      <c r="N10" s="71"/>
      <c r="O10" s="71"/>
      <c r="P10" s="71"/>
      <c r="Q10" s="71"/>
      <c r="R10" s="71"/>
      <c r="S10" s="71"/>
      <c r="T10" s="71"/>
      <c r="U10" s="71"/>
      <c r="V10" s="316"/>
    </row>
    <row r="11" spans="1:22" s="309" customFormat="1" ht="15" customHeight="1">
      <c r="A11" s="281" t="s">
        <v>244</v>
      </c>
      <c r="B11" s="82"/>
      <c r="C11" s="79"/>
      <c r="D11" s="79"/>
      <c r="E11" s="79"/>
      <c r="F11" s="79"/>
      <c r="G11" s="71"/>
      <c r="H11" s="71"/>
      <c r="I11" s="71"/>
      <c r="J11" s="71"/>
      <c r="K11" s="71"/>
      <c r="L11" s="71"/>
      <c r="M11" s="71"/>
      <c r="N11" s="71"/>
      <c r="O11" s="71"/>
      <c r="P11" s="71"/>
      <c r="Q11" s="71"/>
      <c r="R11" s="71"/>
      <c r="S11" s="71"/>
      <c r="T11" s="71"/>
      <c r="U11" s="71"/>
      <c r="V11" s="316"/>
    </row>
    <row r="12" spans="1:22" s="309" customFormat="1" ht="15" customHeight="1">
      <c r="A12" s="281" t="s">
        <v>245</v>
      </c>
      <c r="B12" s="82"/>
      <c r="C12" s="79"/>
      <c r="D12" s="79"/>
      <c r="E12" s="79"/>
      <c r="F12" s="79"/>
      <c r="G12" s="71"/>
      <c r="H12" s="71"/>
      <c r="I12" s="71"/>
      <c r="J12" s="71"/>
      <c r="K12" s="71"/>
      <c r="L12" s="71"/>
      <c r="M12" s="71"/>
      <c r="N12" s="71"/>
      <c r="O12" s="71"/>
      <c r="P12" s="71"/>
      <c r="Q12" s="71"/>
      <c r="R12" s="71"/>
      <c r="S12" s="71"/>
      <c r="T12" s="71"/>
      <c r="U12" s="71"/>
      <c r="V12" s="316"/>
    </row>
    <row r="13" spans="1:22" s="309" customFormat="1" ht="15" customHeight="1">
      <c r="A13" s="281" t="s">
        <v>246</v>
      </c>
      <c r="B13" s="82"/>
      <c r="C13" s="83"/>
      <c r="D13" s="79"/>
      <c r="E13" s="79"/>
      <c r="F13" s="79"/>
      <c r="G13" s="71"/>
      <c r="H13" s="71"/>
      <c r="I13" s="71"/>
      <c r="J13" s="71"/>
      <c r="K13" s="71"/>
      <c r="L13" s="71"/>
      <c r="M13" s="71"/>
      <c r="N13" s="71"/>
      <c r="O13" s="71"/>
      <c r="P13" s="71"/>
      <c r="Q13" s="71"/>
      <c r="R13" s="71"/>
      <c r="S13" s="71"/>
      <c r="T13" s="71"/>
      <c r="U13" s="71"/>
      <c r="V13" s="316"/>
    </row>
    <row r="14" spans="1:22" s="309" customFormat="1" ht="15" customHeight="1">
      <c r="A14" s="281" t="s">
        <v>247</v>
      </c>
      <c r="B14" s="82"/>
      <c r="C14" s="83"/>
      <c r="D14" s="79"/>
      <c r="E14" s="79"/>
      <c r="F14" s="79"/>
      <c r="G14" s="71"/>
      <c r="H14" s="71"/>
      <c r="I14" s="71"/>
      <c r="J14" s="71"/>
      <c r="K14" s="71"/>
      <c r="L14" s="71"/>
      <c r="M14" s="71"/>
      <c r="N14" s="71"/>
      <c r="O14" s="71"/>
      <c r="P14" s="71"/>
      <c r="Q14" s="71"/>
      <c r="R14" s="71"/>
      <c r="S14" s="71"/>
      <c r="T14" s="71"/>
      <c r="U14" s="71"/>
      <c r="V14" s="316"/>
    </row>
    <row r="15" spans="1:22" s="309" customFormat="1" ht="15" customHeight="1">
      <c r="A15" s="281" t="s">
        <v>248</v>
      </c>
      <c r="B15" s="82"/>
      <c r="C15" s="83"/>
      <c r="D15" s="79"/>
      <c r="E15" s="79"/>
      <c r="F15" s="79"/>
      <c r="G15" s="71"/>
      <c r="H15" s="71"/>
      <c r="I15" s="71"/>
      <c r="J15" s="71"/>
      <c r="K15" s="71"/>
      <c r="L15" s="71"/>
      <c r="M15" s="71"/>
      <c r="N15" s="71"/>
      <c r="O15" s="71"/>
      <c r="P15" s="71"/>
      <c r="Q15" s="71"/>
      <c r="R15" s="71"/>
      <c r="S15" s="71"/>
      <c r="T15" s="71"/>
      <c r="U15" s="71"/>
      <c r="V15" s="316"/>
    </row>
    <row r="16" spans="1:22" s="309" customFormat="1" ht="15" customHeight="1">
      <c r="A16" s="281" t="s">
        <v>249</v>
      </c>
      <c r="B16" s="82"/>
      <c r="C16" s="83"/>
      <c r="D16" s="83"/>
      <c r="E16" s="79"/>
      <c r="F16" s="79"/>
      <c r="G16" s="71"/>
      <c r="H16" s="71"/>
      <c r="I16" s="71"/>
      <c r="J16" s="71"/>
      <c r="K16" s="71"/>
      <c r="L16" s="71"/>
      <c r="M16" s="71"/>
      <c r="N16" s="71"/>
      <c r="O16" s="71"/>
      <c r="P16" s="71"/>
      <c r="Q16" s="71"/>
      <c r="R16" s="71"/>
      <c r="S16" s="71"/>
      <c r="T16" s="71"/>
      <c r="U16" s="71"/>
      <c r="V16" s="316"/>
    </row>
    <row r="17" spans="1:23" s="309" customFormat="1" ht="15" customHeight="1" thickBot="1">
      <c r="A17" s="305" t="s">
        <v>250</v>
      </c>
      <c r="B17" s="84"/>
      <c r="C17" s="85"/>
      <c r="D17" s="81"/>
      <c r="E17" s="81"/>
      <c r="F17" s="81"/>
      <c r="G17" s="80"/>
      <c r="H17" s="80"/>
      <c r="I17" s="80"/>
      <c r="J17" s="80"/>
      <c r="K17" s="80"/>
      <c r="L17" s="80"/>
      <c r="M17" s="80"/>
      <c r="N17" s="80"/>
      <c r="O17" s="80"/>
      <c r="P17" s="80"/>
      <c r="Q17" s="80"/>
      <c r="R17" s="80"/>
      <c r="S17" s="80"/>
      <c r="T17" s="80"/>
      <c r="U17" s="80"/>
      <c r="V17" s="317"/>
      <c r="W17" s="312"/>
    </row>
    <row r="18" spans="1:23" s="309" customFormat="1" ht="15" thickTop="1">
      <c r="A18" s="282"/>
      <c r="B18" s="71"/>
      <c r="C18" s="79"/>
      <c r="D18" s="79"/>
      <c r="E18" s="79"/>
      <c r="F18" s="79"/>
      <c r="G18" s="71"/>
      <c r="H18" s="71"/>
      <c r="I18" s="71"/>
      <c r="J18" s="71"/>
      <c r="K18" s="71"/>
      <c r="L18" s="71"/>
      <c r="M18" s="71"/>
      <c r="N18" s="71"/>
      <c r="O18" s="71"/>
      <c r="P18" s="71"/>
      <c r="Q18" s="71"/>
      <c r="R18" s="71"/>
      <c r="S18" s="71"/>
      <c r="T18" s="71"/>
      <c r="U18" s="71"/>
      <c r="V18" s="316"/>
      <c r="W18" s="312"/>
    </row>
    <row r="19" spans="1:23" ht="18.5">
      <c r="A19" s="283" t="s">
        <v>236</v>
      </c>
    </row>
    <row r="20" spans="1:23" ht="15.5">
      <c r="S20" s="779"/>
      <c r="T20" s="779"/>
      <c r="U20" s="779"/>
    </row>
    <row r="21" spans="1:23" ht="17.5">
      <c r="B21" s="1045" t="s">
        <v>251</v>
      </c>
      <c r="C21" s="1046"/>
      <c r="D21" s="1046"/>
      <c r="E21" s="1046"/>
      <c r="F21" s="1047"/>
      <c r="I21" s="1045" t="s">
        <v>252</v>
      </c>
      <c r="J21" s="1046"/>
      <c r="K21" s="1046"/>
      <c r="L21" s="1046"/>
      <c r="M21" s="1047"/>
      <c r="R21" s="779"/>
      <c r="S21" s="779"/>
      <c r="T21" s="779"/>
      <c r="U21" s="779"/>
    </row>
    <row r="22" spans="1:23" ht="25.5" customHeight="1">
      <c r="B22" s="840" t="s">
        <v>152</v>
      </c>
      <c r="C22" s="193" t="s">
        <v>16</v>
      </c>
      <c r="D22" s="193" t="s">
        <v>20</v>
      </c>
      <c r="E22" s="193" t="s">
        <v>73</v>
      </c>
      <c r="F22" s="853" t="s">
        <v>253</v>
      </c>
      <c r="G22" s="62"/>
      <c r="I22" s="100" t="s">
        <v>152</v>
      </c>
      <c r="J22" s="59" t="s">
        <v>63</v>
      </c>
      <c r="K22" s="59" t="s">
        <v>254</v>
      </c>
      <c r="L22" s="59" t="s">
        <v>255</v>
      </c>
      <c r="M22" s="106" t="s">
        <v>256</v>
      </c>
      <c r="S22" s="779"/>
      <c r="T22" s="779"/>
      <c r="U22" s="779"/>
    </row>
    <row r="23" spans="1:23" ht="15.5">
      <c r="A23" s="284" t="s">
        <v>101</v>
      </c>
      <c r="B23" s="47" t="str">
        <f>'Background Controls'!I5</f>
        <v>Residential</v>
      </c>
      <c r="C23" s="239">
        <f t="shared" ref="C23:C42" si="0">IF(ISNA(VLOOKUP($B23, stat_calcs_CO2_deptFT, 18, FALSE)),0,VLOOKUP($B23, stat_calcs_CO2_deptFT, 18, FALSE))</f>
        <v>0</v>
      </c>
      <c r="D23" s="239">
        <f t="shared" ref="D23:D42" si="1">IF(ISNA(VLOOKUP($B23, stat_calcs_CH4_deptFT, 18, FALSE)),0,VLOOKUP($B23, stat_calcs_CH4_deptFT, 18, FALSE))</f>
        <v>0</v>
      </c>
      <c r="E23" s="239">
        <f t="shared" ref="E23:E42" si="2">IF(ISNA(VLOOKUP($B23, stat_calcs_N2O_deptFT, 18, FALSE)),0,VLOOKUP($B23, stat_calcs_N2O_deptFT, 18, FALSE))</f>
        <v>0</v>
      </c>
      <c r="F23" s="240">
        <f>SUM(C23:E23)</f>
        <v>0</v>
      </c>
      <c r="G23" s="61"/>
      <c r="H23" s="68"/>
      <c r="I23" s="47" t="str">
        <f>B23</f>
        <v>Residential</v>
      </c>
      <c r="J23" s="239">
        <f t="shared" ref="J23:J42" si="3">IF(ISNA(VLOOKUP($I23, stat_calcs_consump_deptFT, 18, FALSE)),0,VLOOKUP($I23, stat_calcs_consump_deptFT, 18, FALSE))</f>
        <v>0</v>
      </c>
      <c r="K23" s="239">
        <f t="shared" ref="K23:K42" si="4">IF(ISNA(VLOOKUP($I23, stat_calcs_consump_deptFT, 19, FALSE)),0,VLOOKUP($I23, stat_calcs_consump_deptFT, 19, FALSE))</f>
        <v>0</v>
      </c>
      <c r="L23" s="239">
        <f t="shared" ref="L23:L42" si="5">IF(ISNA(VLOOKUP($I23, stat_calcs_consump_deptFT, 20, FALSE)),0,VLOOKUP($I23, stat_calcs_consump_deptFT, 20, FALSE))</f>
        <v>0</v>
      </c>
      <c r="M23" s="461">
        <f t="shared" ref="M23:M42" si="6">IF(ISNA(VLOOKUP($I23, stat_calcs_E_deptFT, 18, FALSE)),0,VLOOKUP($I23, stat_calcs_E_deptFT, 18, FALSE))</f>
        <v>0</v>
      </c>
      <c r="S23" s="779"/>
      <c r="T23" s="779"/>
      <c r="U23" s="779"/>
    </row>
    <row r="24" spans="1:23" ht="15.5">
      <c r="B24" s="47" t="str">
        <f>'Background Controls'!I6</f>
        <v>Commercial/Institutional</v>
      </c>
      <c r="C24" s="239">
        <f t="shared" si="0"/>
        <v>0</v>
      </c>
      <c r="D24" s="239">
        <f t="shared" si="1"/>
        <v>0</v>
      </c>
      <c r="E24" s="239">
        <f t="shared" si="2"/>
        <v>0</v>
      </c>
      <c r="F24" s="240">
        <f t="shared" ref="F24:F42" si="7">SUM(C24:E24)</f>
        <v>0</v>
      </c>
      <c r="G24" s="61"/>
      <c r="I24" s="47" t="str">
        <f t="shared" ref="I24:I42" si="8">B24</f>
        <v>Commercial/Institutional</v>
      </c>
      <c r="J24" s="239">
        <f t="shared" si="3"/>
        <v>0</v>
      </c>
      <c r="K24" s="239">
        <f t="shared" si="4"/>
        <v>0</v>
      </c>
      <c r="L24" s="239">
        <f t="shared" si="5"/>
        <v>0</v>
      </c>
      <c r="M24" s="461">
        <f t="shared" si="6"/>
        <v>0</v>
      </c>
      <c r="S24" s="779"/>
      <c r="T24" s="779"/>
      <c r="U24" s="779"/>
    </row>
    <row r="25" spans="1:23" ht="15.5">
      <c r="B25" s="47" t="str">
        <f>'Background Controls'!I7</f>
        <v>Industrial</v>
      </c>
      <c r="C25" s="239">
        <f t="shared" si="0"/>
        <v>0</v>
      </c>
      <c r="D25" s="239">
        <f t="shared" si="1"/>
        <v>0</v>
      </c>
      <c r="E25" s="239">
        <f t="shared" si="2"/>
        <v>0</v>
      </c>
      <c r="F25" s="240">
        <f t="shared" si="7"/>
        <v>0</v>
      </c>
      <c r="G25" s="61"/>
      <c r="I25" s="47" t="str">
        <f t="shared" si="8"/>
        <v>Industrial</v>
      </c>
      <c r="J25" s="239">
        <f t="shared" si="3"/>
        <v>0</v>
      </c>
      <c r="K25" s="239">
        <f t="shared" si="4"/>
        <v>0</v>
      </c>
      <c r="L25" s="239">
        <f t="shared" si="5"/>
        <v>0</v>
      </c>
      <c r="M25" s="461">
        <f t="shared" si="6"/>
        <v>0</v>
      </c>
      <c r="S25" s="779"/>
      <c r="T25" s="779"/>
      <c r="U25" s="779"/>
    </row>
    <row r="26" spans="1:23" ht="15.5">
      <c r="B26" s="47" t="str">
        <f>'Background Controls'!I8</f>
        <v>Energy Generation</v>
      </c>
      <c r="C26" s="239">
        <f t="shared" si="0"/>
        <v>0</v>
      </c>
      <c r="D26" s="239">
        <f t="shared" si="1"/>
        <v>0</v>
      </c>
      <c r="E26" s="239">
        <f t="shared" si="2"/>
        <v>0</v>
      </c>
      <c r="F26" s="240">
        <f t="shared" si="7"/>
        <v>0</v>
      </c>
      <c r="G26" s="61"/>
      <c r="I26" s="47" t="str">
        <f t="shared" si="8"/>
        <v>Energy Generation</v>
      </c>
      <c r="J26" s="239">
        <f t="shared" si="3"/>
        <v>0</v>
      </c>
      <c r="K26" s="239">
        <f t="shared" si="4"/>
        <v>0</v>
      </c>
      <c r="L26" s="239">
        <f t="shared" si="5"/>
        <v>0</v>
      </c>
      <c r="M26" s="461">
        <f t="shared" si="6"/>
        <v>0</v>
      </c>
      <c r="N26" s="421"/>
      <c r="O26" s="421"/>
      <c r="P26" s="337"/>
      <c r="Q26" s="338"/>
      <c r="S26" s="779"/>
      <c r="T26" s="779"/>
      <c r="U26" s="779"/>
    </row>
    <row r="27" spans="1:23" ht="15.5" hidden="1">
      <c r="B27" s="47">
        <f>'Background Controls'!I9</f>
        <v>0</v>
      </c>
      <c r="C27" s="239">
        <f t="shared" si="0"/>
        <v>0</v>
      </c>
      <c r="D27" s="239">
        <f t="shared" si="1"/>
        <v>0</v>
      </c>
      <c r="E27" s="239">
        <f t="shared" si="2"/>
        <v>0</v>
      </c>
      <c r="F27" s="240">
        <f t="shared" si="7"/>
        <v>0</v>
      </c>
      <c r="G27" s="61"/>
      <c r="I27" s="47">
        <f t="shared" si="8"/>
        <v>0</v>
      </c>
      <c r="J27" s="239">
        <f t="shared" si="3"/>
        <v>0</v>
      </c>
      <c r="K27" s="239">
        <f t="shared" si="4"/>
        <v>0</v>
      </c>
      <c r="L27" s="239">
        <f t="shared" si="5"/>
        <v>0</v>
      </c>
      <c r="M27" s="461">
        <f t="shared" si="6"/>
        <v>0</v>
      </c>
      <c r="N27" s="421"/>
      <c r="O27" s="421"/>
      <c r="P27" s="338"/>
      <c r="Q27" s="338"/>
      <c r="S27" s="779"/>
      <c r="T27" s="779"/>
      <c r="U27" s="779"/>
    </row>
    <row r="28" spans="1:23" ht="15.5" hidden="1">
      <c r="B28" s="47">
        <f>'Background Controls'!I10</f>
        <v>0</v>
      </c>
      <c r="C28" s="239">
        <f t="shared" si="0"/>
        <v>0</v>
      </c>
      <c r="D28" s="239">
        <f t="shared" si="1"/>
        <v>0</v>
      </c>
      <c r="E28" s="239">
        <f t="shared" si="2"/>
        <v>0</v>
      </c>
      <c r="F28" s="240">
        <f t="shared" si="7"/>
        <v>0</v>
      </c>
      <c r="G28" s="61"/>
      <c r="I28" s="47">
        <f t="shared" si="8"/>
        <v>0</v>
      </c>
      <c r="J28" s="239">
        <f t="shared" si="3"/>
        <v>0</v>
      </c>
      <c r="K28" s="239">
        <f t="shared" si="4"/>
        <v>0</v>
      </c>
      <c r="L28" s="239">
        <f t="shared" si="5"/>
        <v>0</v>
      </c>
      <c r="M28" s="461">
        <f t="shared" si="6"/>
        <v>0</v>
      </c>
      <c r="N28" s="769"/>
      <c r="O28" s="769"/>
      <c r="P28" s="337"/>
      <c r="Q28" s="338"/>
      <c r="S28" s="779"/>
      <c r="T28" s="779"/>
      <c r="U28" s="779"/>
    </row>
    <row r="29" spans="1:23" ht="15.5" hidden="1">
      <c r="B29" s="47">
        <f>'Background Controls'!I11</f>
        <v>0</v>
      </c>
      <c r="C29" s="239">
        <f t="shared" si="0"/>
        <v>0</v>
      </c>
      <c r="D29" s="239">
        <f t="shared" si="1"/>
        <v>0</v>
      </c>
      <c r="E29" s="239">
        <f t="shared" si="2"/>
        <v>0</v>
      </c>
      <c r="F29" s="240">
        <f t="shared" si="7"/>
        <v>0</v>
      </c>
      <c r="G29" s="61"/>
      <c r="I29" s="47">
        <f t="shared" si="8"/>
        <v>0</v>
      </c>
      <c r="J29" s="239">
        <f t="shared" si="3"/>
        <v>0</v>
      </c>
      <c r="K29" s="239">
        <f t="shared" si="4"/>
        <v>0</v>
      </c>
      <c r="L29" s="239">
        <f t="shared" si="5"/>
        <v>0</v>
      </c>
      <c r="M29" s="461">
        <f t="shared" si="6"/>
        <v>0</v>
      </c>
      <c r="N29" s="421"/>
      <c r="O29" s="421"/>
      <c r="P29" s="337"/>
      <c r="Q29" s="338"/>
      <c r="S29" s="779"/>
      <c r="T29" s="779"/>
      <c r="U29" s="779"/>
    </row>
    <row r="30" spans="1:23" ht="15.5" hidden="1">
      <c r="B30" s="47">
        <f>'Background Controls'!I12</f>
        <v>0</v>
      </c>
      <c r="C30" s="239">
        <f t="shared" si="0"/>
        <v>0</v>
      </c>
      <c r="D30" s="239">
        <f t="shared" si="1"/>
        <v>0</v>
      </c>
      <c r="E30" s="239">
        <f t="shared" si="2"/>
        <v>0</v>
      </c>
      <c r="F30" s="240">
        <f t="shared" si="7"/>
        <v>0</v>
      </c>
      <c r="G30" s="61"/>
      <c r="I30" s="47">
        <f t="shared" si="8"/>
        <v>0</v>
      </c>
      <c r="J30" s="239">
        <f t="shared" si="3"/>
        <v>0</v>
      </c>
      <c r="K30" s="239">
        <f t="shared" si="4"/>
        <v>0</v>
      </c>
      <c r="L30" s="239">
        <f t="shared" si="5"/>
        <v>0</v>
      </c>
      <c r="M30" s="461">
        <f t="shared" si="6"/>
        <v>0</v>
      </c>
      <c r="N30" s="421"/>
      <c r="O30" s="421"/>
      <c r="P30" s="337"/>
      <c r="Q30" s="338"/>
      <c r="S30" s="779"/>
      <c r="T30" s="779"/>
      <c r="U30" s="779"/>
    </row>
    <row r="31" spans="1:23" ht="15.5" hidden="1">
      <c r="B31" s="47">
        <f>'Background Controls'!I13</f>
        <v>0</v>
      </c>
      <c r="C31" s="239">
        <f t="shared" si="0"/>
        <v>0</v>
      </c>
      <c r="D31" s="239">
        <f t="shared" si="1"/>
        <v>0</v>
      </c>
      <c r="E31" s="239">
        <f t="shared" si="2"/>
        <v>0</v>
      </c>
      <c r="F31" s="240">
        <f t="shared" si="7"/>
        <v>0</v>
      </c>
      <c r="G31" s="61"/>
      <c r="I31" s="47">
        <f t="shared" si="8"/>
        <v>0</v>
      </c>
      <c r="J31" s="239">
        <f t="shared" si="3"/>
        <v>0</v>
      </c>
      <c r="K31" s="239">
        <f t="shared" si="4"/>
        <v>0</v>
      </c>
      <c r="L31" s="239">
        <f t="shared" si="5"/>
        <v>0</v>
      </c>
      <c r="M31" s="461">
        <f t="shared" si="6"/>
        <v>0</v>
      </c>
      <c r="N31" s="421"/>
      <c r="O31" s="421"/>
      <c r="P31" s="337"/>
      <c r="Q31" s="338"/>
      <c r="S31" s="779"/>
      <c r="T31" s="779"/>
      <c r="U31" s="779"/>
    </row>
    <row r="32" spans="1:23" ht="15.5" hidden="1">
      <c r="B32" s="47">
        <f>'Background Controls'!I14</f>
        <v>0</v>
      </c>
      <c r="C32" s="239">
        <f t="shared" si="0"/>
        <v>0</v>
      </c>
      <c r="D32" s="239">
        <f t="shared" si="1"/>
        <v>0</v>
      </c>
      <c r="E32" s="239">
        <f t="shared" si="2"/>
        <v>0</v>
      </c>
      <c r="F32" s="240">
        <f t="shared" si="7"/>
        <v>0</v>
      </c>
      <c r="G32" s="61"/>
      <c r="I32" s="47">
        <f t="shared" si="8"/>
        <v>0</v>
      </c>
      <c r="J32" s="239">
        <f t="shared" si="3"/>
        <v>0</v>
      </c>
      <c r="K32" s="239">
        <f t="shared" si="4"/>
        <v>0</v>
      </c>
      <c r="L32" s="239">
        <f t="shared" si="5"/>
        <v>0</v>
      </c>
      <c r="M32" s="461">
        <f t="shared" si="6"/>
        <v>0</v>
      </c>
      <c r="N32" s="421"/>
      <c r="O32" s="421"/>
      <c r="P32" s="337"/>
      <c r="Q32" s="338"/>
      <c r="S32" s="779"/>
      <c r="T32" s="779"/>
      <c r="U32" s="779"/>
    </row>
    <row r="33" spans="1:24" ht="15.5" hidden="1">
      <c r="B33" s="47">
        <f>'Background Controls'!I15</f>
        <v>0</v>
      </c>
      <c r="C33" s="239">
        <f t="shared" si="0"/>
        <v>0</v>
      </c>
      <c r="D33" s="239">
        <f t="shared" si="1"/>
        <v>0</v>
      </c>
      <c r="E33" s="239">
        <f t="shared" si="2"/>
        <v>0</v>
      </c>
      <c r="F33" s="240">
        <f t="shared" si="7"/>
        <v>0</v>
      </c>
      <c r="G33" s="61"/>
      <c r="I33" s="47">
        <f t="shared" si="8"/>
        <v>0</v>
      </c>
      <c r="J33" s="239">
        <f t="shared" si="3"/>
        <v>0</v>
      </c>
      <c r="K33" s="239">
        <f t="shared" si="4"/>
        <v>0</v>
      </c>
      <c r="L33" s="239">
        <f t="shared" si="5"/>
        <v>0</v>
      </c>
      <c r="M33" s="461">
        <f t="shared" si="6"/>
        <v>0</v>
      </c>
      <c r="N33" s="421"/>
      <c r="O33" s="421"/>
      <c r="P33" s="337"/>
      <c r="Q33" s="338"/>
      <c r="S33" s="779"/>
      <c r="T33" s="779"/>
      <c r="U33" s="779"/>
    </row>
    <row r="34" spans="1:24" ht="15.5" hidden="1">
      <c r="B34" s="47">
        <f>'Background Controls'!I16</f>
        <v>0</v>
      </c>
      <c r="C34" s="239">
        <f t="shared" si="0"/>
        <v>0</v>
      </c>
      <c r="D34" s="239">
        <f t="shared" si="1"/>
        <v>0</v>
      </c>
      <c r="E34" s="239">
        <f t="shared" si="2"/>
        <v>0</v>
      </c>
      <c r="F34" s="240">
        <f t="shared" si="7"/>
        <v>0</v>
      </c>
      <c r="G34" s="61"/>
      <c r="I34" s="47">
        <f t="shared" si="8"/>
        <v>0</v>
      </c>
      <c r="J34" s="239">
        <f t="shared" si="3"/>
        <v>0</v>
      </c>
      <c r="K34" s="239">
        <f t="shared" si="4"/>
        <v>0</v>
      </c>
      <c r="L34" s="239">
        <f t="shared" si="5"/>
        <v>0</v>
      </c>
      <c r="M34" s="461">
        <f t="shared" si="6"/>
        <v>0</v>
      </c>
      <c r="N34" s="421"/>
      <c r="O34" s="421"/>
      <c r="P34" s="337"/>
      <c r="Q34" s="338"/>
      <c r="S34" s="779"/>
      <c r="T34" s="779"/>
      <c r="U34" s="779"/>
    </row>
    <row r="35" spans="1:24" ht="15.5" hidden="1">
      <c r="B35" s="47">
        <f>'Background Controls'!I17</f>
        <v>0</v>
      </c>
      <c r="C35" s="239">
        <f t="shared" si="0"/>
        <v>0</v>
      </c>
      <c r="D35" s="239">
        <f t="shared" si="1"/>
        <v>0</v>
      </c>
      <c r="E35" s="239">
        <f t="shared" si="2"/>
        <v>0</v>
      </c>
      <c r="F35" s="240">
        <f t="shared" si="7"/>
        <v>0</v>
      </c>
      <c r="G35" s="61"/>
      <c r="I35" s="47">
        <f t="shared" si="8"/>
        <v>0</v>
      </c>
      <c r="J35" s="239">
        <f t="shared" si="3"/>
        <v>0</v>
      </c>
      <c r="K35" s="239">
        <f t="shared" si="4"/>
        <v>0</v>
      </c>
      <c r="L35" s="239">
        <f t="shared" si="5"/>
        <v>0</v>
      </c>
      <c r="M35" s="461">
        <f t="shared" si="6"/>
        <v>0</v>
      </c>
      <c r="N35" s="421"/>
      <c r="O35" s="421"/>
      <c r="P35" s="337"/>
      <c r="Q35" s="338"/>
      <c r="S35" s="779"/>
      <c r="T35" s="779"/>
      <c r="U35" s="779"/>
    </row>
    <row r="36" spans="1:24" ht="15.5" hidden="1">
      <c r="B36" s="47">
        <f>'Background Controls'!I18</f>
        <v>0</v>
      </c>
      <c r="C36" s="239">
        <f t="shared" si="0"/>
        <v>0</v>
      </c>
      <c r="D36" s="239">
        <f t="shared" si="1"/>
        <v>0</v>
      </c>
      <c r="E36" s="239">
        <f t="shared" si="2"/>
        <v>0</v>
      </c>
      <c r="F36" s="240">
        <f t="shared" si="7"/>
        <v>0</v>
      </c>
      <c r="G36" s="61"/>
      <c r="I36" s="47">
        <f t="shared" si="8"/>
        <v>0</v>
      </c>
      <c r="J36" s="239">
        <f t="shared" si="3"/>
        <v>0</v>
      </c>
      <c r="K36" s="239">
        <f t="shared" si="4"/>
        <v>0</v>
      </c>
      <c r="L36" s="239">
        <f t="shared" si="5"/>
        <v>0</v>
      </c>
      <c r="M36" s="461">
        <f t="shared" si="6"/>
        <v>0</v>
      </c>
      <c r="N36" s="421"/>
      <c r="O36" s="421"/>
      <c r="P36" s="337"/>
      <c r="Q36" s="338"/>
      <c r="S36" s="779"/>
      <c r="T36" s="779"/>
      <c r="U36" s="779"/>
    </row>
    <row r="37" spans="1:24" ht="15.5" hidden="1">
      <c r="B37" s="47">
        <f>'Background Controls'!I19</f>
        <v>0</v>
      </c>
      <c r="C37" s="239">
        <f t="shared" si="0"/>
        <v>0</v>
      </c>
      <c r="D37" s="239">
        <f t="shared" si="1"/>
        <v>0</v>
      </c>
      <c r="E37" s="239">
        <f t="shared" si="2"/>
        <v>0</v>
      </c>
      <c r="F37" s="240">
        <f t="shared" si="7"/>
        <v>0</v>
      </c>
      <c r="G37" s="61"/>
      <c r="I37" s="47">
        <f t="shared" si="8"/>
        <v>0</v>
      </c>
      <c r="J37" s="239">
        <f t="shared" si="3"/>
        <v>0</v>
      </c>
      <c r="K37" s="239">
        <f t="shared" si="4"/>
        <v>0</v>
      </c>
      <c r="L37" s="239">
        <f t="shared" si="5"/>
        <v>0</v>
      </c>
      <c r="M37" s="461">
        <f t="shared" si="6"/>
        <v>0</v>
      </c>
      <c r="N37" s="421"/>
      <c r="O37" s="421"/>
      <c r="P37" s="337"/>
      <c r="Q37" s="338"/>
      <c r="S37" s="779"/>
      <c r="T37" s="779"/>
      <c r="U37" s="779"/>
    </row>
    <row r="38" spans="1:24" ht="15.5" hidden="1">
      <c r="B38" s="47">
        <f>'Background Controls'!I20</f>
        <v>0</v>
      </c>
      <c r="C38" s="239">
        <f t="shared" si="0"/>
        <v>0</v>
      </c>
      <c r="D38" s="239">
        <f t="shared" si="1"/>
        <v>0</v>
      </c>
      <c r="E38" s="239">
        <f t="shared" si="2"/>
        <v>0</v>
      </c>
      <c r="F38" s="240">
        <f t="shared" si="7"/>
        <v>0</v>
      </c>
      <c r="G38" s="61"/>
      <c r="I38" s="47">
        <f t="shared" si="8"/>
        <v>0</v>
      </c>
      <c r="J38" s="239">
        <f t="shared" si="3"/>
        <v>0</v>
      </c>
      <c r="K38" s="239">
        <f t="shared" si="4"/>
        <v>0</v>
      </c>
      <c r="L38" s="239">
        <f t="shared" si="5"/>
        <v>0</v>
      </c>
      <c r="M38" s="461">
        <f t="shared" si="6"/>
        <v>0</v>
      </c>
      <c r="N38" s="421"/>
      <c r="O38" s="421"/>
      <c r="P38" s="337"/>
      <c r="Q38" s="338"/>
      <c r="S38" s="779"/>
      <c r="T38" s="779"/>
      <c r="U38" s="779"/>
    </row>
    <row r="39" spans="1:24" ht="15.5" hidden="1">
      <c r="B39" s="47">
        <f>'Background Controls'!I21</f>
        <v>0</v>
      </c>
      <c r="C39" s="239">
        <f t="shared" si="0"/>
        <v>0</v>
      </c>
      <c r="D39" s="239">
        <f t="shared" si="1"/>
        <v>0</v>
      </c>
      <c r="E39" s="239">
        <f t="shared" si="2"/>
        <v>0</v>
      </c>
      <c r="F39" s="240">
        <f t="shared" si="7"/>
        <v>0</v>
      </c>
      <c r="G39" s="61"/>
      <c r="I39" s="47">
        <f t="shared" si="8"/>
        <v>0</v>
      </c>
      <c r="J39" s="239">
        <f t="shared" si="3"/>
        <v>0</v>
      </c>
      <c r="K39" s="239">
        <f t="shared" si="4"/>
        <v>0</v>
      </c>
      <c r="L39" s="239">
        <f t="shared" si="5"/>
        <v>0</v>
      </c>
      <c r="M39" s="461">
        <f t="shared" si="6"/>
        <v>0</v>
      </c>
      <c r="N39" s="421"/>
      <c r="O39" s="421"/>
      <c r="P39" s="337"/>
      <c r="Q39" s="338"/>
      <c r="S39" s="779"/>
      <c r="T39" s="779"/>
      <c r="U39" s="779"/>
    </row>
    <row r="40" spans="1:24" ht="15.5" hidden="1">
      <c r="B40" s="47">
        <f>'Background Controls'!I22</f>
        <v>0</v>
      </c>
      <c r="C40" s="239">
        <f t="shared" si="0"/>
        <v>0</v>
      </c>
      <c r="D40" s="239">
        <f t="shared" si="1"/>
        <v>0</v>
      </c>
      <c r="E40" s="239">
        <f t="shared" si="2"/>
        <v>0</v>
      </c>
      <c r="F40" s="240">
        <f t="shared" si="7"/>
        <v>0</v>
      </c>
      <c r="G40" s="61"/>
      <c r="I40" s="47">
        <f t="shared" si="8"/>
        <v>0</v>
      </c>
      <c r="J40" s="239">
        <f t="shared" si="3"/>
        <v>0</v>
      </c>
      <c r="K40" s="239">
        <f t="shared" si="4"/>
        <v>0</v>
      </c>
      <c r="L40" s="239">
        <f t="shared" si="5"/>
        <v>0</v>
      </c>
      <c r="M40" s="461">
        <f t="shared" si="6"/>
        <v>0</v>
      </c>
      <c r="N40" s="421"/>
      <c r="O40" s="421"/>
      <c r="P40" s="337"/>
      <c r="Q40" s="338"/>
      <c r="S40" s="779"/>
      <c r="T40" s="779"/>
      <c r="U40" s="779"/>
    </row>
    <row r="41" spans="1:24" ht="15.5" hidden="1">
      <c r="B41" s="47">
        <f>'Background Controls'!I23</f>
        <v>0</v>
      </c>
      <c r="C41" s="239">
        <f t="shared" si="0"/>
        <v>0</v>
      </c>
      <c r="D41" s="239">
        <f t="shared" si="1"/>
        <v>0</v>
      </c>
      <c r="E41" s="239">
        <f t="shared" si="2"/>
        <v>0</v>
      </c>
      <c r="F41" s="240">
        <f t="shared" si="7"/>
        <v>0</v>
      </c>
      <c r="G41" s="61"/>
      <c r="I41" s="47">
        <f t="shared" si="8"/>
        <v>0</v>
      </c>
      <c r="J41" s="239">
        <f t="shared" si="3"/>
        <v>0</v>
      </c>
      <c r="K41" s="239">
        <f t="shared" si="4"/>
        <v>0</v>
      </c>
      <c r="L41" s="239">
        <f t="shared" si="5"/>
        <v>0</v>
      </c>
      <c r="M41" s="461">
        <f t="shared" si="6"/>
        <v>0</v>
      </c>
      <c r="N41" s="421"/>
      <c r="O41" s="421"/>
      <c r="P41" s="337"/>
      <c r="Q41" s="338"/>
      <c r="S41" s="779"/>
      <c r="T41" s="779"/>
      <c r="U41" s="779"/>
    </row>
    <row r="42" spans="1:24" ht="15.5" hidden="1">
      <c r="A42" s="285"/>
      <c r="B42" s="47">
        <f>'Background Controls'!I24</f>
        <v>0</v>
      </c>
      <c r="C42" s="239">
        <f t="shared" si="0"/>
        <v>0</v>
      </c>
      <c r="D42" s="239">
        <f t="shared" si="1"/>
        <v>0</v>
      </c>
      <c r="E42" s="239">
        <f t="shared" si="2"/>
        <v>0</v>
      </c>
      <c r="F42" s="240">
        <f t="shared" si="7"/>
        <v>0</v>
      </c>
      <c r="G42" s="61"/>
      <c r="H42" s="68"/>
      <c r="I42" s="47">
        <f t="shared" si="8"/>
        <v>0</v>
      </c>
      <c r="J42" s="239">
        <f t="shared" si="3"/>
        <v>0</v>
      </c>
      <c r="K42" s="239">
        <f t="shared" si="4"/>
        <v>0</v>
      </c>
      <c r="L42" s="239">
        <f t="shared" si="5"/>
        <v>0</v>
      </c>
      <c r="M42" s="461">
        <f t="shared" si="6"/>
        <v>0</v>
      </c>
      <c r="N42" s="421"/>
      <c r="O42" s="421"/>
      <c r="P42" s="337"/>
      <c r="Q42" s="338"/>
      <c r="S42" s="779"/>
      <c r="T42" s="779"/>
      <c r="U42" s="779"/>
    </row>
    <row r="43" spans="1:24" ht="32.25" customHeight="1">
      <c r="B43" s="854" t="s">
        <v>257</v>
      </c>
      <c r="C43" s="460">
        <f>SUM(C23:C42)</f>
        <v>0</v>
      </c>
      <c r="D43" s="460">
        <f>SUM(D23:D42)</f>
        <v>0</v>
      </c>
      <c r="E43" s="460">
        <f>SUM(E23:E42)</f>
        <v>0</v>
      </c>
      <c r="F43" s="855">
        <f>SUM(F23:F42)</f>
        <v>0</v>
      </c>
      <c r="G43" s="64"/>
      <c r="I43" s="854" t="s">
        <v>258</v>
      </c>
      <c r="J43" s="462">
        <f>SUM(J23:J42)</f>
        <v>0</v>
      </c>
      <c r="K43" s="462">
        <f>SUM(K23:K42)</f>
        <v>0</v>
      </c>
      <c r="L43" s="462">
        <f>SUM(L23:L42)</f>
        <v>0</v>
      </c>
      <c r="M43" s="855">
        <f>SUM(M23:M42)</f>
        <v>0</v>
      </c>
      <c r="N43" s="770"/>
      <c r="O43" s="770"/>
      <c r="S43" s="779"/>
      <c r="T43" s="779"/>
      <c r="U43" s="779"/>
    </row>
    <row r="44" spans="1:24" ht="15" customHeight="1">
      <c r="B44" s="63"/>
      <c r="C44" s="95"/>
      <c r="D44" s="95"/>
      <c r="E44" s="95"/>
      <c r="F44" s="95"/>
      <c r="G44" s="64"/>
      <c r="H44" s="64"/>
      <c r="J44" s="63"/>
      <c r="S44" s="779"/>
      <c r="T44" s="779"/>
      <c r="U44" s="779"/>
    </row>
    <row r="45" spans="1:24" ht="15" customHeight="1">
      <c r="B45" s="63"/>
      <c r="C45" s="95"/>
      <c r="D45" s="95"/>
      <c r="E45" s="95"/>
      <c r="F45" s="95"/>
      <c r="G45" s="64"/>
      <c r="H45" s="64"/>
      <c r="J45" s="63"/>
      <c r="S45" s="779"/>
      <c r="T45" s="779"/>
      <c r="U45" s="779"/>
    </row>
    <row r="46" spans="1:24" ht="15" customHeight="1">
      <c r="B46" s="56" t="s">
        <v>259</v>
      </c>
      <c r="C46" s="95"/>
      <c r="D46" s="95"/>
      <c r="E46" s="95"/>
      <c r="F46" s="95"/>
      <c r="G46" s="64"/>
      <c r="H46" s="64"/>
      <c r="J46" s="63"/>
      <c r="S46" s="779"/>
      <c r="T46" s="779"/>
      <c r="U46" s="779"/>
      <c r="W46" s="313" t="s">
        <v>260</v>
      </c>
      <c r="X46" s="310" t="b">
        <v>1</v>
      </c>
    </row>
    <row r="47" spans="1:24" ht="15" customHeight="1">
      <c r="B47" s="63"/>
      <c r="C47" s="95"/>
      <c r="D47" s="95"/>
      <c r="E47" s="95"/>
      <c r="F47" s="95"/>
      <c r="G47" s="64"/>
      <c r="H47" s="64"/>
      <c r="J47" s="63"/>
      <c r="W47" s="314" t="s">
        <v>261</v>
      </c>
      <c r="X47" s="311" t="b">
        <v>1</v>
      </c>
    </row>
    <row r="48" spans="1:24" ht="15" customHeight="1">
      <c r="B48" s="63"/>
      <c r="C48" s="95"/>
      <c r="D48" s="95"/>
      <c r="E48" s="95"/>
      <c r="F48" s="95"/>
      <c r="G48" s="64"/>
      <c r="H48" s="64"/>
      <c r="J48" s="63"/>
      <c r="W48" s="314" t="s">
        <v>262</v>
      </c>
      <c r="X48" s="311" t="b">
        <f>AND(X46:X47)</f>
        <v>1</v>
      </c>
    </row>
    <row r="49" spans="2:24" ht="15" customHeight="1">
      <c r="B49" s="63"/>
      <c r="C49" s="95"/>
      <c r="D49" s="95"/>
      <c r="E49" s="95"/>
      <c r="F49" s="95"/>
      <c r="G49" s="64"/>
      <c r="H49" s="64"/>
      <c r="J49" s="63"/>
      <c r="W49" s="315"/>
      <c r="X49" s="856" t="str">
        <f>IF(X48=TRUE, W48, IF(X46=TRUE, W46, IF(X47=TRUE, W47,"both")))</f>
        <v>both</v>
      </c>
    </row>
    <row r="50" spans="2:24" ht="15" customHeight="1">
      <c r="B50" s="63"/>
      <c r="C50" s="95"/>
      <c r="D50" s="95"/>
      <c r="E50" s="95"/>
      <c r="F50" s="95"/>
      <c r="G50" s="64"/>
      <c r="H50" s="64"/>
      <c r="J50" s="63"/>
    </row>
    <row r="51" spans="2:24" ht="15" customHeight="1">
      <c r="B51" s="63"/>
      <c r="C51" s="95"/>
      <c r="D51" s="95"/>
      <c r="E51" s="95"/>
      <c r="F51" s="95"/>
      <c r="G51" s="64"/>
      <c r="H51" s="64"/>
      <c r="J51" s="63"/>
    </row>
    <row r="52" spans="2:24" ht="15" customHeight="1">
      <c r="B52" s="63"/>
      <c r="C52" s="95"/>
      <c r="D52" s="95"/>
      <c r="E52" s="95"/>
      <c r="F52" s="95"/>
      <c r="G52" s="64"/>
      <c r="H52" s="64"/>
      <c r="J52" s="63"/>
    </row>
    <row r="53" spans="2:24" ht="15" customHeight="1">
      <c r="B53" s="63"/>
      <c r="C53" s="95"/>
      <c r="D53" s="95"/>
      <c r="E53" s="95"/>
      <c r="F53" s="95"/>
      <c r="G53" s="64"/>
      <c r="H53" s="64"/>
      <c r="J53" s="63"/>
    </row>
    <row r="54" spans="2:24" ht="15" customHeight="1">
      <c r="B54" s="63"/>
      <c r="C54" s="95"/>
      <c r="D54" s="95"/>
      <c r="E54" s="95"/>
      <c r="F54" s="95"/>
      <c r="G54" s="64"/>
      <c r="H54" s="64"/>
      <c r="J54" s="63"/>
    </row>
    <row r="55" spans="2:24" ht="15" customHeight="1">
      <c r="B55" s="63"/>
      <c r="C55" s="95"/>
      <c r="D55" s="95"/>
      <c r="E55" s="95"/>
      <c r="F55" s="95"/>
      <c r="G55" s="64"/>
      <c r="H55" s="64"/>
      <c r="J55" s="63"/>
    </row>
    <row r="56" spans="2:24" ht="15" customHeight="1">
      <c r="B56" s="63"/>
      <c r="C56" s="95"/>
      <c r="D56" s="95"/>
      <c r="E56" s="95"/>
      <c r="F56" s="95"/>
      <c r="G56" s="64"/>
      <c r="H56" s="64"/>
      <c r="J56" s="63"/>
    </row>
    <row r="57" spans="2:24" ht="15" customHeight="1">
      <c r="B57" s="63"/>
      <c r="C57" s="95"/>
      <c r="D57" s="95"/>
      <c r="E57" s="95"/>
      <c r="F57" s="95"/>
      <c r="G57" s="64"/>
      <c r="H57" s="64"/>
      <c r="J57" s="63"/>
    </row>
    <row r="58" spans="2:24" ht="15" customHeight="1">
      <c r="B58" s="63"/>
      <c r="C58" s="95"/>
      <c r="D58" s="95"/>
      <c r="E58" s="95"/>
      <c r="F58" s="95"/>
      <c r="G58" s="64"/>
      <c r="H58" s="64"/>
      <c r="J58" s="63"/>
    </row>
    <row r="59" spans="2:24" ht="15" customHeight="1">
      <c r="B59" s="63"/>
      <c r="C59" s="95"/>
      <c r="D59" s="95"/>
      <c r="E59" s="95"/>
      <c r="F59" s="95"/>
      <c r="G59" s="64"/>
      <c r="H59" s="64"/>
      <c r="J59" s="63"/>
    </row>
    <row r="60" spans="2:24" ht="15" customHeight="1">
      <c r="B60" s="63"/>
      <c r="C60" s="95"/>
      <c r="D60" s="95"/>
      <c r="E60" s="95"/>
      <c r="F60" s="95"/>
      <c r="G60" s="64"/>
      <c r="H60" s="64"/>
      <c r="J60" s="63"/>
    </row>
    <row r="61" spans="2:24" ht="15" customHeight="1">
      <c r="B61" s="63"/>
      <c r="C61" s="95"/>
      <c r="D61" s="95"/>
      <c r="E61" s="95"/>
      <c r="F61" s="95"/>
      <c r="G61" s="64"/>
      <c r="H61" s="64"/>
      <c r="J61" s="63"/>
    </row>
    <row r="62" spans="2:24" ht="15" customHeight="1">
      <c r="B62" s="63"/>
      <c r="C62" s="95"/>
      <c r="D62" s="95"/>
      <c r="E62" s="95"/>
      <c r="F62" s="95"/>
      <c r="G62" s="64"/>
      <c r="H62" s="64"/>
      <c r="J62" s="63"/>
    </row>
    <row r="63" spans="2:24" ht="15" customHeight="1">
      <c r="B63" s="63"/>
      <c r="C63" s="95"/>
      <c r="D63" s="95"/>
      <c r="E63" s="95"/>
      <c r="F63" s="95"/>
      <c r="G63" s="64"/>
      <c r="H63" s="64"/>
      <c r="J63" s="63"/>
    </row>
    <row r="64" spans="2:24" ht="15" customHeight="1">
      <c r="B64" s="63"/>
      <c r="C64" s="95"/>
      <c r="D64" s="95"/>
      <c r="E64" s="95"/>
      <c r="F64" s="95"/>
      <c r="G64" s="64"/>
      <c r="H64" s="64"/>
      <c r="J64" s="63"/>
    </row>
    <row r="65" spans="1:19" ht="15" customHeight="1">
      <c r="B65" s="63"/>
      <c r="C65" s="95"/>
      <c r="D65" s="95"/>
      <c r="E65" s="95"/>
      <c r="F65" s="95"/>
      <c r="G65" s="64"/>
      <c r="H65" s="64"/>
      <c r="J65" s="63"/>
    </row>
    <row r="66" spans="1:19" ht="15" customHeight="1">
      <c r="B66" s="63"/>
      <c r="C66" s="95"/>
      <c r="D66" s="95"/>
      <c r="E66" s="95"/>
      <c r="F66" s="95"/>
      <c r="G66" s="64"/>
      <c r="H66" s="64"/>
      <c r="J66" s="63"/>
    </row>
    <row r="67" spans="1:19" ht="15" customHeight="1">
      <c r="B67" s="63"/>
      <c r="C67" s="95"/>
      <c r="D67" s="95"/>
      <c r="E67" s="95"/>
      <c r="F67" s="95"/>
      <c r="G67" s="64"/>
      <c r="H67" s="64"/>
      <c r="J67" s="63"/>
    </row>
    <row r="68" spans="1:19" ht="15" customHeight="1">
      <c r="B68" s="63"/>
      <c r="C68" s="95"/>
      <c r="D68" s="95"/>
      <c r="E68" s="95"/>
      <c r="F68" s="95"/>
      <c r="G68" s="64"/>
      <c r="H68" s="64"/>
      <c r="J68" s="63"/>
    </row>
    <row r="69" spans="1:19" ht="15" customHeight="1">
      <c r="B69" s="63"/>
      <c r="C69" s="95"/>
      <c r="D69" s="95"/>
      <c r="E69" s="95"/>
      <c r="F69" s="95"/>
      <c r="G69" s="64"/>
      <c r="H69" s="64"/>
      <c r="J69" s="63"/>
    </row>
    <row r="70" spans="1:19" ht="15" customHeight="1">
      <c r="B70" s="63"/>
      <c r="C70" s="95"/>
      <c r="D70" s="95"/>
      <c r="E70" s="95"/>
      <c r="F70" s="95"/>
      <c r="G70" s="64"/>
      <c r="H70" s="64"/>
      <c r="J70" s="63"/>
    </row>
    <row r="71" spans="1:19" ht="18.5">
      <c r="A71" s="283" t="s">
        <v>239</v>
      </c>
    </row>
    <row r="72" spans="1:19" ht="18.5">
      <c r="A72" s="283"/>
    </row>
    <row r="73" spans="1:19" ht="15.5">
      <c r="B73" s="1045" t="s">
        <v>240</v>
      </c>
      <c r="C73" s="1046"/>
      <c r="D73" s="1046"/>
      <c r="E73" s="1046"/>
      <c r="F73" s="1047"/>
      <c r="I73" s="1048" t="s">
        <v>241</v>
      </c>
      <c r="J73" s="1049"/>
      <c r="K73" s="1049"/>
      <c r="L73" s="1050"/>
      <c r="M73" s="778"/>
      <c r="N73" s="778"/>
      <c r="O73" s="778"/>
    </row>
    <row r="74" spans="1:19" ht="30">
      <c r="B74" s="840" t="s">
        <v>154</v>
      </c>
      <c r="C74" s="60" t="s">
        <v>16</v>
      </c>
      <c r="D74" s="60" t="s">
        <v>20</v>
      </c>
      <c r="E74" s="60" t="s">
        <v>73</v>
      </c>
      <c r="F74" s="104" t="s">
        <v>263</v>
      </c>
      <c r="I74" s="100" t="s">
        <v>154</v>
      </c>
      <c r="J74" s="72" t="s">
        <v>264</v>
      </c>
      <c r="K74" s="70"/>
      <c r="L74" s="857" t="s">
        <v>265</v>
      </c>
      <c r="M74" s="776"/>
      <c r="N74" s="776"/>
      <c r="O74" s="776"/>
    </row>
    <row r="75" spans="1:19">
      <c r="B75" s="107" t="s">
        <v>169</v>
      </c>
      <c r="C75" s="463">
        <f>VLOOKUP($B75, stat_calcs_CO2byFuel, 8, FALSE)</f>
        <v>0</v>
      </c>
      <c r="D75" s="463">
        <f t="shared" ref="D75:D90" si="9">VLOOKUP($B75, stat_calcs_CH4byFuel, 8, FALSE)</f>
        <v>0</v>
      </c>
      <c r="E75" s="463">
        <f t="shared" ref="E75:E90" si="10">VLOOKUP($B75, stat_calcs_N2ObyFuel, 8, FALSE)</f>
        <v>0</v>
      </c>
      <c r="F75" s="333">
        <f>SUM(C75:E75)</f>
        <v>0</v>
      </c>
      <c r="H75" s="68"/>
      <c r="I75" s="772" t="s">
        <v>169</v>
      </c>
      <c r="J75" s="773">
        <f t="shared" ref="J75:J90" si="11">SUMIF(stat_data_FuelType, I75, stat_data_consump)</f>
        <v>0</v>
      </c>
      <c r="K75" s="12" t="s">
        <v>63</v>
      </c>
      <c r="L75" s="336">
        <f t="shared" ref="L75:L90" si="12">HLOOKUP(I75, stat_calcs_E_deptFT, 22, FALSE)</f>
        <v>0</v>
      </c>
      <c r="M75" s="351"/>
      <c r="N75" s="351"/>
      <c r="O75" s="351"/>
      <c r="P75" s="338"/>
      <c r="Q75" s="338"/>
      <c r="R75" s="338"/>
      <c r="S75" s="338"/>
    </row>
    <row r="76" spans="1:19">
      <c r="B76" s="47" t="s">
        <v>172</v>
      </c>
      <c r="C76" s="463">
        <f t="shared" ref="C76:C90" si="13">VLOOKUP($B76, stat_calcs_CO2byFuel, 8, FALSE)</f>
        <v>0</v>
      </c>
      <c r="D76" s="463">
        <f t="shared" si="9"/>
        <v>0</v>
      </c>
      <c r="E76" s="463">
        <f t="shared" si="10"/>
        <v>0</v>
      </c>
      <c r="F76" s="333">
        <f t="shared" ref="F76:F84" si="14">SUM(C76:E76)</f>
        <v>0</v>
      </c>
      <c r="H76" s="68"/>
      <c r="I76" s="39" t="s">
        <v>172</v>
      </c>
      <c r="J76" s="774">
        <f t="shared" si="11"/>
        <v>0</v>
      </c>
      <c r="K76" s="12" t="s">
        <v>254</v>
      </c>
      <c r="L76" s="336">
        <f t="shared" si="12"/>
        <v>0</v>
      </c>
      <c r="M76" s="351"/>
      <c r="N76" s="351"/>
      <c r="O76" s="351"/>
      <c r="P76" s="338"/>
      <c r="Q76" s="338"/>
      <c r="R76" s="338"/>
      <c r="S76" s="338"/>
    </row>
    <row r="77" spans="1:19">
      <c r="B77" s="47" t="s">
        <v>175</v>
      </c>
      <c r="C77" s="463">
        <f t="shared" si="13"/>
        <v>0</v>
      </c>
      <c r="D77" s="463">
        <f t="shared" si="9"/>
        <v>0</v>
      </c>
      <c r="E77" s="463">
        <f t="shared" si="10"/>
        <v>0</v>
      </c>
      <c r="F77" s="333">
        <f t="shared" si="14"/>
        <v>0</v>
      </c>
      <c r="H77" s="68"/>
      <c r="I77" s="39" t="s">
        <v>175</v>
      </c>
      <c r="J77" s="774">
        <f t="shared" si="11"/>
        <v>0</v>
      </c>
      <c r="K77" s="12" t="s">
        <v>254</v>
      </c>
      <c r="L77" s="336">
        <f t="shared" si="12"/>
        <v>0</v>
      </c>
      <c r="M77" s="351"/>
      <c r="N77" s="351"/>
      <c r="O77" s="351"/>
      <c r="P77" s="338"/>
      <c r="Q77" s="338"/>
      <c r="R77" s="338"/>
      <c r="S77" s="338"/>
    </row>
    <row r="78" spans="1:19">
      <c r="B78" s="47" t="s">
        <v>174</v>
      </c>
      <c r="C78" s="463">
        <f t="shared" si="13"/>
        <v>0</v>
      </c>
      <c r="D78" s="463">
        <f t="shared" si="9"/>
        <v>0</v>
      </c>
      <c r="E78" s="463">
        <f t="shared" si="10"/>
        <v>0</v>
      </c>
      <c r="F78" s="333">
        <f t="shared" si="14"/>
        <v>0</v>
      </c>
      <c r="H78" s="68"/>
      <c r="I78" s="39" t="s">
        <v>174</v>
      </c>
      <c r="J78" s="774">
        <f t="shared" si="11"/>
        <v>0</v>
      </c>
      <c r="K78" s="12" t="s">
        <v>254</v>
      </c>
      <c r="L78" s="336">
        <f t="shared" si="12"/>
        <v>0</v>
      </c>
      <c r="M78" s="351"/>
      <c r="N78" s="351"/>
      <c r="O78" s="351"/>
      <c r="P78" s="338"/>
      <c r="Q78" s="338"/>
      <c r="R78" s="338"/>
      <c r="S78" s="338"/>
    </row>
    <row r="79" spans="1:19">
      <c r="B79" s="47" t="s">
        <v>178</v>
      </c>
      <c r="C79" s="463">
        <f t="shared" si="13"/>
        <v>0</v>
      </c>
      <c r="D79" s="463">
        <f t="shared" si="9"/>
        <v>0</v>
      </c>
      <c r="E79" s="463">
        <f t="shared" si="10"/>
        <v>0</v>
      </c>
      <c r="F79" s="333">
        <f t="shared" si="14"/>
        <v>0</v>
      </c>
      <c r="H79" s="68"/>
      <c r="I79" s="39" t="s">
        <v>178</v>
      </c>
      <c r="J79" s="774">
        <f t="shared" si="11"/>
        <v>0</v>
      </c>
      <c r="K79" s="12" t="s">
        <v>254</v>
      </c>
      <c r="L79" s="336">
        <f t="shared" si="12"/>
        <v>0</v>
      </c>
      <c r="M79" s="351"/>
      <c r="N79" s="351"/>
      <c r="O79" s="351"/>
      <c r="P79" s="338"/>
      <c r="Q79" s="338"/>
      <c r="R79" s="338"/>
      <c r="S79" s="338"/>
    </row>
    <row r="80" spans="1:19">
      <c r="B80" s="47" t="s">
        <v>179</v>
      </c>
      <c r="C80" s="463">
        <f t="shared" si="13"/>
        <v>0</v>
      </c>
      <c r="D80" s="463">
        <f t="shared" si="9"/>
        <v>0</v>
      </c>
      <c r="E80" s="463">
        <f t="shared" si="10"/>
        <v>0</v>
      </c>
      <c r="F80" s="333">
        <f t="shared" si="14"/>
        <v>0</v>
      </c>
      <c r="H80" s="68"/>
      <c r="I80" s="39" t="s">
        <v>179</v>
      </c>
      <c r="J80" s="774">
        <f t="shared" si="11"/>
        <v>0</v>
      </c>
      <c r="K80" s="12" t="s">
        <v>254</v>
      </c>
      <c r="L80" s="336">
        <f t="shared" si="12"/>
        <v>0</v>
      </c>
      <c r="M80" s="351"/>
      <c r="N80" s="351"/>
      <c r="O80" s="351"/>
      <c r="P80" s="338"/>
      <c r="Q80" s="338"/>
      <c r="R80" s="338"/>
      <c r="S80" s="338"/>
    </row>
    <row r="81" spans="1:27">
      <c r="B81" s="47" t="s">
        <v>176</v>
      </c>
      <c r="C81" s="463">
        <f t="shared" si="13"/>
        <v>0</v>
      </c>
      <c r="D81" s="463">
        <f t="shared" si="9"/>
        <v>0</v>
      </c>
      <c r="E81" s="463">
        <f t="shared" si="10"/>
        <v>0</v>
      </c>
      <c r="F81" s="333">
        <f t="shared" si="14"/>
        <v>0</v>
      </c>
      <c r="H81" s="68"/>
      <c r="I81" s="39" t="s">
        <v>176</v>
      </c>
      <c r="J81" s="774">
        <f t="shared" si="11"/>
        <v>0</v>
      </c>
      <c r="K81" s="12" t="s">
        <v>254</v>
      </c>
      <c r="L81" s="336">
        <f t="shared" si="12"/>
        <v>0</v>
      </c>
      <c r="M81" s="351"/>
      <c r="N81" s="351"/>
      <c r="O81" s="351"/>
      <c r="P81" s="338"/>
      <c r="Q81" s="338"/>
      <c r="R81" s="338"/>
      <c r="S81" s="338"/>
    </row>
    <row r="82" spans="1:27">
      <c r="B82" s="47" t="s">
        <v>177</v>
      </c>
      <c r="C82" s="463">
        <f t="shared" si="13"/>
        <v>0</v>
      </c>
      <c r="D82" s="463">
        <f t="shared" si="9"/>
        <v>0</v>
      </c>
      <c r="E82" s="463">
        <f t="shared" si="10"/>
        <v>0</v>
      </c>
      <c r="F82" s="333">
        <f t="shared" si="14"/>
        <v>0</v>
      </c>
      <c r="H82" s="68"/>
      <c r="I82" s="39" t="s">
        <v>177</v>
      </c>
      <c r="J82" s="774">
        <f t="shared" si="11"/>
        <v>0</v>
      </c>
      <c r="K82" s="12" t="s">
        <v>254</v>
      </c>
      <c r="L82" s="336">
        <f t="shared" si="12"/>
        <v>0</v>
      </c>
      <c r="M82" s="351"/>
      <c r="N82" s="351"/>
      <c r="O82" s="351"/>
      <c r="P82" s="338"/>
      <c r="Q82" s="338"/>
      <c r="R82" s="338"/>
      <c r="S82" s="338"/>
    </row>
    <row r="83" spans="1:27">
      <c r="B83" s="47" t="s">
        <v>180</v>
      </c>
      <c r="C83" s="463">
        <f t="shared" si="13"/>
        <v>0</v>
      </c>
      <c r="D83" s="463">
        <f t="shared" si="9"/>
        <v>0</v>
      </c>
      <c r="E83" s="463">
        <f t="shared" si="10"/>
        <v>0</v>
      </c>
      <c r="F83" s="333">
        <f t="shared" si="14"/>
        <v>0</v>
      </c>
      <c r="H83" s="68"/>
      <c r="I83" s="39" t="s">
        <v>180</v>
      </c>
      <c r="J83" s="774">
        <f t="shared" si="11"/>
        <v>0</v>
      </c>
      <c r="K83" s="12" t="s">
        <v>254</v>
      </c>
      <c r="L83" s="336">
        <f t="shared" si="12"/>
        <v>0</v>
      </c>
      <c r="M83" s="351"/>
      <c r="N83" s="351"/>
      <c r="O83" s="351"/>
      <c r="P83" s="338"/>
      <c r="Q83" s="338"/>
      <c r="R83" s="338"/>
      <c r="S83" s="338"/>
    </row>
    <row r="84" spans="1:27">
      <c r="B84" s="47" t="s">
        <v>266</v>
      </c>
      <c r="C84" s="463">
        <f t="shared" si="13"/>
        <v>0</v>
      </c>
      <c r="D84" s="463">
        <f>VLOOKUP($B84, stat_calcs_CH4byFuel, 8, FALSE)</f>
        <v>0</v>
      </c>
      <c r="E84" s="463">
        <f t="shared" si="10"/>
        <v>0</v>
      </c>
      <c r="F84" s="333">
        <f t="shared" si="14"/>
        <v>0</v>
      </c>
      <c r="H84" s="68"/>
      <c r="I84" s="39" t="s">
        <v>266</v>
      </c>
      <c r="J84" s="774">
        <f t="shared" si="11"/>
        <v>0</v>
      </c>
      <c r="K84" s="12" t="s">
        <v>255</v>
      </c>
      <c r="L84" s="336">
        <f t="shared" si="12"/>
        <v>0</v>
      </c>
      <c r="M84" s="351"/>
      <c r="N84" s="351"/>
      <c r="O84" s="351"/>
      <c r="P84" s="338"/>
      <c r="Q84" s="338"/>
      <c r="R84" s="338"/>
      <c r="S84" s="338"/>
    </row>
    <row r="85" spans="1:27">
      <c r="B85" s="47" t="s">
        <v>267</v>
      </c>
      <c r="C85" s="463">
        <f t="shared" si="13"/>
        <v>0</v>
      </c>
      <c r="D85" s="463">
        <f t="shared" si="9"/>
        <v>0</v>
      </c>
      <c r="E85" s="463">
        <f t="shared" si="10"/>
        <v>0</v>
      </c>
      <c r="F85" s="333">
        <f t="shared" ref="F85:F88" si="15">SUM(C85:E85)</f>
        <v>0</v>
      </c>
      <c r="H85" s="68"/>
      <c r="I85" s="39" t="s">
        <v>267</v>
      </c>
      <c r="J85" s="774">
        <f t="shared" ref="J85:J88" si="16">SUMIF(stat_data_FuelType, I85, stat_data_consump)</f>
        <v>0</v>
      </c>
      <c r="K85" s="12" t="s">
        <v>255</v>
      </c>
      <c r="L85" s="336">
        <f t="shared" ref="L85:L88" si="17">HLOOKUP(I85, stat_calcs_E_deptFT, 22, FALSE)</f>
        <v>0</v>
      </c>
      <c r="M85" s="351"/>
      <c r="N85" s="351"/>
      <c r="O85" s="351"/>
      <c r="P85" s="338"/>
      <c r="Q85" s="338"/>
      <c r="R85" s="338"/>
      <c r="S85" s="338"/>
    </row>
    <row r="86" spans="1:27">
      <c r="B86" s="47" t="s">
        <v>268</v>
      </c>
      <c r="C86" s="463">
        <f t="shared" si="13"/>
        <v>0</v>
      </c>
      <c r="D86" s="463">
        <f t="shared" si="9"/>
        <v>0</v>
      </c>
      <c r="E86" s="463">
        <f t="shared" si="10"/>
        <v>0</v>
      </c>
      <c r="F86" s="333">
        <f t="shared" si="15"/>
        <v>0</v>
      </c>
      <c r="H86" s="68"/>
      <c r="I86" s="39" t="s">
        <v>268</v>
      </c>
      <c r="J86" s="774">
        <f t="shared" si="16"/>
        <v>0</v>
      </c>
      <c r="K86" s="12" t="s">
        <v>255</v>
      </c>
      <c r="L86" s="336">
        <f t="shared" si="17"/>
        <v>0</v>
      </c>
      <c r="M86" s="351"/>
      <c r="N86" s="351"/>
      <c r="O86" s="351"/>
      <c r="P86" s="338"/>
      <c r="Q86" s="338"/>
      <c r="R86" s="338"/>
      <c r="S86" s="338"/>
    </row>
    <row r="87" spans="1:27">
      <c r="B87" s="47" t="s">
        <v>269</v>
      </c>
      <c r="C87" s="463">
        <f t="shared" si="13"/>
        <v>0</v>
      </c>
      <c r="D87" s="463">
        <f t="shared" si="9"/>
        <v>0</v>
      </c>
      <c r="E87" s="463">
        <f t="shared" si="10"/>
        <v>0</v>
      </c>
      <c r="F87" s="333">
        <f t="shared" si="15"/>
        <v>0</v>
      </c>
      <c r="H87" s="68"/>
      <c r="I87" s="39" t="s">
        <v>269</v>
      </c>
      <c r="J87" s="774">
        <f t="shared" si="16"/>
        <v>0</v>
      </c>
      <c r="K87" s="12" t="s">
        <v>255</v>
      </c>
      <c r="L87" s="336">
        <f t="shared" si="17"/>
        <v>0</v>
      </c>
      <c r="M87" s="351"/>
      <c r="N87" s="351"/>
      <c r="O87" s="351"/>
      <c r="P87" s="338"/>
      <c r="Q87" s="338"/>
      <c r="R87" s="338"/>
      <c r="S87" s="338"/>
    </row>
    <row r="88" spans="1:27">
      <c r="B88" s="47" t="s">
        <v>171</v>
      </c>
      <c r="C88" s="463">
        <f t="shared" si="13"/>
        <v>0</v>
      </c>
      <c r="D88" s="463">
        <f t="shared" si="9"/>
        <v>0</v>
      </c>
      <c r="E88" s="463">
        <f t="shared" si="10"/>
        <v>0</v>
      </c>
      <c r="F88" s="333">
        <f t="shared" si="15"/>
        <v>0</v>
      </c>
      <c r="H88" s="68"/>
      <c r="I88" s="39" t="s">
        <v>171</v>
      </c>
      <c r="J88" s="774">
        <f t="shared" si="16"/>
        <v>0</v>
      </c>
      <c r="K88" s="12" t="s">
        <v>255</v>
      </c>
      <c r="L88" s="336">
        <f t="shared" si="17"/>
        <v>0</v>
      </c>
      <c r="M88" s="351"/>
      <c r="N88" s="351"/>
      <c r="O88" s="351"/>
      <c r="P88" s="338"/>
      <c r="Q88" s="338"/>
      <c r="R88" s="338"/>
      <c r="S88" s="338"/>
    </row>
    <row r="89" spans="1:27">
      <c r="B89" s="47" t="s">
        <v>270</v>
      </c>
      <c r="C89" s="463">
        <f>VLOOKUP($B89, stat_calcs_CO2byFuel, 8, FALSE)</f>
        <v>0</v>
      </c>
      <c r="D89" s="463">
        <f t="shared" si="9"/>
        <v>0</v>
      </c>
      <c r="E89" s="463">
        <f t="shared" si="10"/>
        <v>0</v>
      </c>
      <c r="F89" s="333">
        <f t="shared" ref="F89:F90" si="18">SUM(C89:E89)</f>
        <v>0</v>
      </c>
      <c r="H89" s="68"/>
      <c r="I89" s="39" t="s">
        <v>270</v>
      </c>
      <c r="J89" s="774">
        <f t="shared" si="11"/>
        <v>0</v>
      </c>
      <c r="K89" s="12" t="s">
        <v>254</v>
      </c>
      <c r="L89" s="336">
        <f t="shared" si="12"/>
        <v>0</v>
      </c>
      <c r="M89" s="351"/>
      <c r="N89" s="351"/>
      <c r="O89" s="351"/>
      <c r="P89" s="338"/>
      <c r="Q89" s="338"/>
      <c r="R89" s="338"/>
      <c r="S89" s="338"/>
    </row>
    <row r="90" spans="1:27">
      <c r="B90" s="47" t="s">
        <v>271</v>
      </c>
      <c r="C90" s="463">
        <f t="shared" si="13"/>
        <v>0</v>
      </c>
      <c r="D90" s="463">
        <f t="shared" si="9"/>
        <v>0</v>
      </c>
      <c r="E90" s="463">
        <f t="shared" si="10"/>
        <v>0</v>
      </c>
      <c r="F90" s="333">
        <f t="shared" si="18"/>
        <v>0</v>
      </c>
      <c r="H90" s="68"/>
      <c r="I90" s="39" t="s">
        <v>271</v>
      </c>
      <c r="J90" s="774">
        <f t="shared" si="11"/>
        <v>0</v>
      </c>
      <c r="K90" s="12" t="s">
        <v>254</v>
      </c>
      <c r="L90" s="336">
        <f t="shared" si="12"/>
        <v>0</v>
      </c>
      <c r="M90" s="351"/>
      <c r="N90" s="351"/>
      <c r="O90" s="351"/>
      <c r="P90" s="338"/>
      <c r="Q90" s="338"/>
      <c r="R90" s="338"/>
      <c r="S90" s="338"/>
    </row>
    <row r="91" spans="1:27" ht="29.25" customHeight="1">
      <c r="B91" s="854" t="s">
        <v>272</v>
      </c>
      <c r="C91" s="464">
        <f>SUM(C75:C90)</f>
        <v>0</v>
      </c>
      <c r="D91" s="464">
        <f>SUM(D75:D90)</f>
        <v>0</v>
      </c>
      <c r="E91" s="464">
        <f>SUM(E75:E90)</f>
        <v>0</v>
      </c>
      <c r="F91" s="858">
        <f>SUM(F75:F90)</f>
        <v>0</v>
      </c>
      <c r="H91" s="68"/>
      <c r="I91" s="1051" t="s">
        <v>273</v>
      </c>
      <c r="J91" s="1052"/>
      <c r="K91" s="1053"/>
      <c r="L91" s="859">
        <f>SUM(L75:L90)</f>
        <v>0</v>
      </c>
      <c r="M91" s="777"/>
      <c r="N91" s="777"/>
      <c r="O91" s="777"/>
      <c r="AA91" s="780">
        <f>L91-S297</f>
        <v>0</v>
      </c>
    </row>
    <row r="93" spans="1:27" ht="19.5" customHeight="1">
      <c r="A93" s="283"/>
      <c r="B93" s="56" t="s">
        <v>259</v>
      </c>
      <c r="C93" s="95"/>
      <c r="D93" s="95"/>
      <c r="W93" s="313" t="s">
        <v>260</v>
      </c>
      <c r="X93" s="310" t="b">
        <v>1</v>
      </c>
    </row>
    <row r="94" spans="1:27">
      <c r="W94" s="314" t="s">
        <v>261</v>
      </c>
      <c r="X94" s="311" t="b">
        <v>1</v>
      </c>
    </row>
    <row r="95" spans="1:27">
      <c r="W95" s="314" t="s">
        <v>262</v>
      </c>
      <c r="X95" s="311" t="b">
        <f>AND(X93:X94)</f>
        <v>1</v>
      </c>
    </row>
    <row r="96" spans="1:27" ht="15" customHeight="1">
      <c r="W96" s="315"/>
      <c r="X96" s="856" t="str">
        <f>IF(X95=TRUE, W95, IF(X93=TRUE, W93, IF(X94=TRUE, W94, "both")))</f>
        <v>both</v>
      </c>
    </row>
    <row r="97" spans="22:23" ht="15" customHeight="1">
      <c r="V97" s="318"/>
    </row>
    <row r="103" spans="22:23" ht="20.25" customHeight="1"/>
    <row r="112" spans="22:23" ht="15" thickBot="1">
      <c r="W112" s="308"/>
    </row>
    <row r="113" spans="1:23" ht="18.5">
      <c r="A113" s="117" t="s">
        <v>242</v>
      </c>
      <c r="B113" s="73"/>
      <c r="C113" s="74"/>
      <c r="D113" s="75"/>
      <c r="E113" s="76"/>
      <c r="F113" s="77"/>
      <c r="G113" s="73"/>
      <c r="H113" s="73"/>
      <c r="I113" s="73"/>
      <c r="J113" s="73"/>
      <c r="K113" s="73"/>
      <c r="L113" s="78"/>
      <c r="M113" s="78"/>
      <c r="N113" s="78"/>
      <c r="O113" s="78"/>
      <c r="P113" s="78"/>
      <c r="Q113" s="78"/>
      <c r="R113" s="78"/>
      <c r="S113" s="78"/>
      <c r="T113" s="73"/>
      <c r="U113" s="73"/>
      <c r="V113" s="319"/>
      <c r="W113" s="308"/>
    </row>
    <row r="114" spans="1:23">
      <c r="D114" s="65"/>
      <c r="E114" s="65"/>
      <c r="F114" s="65"/>
      <c r="L114" s="50"/>
      <c r="M114" s="50"/>
      <c r="N114" s="50"/>
      <c r="O114" s="50"/>
      <c r="P114" s="50"/>
      <c r="Q114" s="50"/>
      <c r="R114" s="50"/>
      <c r="S114" s="50"/>
    </row>
    <row r="115" spans="1:23" ht="16.5">
      <c r="A115" s="268" t="s">
        <v>274</v>
      </c>
    </row>
    <row r="116" spans="1:23" ht="16.5">
      <c r="A116" s="286" t="s">
        <v>275</v>
      </c>
    </row>
    <row r="117" spans="1:23" ht="16.5">
      <c r="B117" s="840"/>
      <c r="C117" s="193" t="s">
        <v>276</v>
      </c>
      <c r="D117" s="196" t="s">
        <v>168</v>
      </c>
      <c r="E117" s="122" t="s">
        <v>277</v>
      </c>
      <c r="F117" s="193" t="s">
        <v>278</v>
      </c>
      <c r="G117" s="191" t="s">
        <v>279</v>
      </c>
      <c r="H117" s="193" t="s">
        <v>280</v>
      </c>
      <c r="I117" s="192" t="s">
        <v>71</v>
      </c>
    </row>
    <row r="118" spans="1:23">
      <c r="B118" s="47" t="s">
        <v>169</v>
      </c>
      <c r="C118" s="54">
        <f t="shared" ref="C118:C133" si="19">SUMIF(stat_data_FuelType, B118, stat_data_consump)</f>
        <v>0</v>
      </c>
      <c r="D118" t="s">
        <v>63</v>
      </c>
      <c r="E118" s="58">
        <f t="shared" ref="E118:E132" si="20">VLOOKUP(B118, stat_factors, 2, FALSE)</f>
        <v>0</v>
      </c>
      <c r="F118" s="54">
        <f t="shared" ref="F118:F133" si="21">kg_mt</f>
        <v>1E-3</v>
      </c>
      <c r="G118" s="69">
        <f t="shared" ref="G118:G131" si="22">C118*E118*F118</f>
        <v>0</v>
      </c>
      <c r="H118" s="54">
        <f t="shared" ref="H118:H133" si="23">CO2_CO2e</f>
        <v>1</v>
      </c>
      <c r="I118" s="334">
        <f>G118*H118</f>
        <v>0</v>
      </c>
    </row>
    <row r="119" spans="1:23">
      <c r="B119" s="47" t="s">
        <v>172</v>
      </c>
      <c r="C119" s="54">
        <f t="shared" si="19"/>
        <v>0</v>
      </c>
      <c r="D119" t="s">
        <v>254</v>
      </c>
      <c r="E119" s="58">
        <f t="shared" si="20"/>
        <v>10.210000000000001</v>
      </c>
      <c r="F119" s="54">
        <f t="shared" si="21"/>
        <v>1E-3</v>
      </c>
      <c r="G119" s="69">
        <f t="shared" si="22"/>
        <v>0</v>
      </c>
      <c r="H119" s="54">
        <f t="shared" si="23"/>
        <v>1</v>
      </c>
      <c r="I119" s="334">
        <f t="shared" ref="I119:I127" si="24">G119*H119</f>
        <v>0</v>
      </c>
    </row>
    <row r="120" spans="1:23">
      <c r="B120" s="47" t="s">
        <v>175</v>
      </c>
      <c r="C120" s="54">
        <f t="shared" si="19"/>
        <v>0</v>
      </c>
      <c r="D120" t="s">
        <v>254</v>
      </c>
      <c r="E120" s="58">
        <f t="shared" si="20"/>
        <v>0</v>
      </c>
      <c r="F120" s="54">
        <f t="shared" si="21"/>
        <v>1E-3</v>
      </c>
      <c r="G120" s="69">
        <f t="shared" si="22"/>
        <v>0</v>
      </c>
      <c r="H120" s="54">
        <f t="shared" si="23"/>
        <v>1</v>
      </c>
      <c r="I120" s="334">
        <f t="shared" si="24"/>
        <v>0</v>
      </c>
    </row>
    <row r="121" spans="1:23">
      <c r="B121" s="47" t="s">
        <v>174</v>
      </c>
      <c r="C121" s="54">
        <f t="shared" si="19"/>
        <v>0</v>
      </c>
      <c r="D121" t="s">
        <v>254</v>
      </c>
      <c r="E121" s="58">
        <f t="shared" si="20"/>
        <v>0</v>
      </c>
      <c r="F121" s="54">
        <f t="shared" si="21"/>
        <v>1E-3</v>
      </c>
      <c r="G121" s="69">
        <f t="shared" si="22"/>
        <v>0</v>
      </c>
      <c r="H121" s="54">
        <f t="shared" si="23"/>
        <v>1</v>
      </c>
      <c r="I121" s="334">
        <f t="shared" si="24"/>
        <v>0</v>
      </c>
    </row>
    <row r="122" spans="1:23">
      <c r="B122" s="47" t="s">
        <v>178</v>
      </c>
      <c r="C122" s="54">
        <f t="shared" si="19"/>
        <v>0</v>
      </c>
      <c r="D122" t="s">
        <v>254</v>
      </c>
      <c r="E122" s="58">
        <f t="shared" si="20"/>
        <v>0</v>
      </c>
      <c r="F122" s="54">
        <f t="shared" si="21"/>
        <v>1E-3</v>
      </c>
      <c r="G122" s="69">
        <f t="shared" si="22"/>
        <v>0</v>
      </c>
      <c r="H122" s="54">
        <f t="shared" si="23"/>
        <v>1</v>
      </c>
      <c r="I122" s="334">
        <f t="shared" si="24"/>
        <v>0</v>
      </c>
    </row>
    <row r="123" spans="1:23">
      <c r="B123" s="47" t="s">
        <v>179</v>
      </c>
      <c r="C123" s="54">
        <f t="shared" si="19"/>
        <v>0</v>
      </c>
      <c r="D123" t="s">
        <v>254</v>
      </c>
      <c r="E123" s="58">
        <f t="shared" si="20"/>
        <v>6.67</v>
      </c>
      <c r="F123" s="54">
        <f t="shared" si="21"/>
        <v>1E-3</v>
      </c>
      <c r="G123" s="69">
        <f t="shared" si="22"/>
        <v>0</v>
      </c>
      <c r="H123" s="54">
        <f t="shared" si="23"/>
        <v>1</v>
      </c>
      <c r="I123" s="334">
        <f t="shared" si="24"/>
        <v>0</v>
      </c>
    </row>
    <row r="124" spans="1:23">
      <c r="B124" s="47" t="s">
        <v>176</v>
      </c>
      <c r="C124" s="54">
        <f t="shared" si="19"/>
        <v>0</v>
      </c>
      <c r="D124" t="s">
        <v>254</v>
      </c>
      <c r="E124" s="58">
        <f t="shared" si="20"/>
        <v>10.210000000000001</v>
      </c>
      <c r="F124" s="54">
        <f t="shared" si="21"/>
        <v>1E-3</v>
      </c>
      <c r="G124" s="69">
        <f t="shared" si="22"/>
        <v>0</v>
      </c>
      <c r="H124" s="54">
        <f t="shared" si="23"/>
        <v>1</v>
      </c>
      <c r="I124" s="334">
        <f t="shared" si="24"/>
        <v>0</v>
      </c>
    </row>
    <row r="125" spans="1:23">
      <c r="B125" s="47" t="s">
        <v>177</v>
      </c>
      <c r="C125" s="54">
        <f t="shared" si="19"/>
        <v>0</v>
      </c>
      <c r="D125" t="s">
        <v>254</v>
      </c>
      <c r="E125" s="58">
        <f t="shared" si="20"/>
        <v>11.27</v>
      </c>
      <c r="F125" s="54">
        <f t="shared" si="21"/>
        <v>1E-3</v>
      </c>
      <c r="G125" s="69">
        <f t="shared" si="22"/>
        <v>0</v>
      </c>
      <c r="H125" s="54">
        <f t="shared" si="23"/>
        <v>1</v>
      </c>
      <c r="I125" s="334">
        <f t="shared" si="24"/>
        <v>0</v>
      </c>
    </row>
    <row r="126" spans="1:23">
      <c r="B126" s="47" t="s">
        <v>180</v>
      </c>
      <c r="C126" s="54">
        <f t="shared" si="19"/>
        <v>0</v>
      </c>
      <c r="D126" t="s">
        <v>254</v>
      </c>
      <c r="E126" s="58">
        <f t="shared" si="20"/>
        <v>0</v>
      </c>
      <c r="F126" s="54">
        <f t="shared" si="21"/>
        <v>1E-3</v>
      </c>
      <c r="G126" s="69">
        <f t="shared" si="22"/>
        <v>0</v>
      </c>
      <c r="H126" s="54">
        <f t="shared" si="23"/>
        <v>1</v>
      </c>
      <c r="I126" s="334">
        <f t="shared" si="24"/>
        <v>0</v>
      </c>
    </row>
    <row r="127" spans="1:23">
      <c r="B127" s="47" t="s">
        <v>266</v>
      </c>
      <c r="C127" s="54">
        <f t="shared" si="19"/>
        <v>0</v>
      </c>
      <c r="D127" t="s">
        <v>255</v>
      </c>
      <c r="E127" s="58">
        <f t="shared" si="20"/>
        <v>0</v>
      </c>
      <c r="F127" s="54">
        <f t="shared" si="21"/>
        <v>1E-3</v>
      </c>
      <c r="G127" s="69">
        <f t="shared" si="22"/>
        <v>0</v>
      </c>
      <c r="H127" s="54">
        <f t="shared" si="23"/>
        <v>1</v>
      </c>
      <c r="I127" s="334">
        <f t="shared" si="24"/>
        <v>0</v>
      </c>
    </row>
    <row r="128" spans="1:23">
      <c r="B128" s="47" t="s">
        <v>267</v>
      </c>
      <c r="C128" s="54">
        <f t="shared" ref="C128:C130" si="25">SUMIF(stat_data_FuelType, B128, stat_data_consump)</f>
        <v>0</v>
      </c>
      <c r="D128" t="s">
        <v>255</v>
      </c>
      <c r="E128" s="58">
        <f t="shared" ref="E128:E130" si="26">VLOOKUP(B128, stat_factors, 2, FALSE)</f>
        <v>0</v>
      </c>
      <c r="F128" s="54">
        <f t="shared" si="21"/>
        <v>1E-3</v>
      </c>
      <c r="G128" s="69">
        <f t="shared" ref="G128:G130" si="27">C128*E128*F128</f>
        <v>0</v>
      </c>
      <c r="H128" s="54">
        <f t="shared" si="23"/>
        <v>1</v>
      </c>
      <c r="I128" s="334">
        <f t="shared" ref="I128:I130" si="28">G128*H128</f>
        <v>0</v>
      </c>
    </row>
    <row r="129" spans="1:9">
      <c r="B129" s="47" t="s">
        <v>268</v>
      </c>
      <c r="C129" s="54">
        <f t="shared" si="25"/>
        <v>0</v>
      </c>
      <c r="D129" t="s">
        <v>255</v>
      </c>
      <c r="E129" s="58">
        <f t="shared" si="26"/>
        <v>0</v>
      </c>
      <c r="F129" s="54">
        <f t="shared" si="21"/>
        <v>1E-3</v>
      </c>
      <c r="G129" s="69">
        <f t="shared" si="27"/>
        <v>0</v>
      </c>
      <c r="H129" s="54">
        <f t="shared" si="23"/>
        <v>1</v>
      </c>
      <c r="I129" s="334">
        <f t="shared" si="28"/>
        <v>0</v>
      </c>
    </row>
    <row r="130" spans="1:9">
      <c r="B130" s="47" t="s">
        <v>269</v>
      </c>
      <c r="C130" s="54">
        <f t="shared" si="25"/>
        <v>0</v>
      </c>
      <c r="D130" t="s">
        <v>255</v>
      </c>
      <c r="E130" s="58">
        <f t="shared" si="26"/>
        <v>0</v>
      </c>
      <c r="F130" s="54">
        <f t="shared" si="21"/>
        <v>1E-3</v>
      </c>
      <c r="G130" s="69">
        <f t="shared" si="27"/>
        <v>0</v>
      </c>
      <c r="H130" s="54">
        <f t="shared" si="23"/>
        <v>1</v>
      </c>
      <c r="I130" s="334">
        <f t="shared" si="28"/>
        <v>0</v>
      </c>
    </row>
    <row r="131" spans="1:9">
      <c r="B131" s="47" t="s">
        <v>171</v>
      </c>
      <c r="C131" s="54">
        <f t="shared" si="19"/>
        <v>0</v>
      </c>
      <c r="D131" t="s">
        <v>63</v>
      </c>
      <c r="E131" s="58">
        <f t="shared" si="20"/>
        <v>34.105850000000004</v>
      </c>
      <c r="F131" s="54">
        <f t="shared" si="21"/>
        <v>1E-3</v>
      </c>
      <c r="G131" s="69">
        <f t="shared" si="22"/>
        <v>0</v>
      </c>
      <c r="H131" s="54">
        <f t="shared" si="23"/>
        <v>1</v>
      </c>
      <c r="I131" s="334">
        <f>G131*H131</f>
        <v>0</v>
      </c>
    </row>
    <row r="132" spans="1:9">
      <c r="B132" s="47" t="str">
        <f>Q177</f>
        <v>Distillate Fuel Oil</v>
      </c>
      <c r="C132" s="54">
        <f t="shared" si="19"/>
        <v>0</v>
      </c>
      <c r="D132" t="s">
        <v>254</v>
      </c>
      <c r="E132" s="58">
        <f t="shared" si="20"/>
        <v>0</v>
      </c>
      <c r="F132" s="54">
        <f t="shared" si="21"/>
        <v>1E-3</v>
      </c>
      <c r="G132" s="69">
        <f t="shared" ref="G132:G133" si="29">C132*E132*F132</f>
        <v>0</v>
      </c>
      <c r="H132" s="54">
        <f t="shared" si="23"/>
        <v>1</v>
      </c>
      <c r="I132" s="334">
        <f>G132*H132</f>
        <v>0</v>
      </c>
    </row>
    <row r="133" spans="1:9">
      <c r="B133" s="48" t="str">
        <f>R177</f>
        <v>Kerosene</v>
      </c>
      <c r="C133" s="254">
        <f t="shared" si="19"/>
        <v>0</v>
      </c>
      <c r="D133" s="44" t="s">
        <v>254</v>
      </c>
      <c r="E133" s="86">
        <f>VLOOKUP(B133, stat_factors, 2, FALSE)</f>
        <v>10.15</v>
      </c>
      <c r="F133" s="67">
        <f t="shared" si="21"/>
        <v>1E-3</v>
      </c>
      <c r="G133" s="87">
        <f t="shared" si="29"/>
        <v>0</v>
      </c>
      <c r="H133" s="67">
        <f t="shared" si="23"/>
        <v>1</v>
      </c>
      <c r="I133" s="335">
        <f>G133*H133</f>
        <v>0</v>
      </c>
    </row>
    <row r="134" spans="1:9">
      <c r="D134"/>
      <c r="F134"/>
      <c r="G134" s="54"/>
      <c r="I134" s="54"/>
    </row>
    <row r="135" spans="1:9" ht="16.5">
      <c r="A135" s="268" t="s">
        <v>281</v>
      </c>
      <c r="G135" s="54"/>
    </row>
    <row r="136" spans="1:9" ht="16.5">
      <c r="A136" s="286" t="s">
        <v>282</v>
      </c>
      <c r="G136" s="54"/>
    </row>
    <row r="137" spans="1:9" ht="16.5">
      <c r="B137" s="840"/>
      <c r="C137" s="193" t="s">
        <v>276</v>
      </c>
      <c r="D137" s="198" t="s">
        <v>168</v>
      </c>
      <c r="E137" s="122" t="s">
        <v>283</v>
      </c>
      <c r="F137" s="193" t="s">
        <v>278</v>
      </c>
      <c r="G137" s="191" t="s">
        <v>284</v>
      </c>
      <c r="H137" s="193" t="s">
        <v>280</v>
      </c>
      <c r="I137" s="192" t="s">
        <v>71</v>
      </c>
    </row>
    <row r="138" spans="1:9">
      <c r="B138" s="47" t="s">
        <v>169</v>
      </c>
      <c r="C138" s="54">
        <f t="shared" ref="C138:C153" si="30">SUMIF(stat_data_FuelType, B138, stat_data_consump)</f>
        <v>0</v>
      </c>
      <c r="D138" s="12" t="s">
        <v>63</v>
      </c>
      <c r="E138" s="88">
        <f t="shared" ref="E138:E146" si="31">VLOOKUP(B138, stat_factors, 3, FALSE)</f>
        <v>0</v>
      </c>
      <c r="F138" s="54">
        <f t="shared" ref="F138:F153" si="32">kg_mt</f>
        <v>1E-3</v>
      </c>
      <c r="G138" s="90">
        <f t="shared" ref="G138:G146" si="33">C138*E138*F138</f>
        <v>0</v>
      </c>
      <c r="H138" s="54">
        <f t="shared" ref="H138:H153" si="34">CH4_CO2e</f>
        <v>28</v>
      </c>
      <c r="I138" s="334">
        <f>G138*H138</f>
        <v>0</v>
      </c>
    </row>
    <row r="139" spans="1:9">
      <c r="B139" s="47" t="s">
        <v>172</v>
      </c>
      <c r="C139" s="54">
        <f t="shared" si="30"/>
        <v>0</v>
      </c>
      <c r="D139" s="12" t="s">
        <v>254</v>
      </c>
      <c r="E139" s="88">
        <f t="shared" si="31"/>
        <v>4.1428571428571431E-4</v>
      </c>
      <c r="F139" s="54">
        <f t="shared" si="32"/>
        <v>1E-3</v>
      </c>
      <c r="G139" s="90">
        <f t="shared" si="33"/>
        <v>0</v>
      </c>
      <c r="H139" s="54">
        <f t="shared" si="34"/>
        <v>28</v>
      </c>
      <c r="I139" s="334">
        <f t="shared" ref="I139:I146" si="35">G139*H139</f>
        <v>0</v>
      </c>
    </row>
    <row r="140" spans="1:9">
      <c r="B140" s="47" t="s">
        <v>175</v>
      </c>
      <c r="C140" s="54">
        <f t="shared" si="30"/>
        <v>0</v>
      </c>
      <c r="D140" s="12" t="s">
        <v>254</v>
      </c>
      <c r="E140" s="88">
        <f t="shared" si="31"/>
        <v>0</v>
      </c>
      <c r="F140" s="54">
        <f t="shared" si="32"/>
        <v>1E-3</v>
      </c>
      <c r="G140" s="90">
        <f t="shared" si="33"/>
        <v>0</v>
      </c>
      <c r="H140" s="54">
        <f t="shared" si="34"/>
        <v>28</v>
      </c>
      <c r="I140" s="334">
        <f t="shared" si="35"/>
        <v>0</v>
      </c>
    </row>
    <row r="141" spans="1:9">
      <c r="B141" s="47" t="s">
        <v>174</v>
      </c>
      <c r="C141" s="54">
        <f t="shared" si="30"/>
        <v>0</v>
      </c>
      <c r="D141" s="12" t="s">
        <v>254</v>
      </c>
      <c r="E141" s="88">
        <f t="shared" si="31"/>
        <v>2.7599999999999999E-4</v>
      </c>
      <c r="F141" s="54">
        <f t="shared" si="32"/>
        <v>1E-3</v>
      </c>
      <c r="G141" s="90">
        <f t="shared" si="33"/>
        <v>0</v>
      </c>
      <c r="H141" s="54">
        <f t="shared" si="34"/>
        <v>28</v>
      </c>
      <c r="I141" s="334">
        <f t="shared" si="35"/>
        <v>0</v>
      </c>
    </row>
    <row r="142" spans="1:9">
      <c r="B142" s="47" t="s">
        <v>178</v>
      </c>
      <c r="C142" s="54">
        <f t="shared" si="30"/>
        <v>0</v>
      </c>
      <c r="D142" s="12" t="s">
        <v>254</v>
      </c>
      <c r="E142" s="88">
        <f t="shared" si="31"/>
        <v>2.7300000000000002E-4</v>
      </c>
      <c r="F142" s="54">
        <f t="shared" si="32"/>
        <v>1E-3</v>
      </c>
      <c r="G142" s="90">
        <f t="shared" si="33"/>
        <v>0</v>
      </c>
      <c r="H142" s="54">
        <f t="shared" si="34"/>
        <v>28</v>
      </c>
      <c r="I142" s="334">
        <f t="shared" si="35"/>
        <v>0</v>
      </c>
    </row>
    <row r="143" spans="1:9">
      <c r="B143" s="47" t="s">
        <v>179</v>
      </c>
      <c r="C143" s="54">
        <f t="shared" si="30"/>
        <v>0</v>
      </c>
      <c r="D143" s="12" t="s">
        <v>254</v>
      </c>
      <c r="E143" s="88">
        <f t="shared" si="31"/>
        <v>3.0899999999999998E-4</v>
      </c>
      <c r="F143" s="54">
        <f t="shared" si="32"/>
        <v>1E-3</v>
      </c>
      <c r="G143" s="90">
        <f t="shared" si="33"/>
        <v>0</v>
      </c>
      <c r="H143" s="54">
        <f t="shared" si="34"/>
        <v>28</v>
      </c>
      <c r="I143" s="334">
        <f t="shared" si="35"/>
        <v>0</v>
      </c>
    </row>
    <row r="144" spans="1:9">
      <c r="B144" s="47" t="s">
        <v>176</v>
      </c>
      <c r="C144" s="54">
        <f t="shared" si="30"/>
        <v>0</v>
      </c>
      <c r="D144" s="12" t="s">
        <v>254</v>
      </c>
      <c r="E144" s="88">
        <f t="shared" si="31"/>
        <v>4.2000000000000007E-4</v>
      </c>
      <c r="F144" s="54">
        <f t="shared" si="32"/>
        <v>1E-3</v>
      </c>
      <c r="G144" s="90">
        <f t="shared" si="33"/>
        <v>0</v>
      </c>
      <c r="H144" s="54">
        <f t="shared" si="34"/>
        <v>28</v>
      </c>
      <c r="I144" s="334">
        <f t="shared" si="35"/>
        <v>0</v>
      </c>
    </row>
    <row r="145" spans="1:9">
      <c r="B145" s="47" t="s">
        <v>177</v>
      </c>
      <c r="C145" s="54">
        <f t="shared" si="30"/>
        <v>0</v>
      </c>
      <c r="D145" s="12" t="s">
        <v>254</v>
      </c>
      <c r="E145" s="88">
        <f t="shared" si="31"/>
        <v>4.4999999999999999E-4</v>
      </c>
      <c r="F145" s="54">
        <f t="shared" si="32"/>
        <v>1E-3</v>
      </c>
      <c r="G145" s="90">
        <f t="shared" si="33"/>
        <v>0</v>
      </c>
      <c r="H145" s="54">
        <f t="shared" si="34"/>
        <v>28</v>
      </c>
      <c r="I145" s="334">
        <f t="shared" si="35"/>
        <v>0</v>
      </c>
    </row>
    <row r="146" spans="1:9">
      <c r="B146" s="47" t="s">
        <v>180</v>
      </c>
      <c r="C146" s="54">
        <f t="shared" si="30"/>
        <v>0</v>
      </c>
      <c r="D146" s="12" t="s">
        <v>254</v>
      </c>
      <c r="E146" s="88">
        <f t="shared" si="31"/>
        <v>4.0500000000000003E-4</v>
      </c>
      <c r="F146" s="54">
        <f t="shared" si="32"/>
        <v>1E-3</v>
      </c>
      <c r="G146" s="90">
        <f t="shared" si="33"/>
        <v>0</v>
      </c>
      <c r="H146" s="54">
        <f t="shared" si="34"/>
        <v>28</v>
      </c>
      <c r="I146" s="334">
        <f t="shared" si="35"/>
        <v>0</v>
      </c>
    </row>
    <row r="147" spans="1:9">
      <c r="B147" s="47" t="s">
        <v>266</v>
      </c>
      <c r="C147" s="54">
        <f t="shared" si="30"/>
        <v>0</v>
      </c>
      <c r="D147" s="12" t="s">
        <v>255</v>
      </c>
      <c r="E147" s="88">
        <f>VLOOKUP(B147, stat_factors, 3, FALSE)</f>
        <v>0.27422999999999997</v>
      </c>
      <c r="F147" s="54">
        <f t="shared" si="32"/>
        <v>1E-3</v>
      </c>
      <c r="G147" s="90">
        <f>C147*E147*F147</f>
        <v>0</v>
      </c>
      <c r="H147" s="54">
        <f t="shared" si="34"/>
        <v>28</v>
      </c>
      <c r="I147" s="334">
        <f>G147*H147</f>
        <v>0</v>
      </c>
    </row>
    <row r="148" spans="1:9">
      <c r="B148" s="47" t="s">
        <v>267</v>
      </c>
      <c r="C148" s="54">
        <f t="shared" ref="C148:C150" si="36">SUMIF(stat_data_FuelType, B148, stat_data_consump)</f>
        <v>0</v>
      </c>
      <c r="D148" s="12" t="s">
        <v>255</v>
      </c>
      <c r="E148" s="88">
        <f>VLOOKUP(B148, stat_factors, 3, FALSE)</f>
        <v>0.23529</v>
      </c>
      <c r="F148" s="54">
        <f t="shared" si="32"/>
        <v>1E-3</v>
      </c>
      <c r="G148" s="90">
        <f t="shared" ref="G148:G150" si="37">C148*E148*F148</f>
        <v>0</v>
      </c>
      <c r="H148" s="54">
        <f t="shared" si="34"/>
        <v>28</v>
      </c>
      <c r="I148" s="334">
        <f t="shared" ref="I148:I150" si="38">G148*H148</f>
        <v>0</v>
      </c>
    </row>
    <row r="149" spans="1:9">
      <c r="B149" s="47" t="s">
        <v>268</v>
      </c>
      <c r="C149" s="54">
        <f t="shared" si="36"/>
        <v>0</v>
      </c>
      <c r="D149" s="12" t="s">
        <v>255</v>
      </c>
      <c r="E149" s="88">
        <f>VLOOKUP(B149, stat_factors, 3, FALSE)</f>
        <v>0.24585000000000001</v>
      </c>
      <c r="F149" s="54">
        <f t="shared" si="32"/>
        <v>1E-3</v>
      </c>
      <c r="G149" s="90">
        <f t="shared" si="37"/>
        <v>0</v>
      </c>
      <c r="H149" s="54">
        <f t="shared" si="34"/>
        <v>28</v>
      </c>
      <c r="I149" s="334">
        <f t="shared" si="38"/>
        <v>0</v>
      </c>
    </row>
    <row r="150" spans="1:9">
      <c r="B150" s="47" t="s">
        <v>269</v>
      </c>
      <c r="C150" s="54">
        <f t="shared" si="36"/>
        <v>0</v>
      </c>
      <c r="D150" s="12" t="s">
        <v>255</v>
      </c>
      <c r="E150" s="88">
        <f>VLOOKUP(B150, stat_factors, 3, FALSE)</f>
        <v>0.21703</v>
      </c>
      <c r="F150" s="54">
        <f t="shared" si="32"/>
        <v>1E-3</v>
      </c>
      <c r="G150" s="90">
        <f t="shared" si="37"/>
        <v>0</v>
      </c>
      <c r="H150" s="54">
        <f t="shared" si="34"/>
        <v>28</v>
      </c>
      <c r="I150" s="334">
        <f t="shared" si="38"/>
        <v>0</v>
      </c>
    </row>
    <row r="151" spans="1:9">
      <c r="B151" s="47" t="s">
        <v>171</v>
      </c>
      <c r="C151" s="54">
        <f t="shared" si="30"/>
        <v>0</v>
      </c>
      <c r="D151" s="12" t="s">
        <v>63</v>
      </c>
      <c r="E151" s="88">
        <f t="shared" ref="E151:E153" si="39">VLOOKUP(B151, stat_factors, 3, FALSE)</f>
        <v>2.0960000000000002E-3</v>
      </c>
      <c r="F151" s="54">
        <f t="shared" si="32"/>
        <v>1E-3</v>
      </c>
      <c r="G151" s="90">
        <f t="shared" ref="G151:G153" si="40">C151*E151*F151</f>
        <v>0</v>
      </c>
      <c r="H151" s="54">
        <f t="shared" si="34"/>
        <v>28</v>
      </c>
      <c r="I151" s="334">
        <f t="shared" ref="I151:I152" si="41">G151*H151</f>
        <v>0</v>
      </c>
    </row>
    <row r="152" spans="1:9">
      <c r="B152" s="47" t="s">
        <v>270</v>
      </c>
      <c r="C152" s="54">
        <f t="shared" si="30"/>
        <v>0</v>
      </c>
      <c r="D152" s="12" t="s">
        <v>254</v>
      </c>
      <c r="E152" s="88">
        <f t="shared" si="39"/>
        <v>0</v>
      </c>
      <c r="F152" s="54">
        <f t="shared" si="32"/>
        <v>1E-3</v>
      </c>
      <c r="G152" s="90">
        <f t="shared" si="40"/>
        <v>0</v>
      </c>
      <c r="H152" s="54">
        <f t="shared" si="34"/>
        <v>28</v>
      </c>
      <c r="I152" s="334">
        <f t="shared" si="41"/>
        <v>0</v>
      </c>
    </row>
    <row r="153" spans="1:9">
      <c r="B153" s="48" t="s">
        <v>271</v>
      </c>
      <c r="C153" s="254">
        <f t="shared" si="30"/>
        <v>0</v>
      </c>
      <c r="D153" s="197" t="s">
        <v>254</v>
      </c>
      <c r="E153" s="89">
        <f t="shared" si="39"/>
        <v>4.0500000000000003E-4</v>
      </c>
      <c r="F153" s="67">
        <f t="shared" si="32"/>
        <v>1E-3</v>
      </c>
      <c r="G153" s="91">
        <f t="shared" si="40"/>
        <v>0</v>
      </c>
      <c r="H153" s="67">
        <f t="shared" si="34"/>
        <v>28</v>
      </c>
      <c r="I153" s="335">
        <f>G153*H153</f>
        <v>0</v>
      </c>
    </row>
    <row r="154" spans="1:9">
      <c r="B154" s="40"/>
      <c r="G154" s="54"/>
    </row>
    <row r="155" spans="1:9" ht="16.5">
      <c r="A155" s="268" t="s">
        <v>285</v>
      </c>
      <c r="G155" s="54"/>
    </row>
    <row r="156" spans="1:9" ht="16.5">
      <c r="A156" s="286" t="s">
        <v>286</v>
      </c>
      <c r="G156" s="54"/>
    </row>
    <row r="157" spans="1:9" ht="18" customHeight="1">
      <c r="B157" s="860"/>
      <c r="C157" s="193" t="s">
        <v>276</v>
      </c>
      <c r="D157" s="198" t="s">
        <v>168</v>
      </c>
      <c r="E157" s="122" t="s">
        <v>287</v>
      </c>
      <c r="F157" s="193" t="s">
        <v>278</v>
      </c>
      <c r="G157" s="191" t="s">
        <v>288</v>
      </c>
      <c r="H157" s="193" t="s">
        <v>280</v>
      </c>
      <c r="I157" s="192" t="s">
        <v>71</v>
      </c>
    </row>
    <row r="158" spans="1:9">
      <c r="B158" s="47" t="s">
        <v>169</v>
      </c>
      <c r="C158" s="54">
        <f t="shared" ref="C158:C173" si="42">SUMIF(stat_data_FuelType, B158, stat_data_consump)</f>
        <v>0</v>
      </c>
      <c r="D158" s="12" t="s">
        <v>63</v>
      </c>
      <c r="E158" s="88">
        <f t="shared" ref="E158:E171" si="43">VLOOKUP(B158, stat_factors, 4, FALSE)</f>
        <v>0</v>
      </c>
      <c r="F158" s="54">
        <f t="shared" ref="F158:F173" si="44">kg_mt</f>
        <v>1E-3</v>
      </c>
      <c r="G158" s="573">
        <f t="shared" ref="G158:G171" si="45">C158*E158*F158</f>
        <v>0</v>
      </c>
      <c r="H158" s="54">
        <f t="shared" ref="H158:H173" si="46">N2O_CO2e</f>
        <v>265</v>
      </c>
      <c r="I158" s="334">
        <f>G158*H158</f>
        <v>0</v>
      </c>
    </row>
    <row r="159" spans="1:9">
      <c r="B159" s="47" t="s">
        <v>172</v>
      </c>
      <c r="C159" s="54">
        <f t="shared" si="42"/>
        <v>0</v>
      </c>
      <c r="D159" s="12" t="s">
        <v>254</v>
      </c>
      <c r="E159" s="88">
        <f t="shared" si="43"/>
        <v>8.285714285714286E-5</v>
      </c>
      <c r="F159" s="54">
        <f t="shared" si="44"/>
        <v>1E-3</v>
      </c>
      <c r="G159" s="93">
        <f t="shared" si="45"/>
        <v>0</v>
      </c>
      <c r="H159" s="54">
        <f t="shared" si="46"/>
        <v>265</v>
      </c>
      <c r="I159" s="334">
        <f t="shared" ref="I159:I170" si="47">G159*H159</f>
        <v>0</v>
      </c>
    </row>
    <row r="160" spans="1:9">
      <c r="B160" s="47" t="s">
        <v>175</v>
      </c>
      <c r="C160" s="54">
        <f t="shared" si="42"/>
        <v>0</v>
      </c>
      <c r="D160" s="12" t="s">
        <v>254</v>
      </c>
      <c r="E160" s="88">
        <f t="shared" si="43"/>
        <v>0</v>
      </c>
      <c r="F160" s="54">
        <f t="shared" si="44"/>
        <v>1E-3</v>
      </c>
      <c r="G160" s="93">
        <f t="shared" si="45"/>
        <v>0</v>
      </c>
      <c r="H160" s="54">
        <f t="shared" si="46"/>
        <v>265</v>
      </c>
      <c r="I160" s="334">
        <f t="shared" si="47"/>
        <v>0</v>
      </c>
    </row>
    <row r="161" spans="1:9">
      <c r="B161" s="47" t="s">
        <v>174</v>
      </c>
      <c r="C161" s="54">
        <f t="shared" si="42"/>
        <v>0</v>
      </c>
      <c r="D161" s="12" t="s">
        <v>254</v>
      </c>
      <c r="E161" s="88">
        <f t="shared" si="43"/>
        <v>5.5199999999999993E-5</v>
      </c>
      <c r="F161" s="54">
        <f t="shared" si="44"/>
        <v>1E-3</v>
      </c>
      <c r="G161" s="93">
        <f t="shared" si="45"/>
        <v>0</v>
      </c>
      <c r="H161" s="54">
        <f t="shared" si="46"/>
        <v>265</v>
      </c>
      <c r="I161" s="334">
        <f>G161*H161</f>
        <v>0</v>
      </c>
    </row>
    <row r="162" spans="1:9">
      <c r="B162" s="47" t="s">
        <v>178</v>
      </c>
      <c r="C162" s="54">
        <f t="shared" si="42"/>
        <v>0</v>
      </c>
      <c r="D162" s="12" t="s">
        <v>254</v>
      </c>
      <c r="E162" s="88">
        <f t="shared" si="43"/>
        <v>5.4599999999999992E-5</v>
      </c>
      <c r="F162" s="54">
        <f t="shared" si="44"/>
        <v>1E-3</v>
      </c>
      <c r="G162" s="93">
        <f t="shared" si="45"/>
        <v>0</v>
      </c>
      <c r="H162" s="54">
        <f t="shared" si="46"/>
        <v>265</v>
      </c>
      <c r="I162" s="334">
        <f t="shared" si="47"/>
        <v>0</v>
      </c>
    </row>
    <row r="163" spans="1:9">
      <c r="B163" s="47" t="s">
        <v>179</v>
      </c>
      <c r="C163" s="54">
        <f t="shared" si="42"/>
        <v>0</v>
      </c>
      <c r="D163" s="12" t="s">
        <v>254</v>
      </c>
      <c r="E163" s="88">
        <f t="shared" si="43"/>
        <v>6.1799999999999998E-5</v>
      </c>
      <c r="F163" s="54">
        <f t="shared" si="44"/>
        <v>1E-3</v>
      </c>
      <c r="G163" s="93">
        <f t="shared" si="45"/>
        <v>0</v>
      </c>
      <c r="H163" s="54">
        <f t="shared" si="46"/>
        <v>265</v>
      </c>
      <c r="I163" s="334">
        <f t="shared" si="47"/>
        <v>0</v>
      </c>
    </row>
    <row r="164" spans="1:9">
      <c r="B164" s="47" t="s">
        <v>176</v>
      </c>
      <c r="C164" s="54">
        <f t="shared" si="42"/>
        <v>0</v>
      </c>
      <c r="D164" s="12" t="s">
        <v>254</v>
      </c>
      <c r="E164" s="88">
        <f t="shared" si="43"/>
        <v>8.3999999999999995E-5</v>
      </c>
      <c r="F164" s="54">
        <f t="shared" si="44"/>
        <v>1E-3</v>
      </c>
      <c r="G164" s="93">
        <f t="shared" si="45"/>
        <v>0</v>
      </c>
      <c r="H164" s="54">
        <f t="shared" si="46"/>
        <v>265</v>
      </c>
      <c r="I164" s="334">
        <f t="shared" si="47"/>
        <v>0</v>
      </c>
    </row>
    <row r="165" spans="1:9">
      <c r="B165" s="47" t="s">
        <v>177</v>
      </c>
      <c r="C165" s="54">
        <f t="shared" si="42"/>
        <v>0</v>
      </c>
      <c r="D165" s="12" t="s">
        <v>254</v>
      </c>
      <c r="E165" s="88">
        <f t="shared" si="43"/>
        <v>8.9999999999999992E-5</v>
      </c>
      <c r="F165" s="54">
        <f t="shared" si="44"/>
        <v>1E-3</v>
      </c>
      <c r="G165" s="93">
        <f t="shared" si="45"/>
        <v>0</v>
      </c>
      <c r="H165" s="54">
        <f t="shared" si="46"/>
        <v>265</v>
      </c>
      <c r="I165" s="334">
        <f t="shared" si="47"/>
        <v>0</v>
      </c>
    </row>
    <row r="166" spans="1:9">
      <c r="B166" s="47" t="s">
        <v>180</v>
      </c>
      <c r="C166" s="54">
        <f t="shared" si="42"/>
        <v>0</v>
      </c>
      <c r="D166" s="12" t="s">
        <v>254</v>
      </c>
      <c r="E166" s="88">
        <f t="shared" si="43"/>
        <v>8.1000000000000004E-5</v>
      </c>
      <c r="F166" s="54">
        <f t="shared" si="44"/>
        <v>1E-3</v>
      </c>
      <c r="G166" s="93">
        <f t="shared" si="45"/>
        <v>0</v>
      </c>
      <c r="H166" s="54">
        <f t="shared" si="46"/>
        <v>265</v>
      </c>
      <c r="I166" s="334">
        <f t="shared" si="47"/>
        <v>0</v>
      </c>
    </row>
    <row r="167" spans="1:9">
      <c r="B167" s="47" t="s">
        <v>266</v>
      </c>
      <c r="C167" s="54">
        <f t="shared" si="42"/>
        <v>0</v>
      </c>
      <c r="D167" s="12" t="s">
        <v>255</v>
      </c>
      <c r="E167" s="88">
        <f t="shared" si="43"/>
        <v>3.9888E-2</v>
      </c>
      <c r="F167" s="54">
        <f t="shared" si="44"/>
        <v>1E-3</v>
      </c>
      <c r="G167" s="93">
        <f t="shared" si="45"/>
        <v>0</v>
      </c>
      <c r="H167" s="54">
        <f t="shared" si="46"/>
        <v>265</v>
      </c>
      <c r="I167" s="334">
        <f t="shared" si="47"/>
        <v>0</v>
      </c>
    </row>
    <row r="168" spans="1:9">
      <c r="B168" s="47" t="s">
        <v>267</v>
      </c>
      <c r="C168" s="54">
        <f t="shared" ref="C168:C170" si="48">SUMIF(stat_data_FuelType, B168, stat_data_consump)</f>
        <v>0</v>
      </c>
      <c r="D168" s="12" t="s">
        <v>255</v>
      </c>
      <c r="E168" s="88">
        <f t="shared" ref="E168:E170" si="49">VLOOKUP(B168, stat_factors, 4, FALSE)</f>
        <v>3.4224000000000004E-2</v>
      </c>
      <c r="F168" s="54">
        <f t="shared" si="44"/>
        <v>1E-3</v>
      </c>
      <c r="G168" s="93">
        <f t="shared" ref="G168:G170" si="50">C168*E168*F168</f>
        <v>0</v>
      </c>
      <c r="H168" s="54">
        <f t="shared" si="46"/>
        <v>265</v>
      </c>
      <c r="I168" s="334">
        <f t="shared" si="47"/>
        <v>0</v>
      </c>
    </row>
    <row r="169" spans="1:9">
      <c r="B169" s="47" t="s">
        <v>268</v>
      </c>
      <c r="C169" s="54">
        <f t="shared" si="48"/>
        <v>0</v>
      </c>
      <c r="D169" s="12" t="s">
        <v>255</v>
      </c>
      <c r="E169" s="88">
        <f t="shared" si="49"/>
        <v>3.5760000000000007E-2</v>
      </c>
      <c r="F169" s="54">
        <f t="shared" si="44"/>
        <v>1E-3</v>
      </c>
      <c r="G169" s="93">
        <f t="shared" si="50"/>
        <v>0</v>
      </c>
      <c r="H169" s="54">
        <f t="shared" si="46"/>
        <v>265</v>
      </c>
      <c r="I169" s="334">
        <f t="shared" si="47"/>
        <v>0</v>
      </c>
    </row>
    <row r="170" spans="1:9">
      <c r="B170" s="47" t="s">
        <v>269</v>
      </c>
      <c r="C170" s="54">
        <f t="shared" si="48"/>
        <v>0</v>
      </c>
      <c r="D170" s="12" t="s">
        <v>255</v>
      </c>
      <c r="E170" s="88">
        <f t="shared" si="49"/>
        <v>3.1567999999999999E-2</v>
      </c>
      <c r="F170" s="54">
        <f t="shared" si="44"/>
        <v>1E-3</v>
      </c>
      <c r="G170" s="93">
        <f t="shared" si="50"/>
        <v>0</v>
      </c>
      <c r="H170" s="54">
        <f t="shared" si="46"/>
        <v>265</v>
      </c>
      <c r="I170" s="334">
        <f t="shared" si="47"/>
        <v>0</v>
      </c>
    </row>
    <row r="171" spans="1:9">
      <c r="B171" s="47" t="s">
        <v>171</v>
      </c>
      <c r="C171" s="54">
        <f t="shared" si="42"/>
        <v>0</v>
      </c>
      <c r="D171" s="12" t="s">
        <v>63</v>
      </c>
      <c r="E171" s="88">
        <f t="shared" si="43"/>
        <v>4.1265000000000003E-4</v>
      </c>
      <c r="F171" s="54">
        <f t="shared" si="44"/>
        <v>1E-3</v>
      </c>
      <c r="G171" s="93">
        <f t="shared" si="45"/>
        <v>0</v>
      </c>
      <c r="H171" s="54">
        <f t="shared" si="46"/>
        <v>265</v>
      </c>
      <c r="I171" s="334">
        <f>G171*H171</f>
        <v>0</v>
      </c>
    </row>
    <row r="172" spans="1:9">
      <c r="B172" s="47" t="s">
        <v>270</v>
      </c>
      <c r="C172" s="54">
        <f t="shared" si="42"/>
        <v>0</v>
      </c>
      <c r="D172" s="12" t="s">
        <v>254</v>
      </c>
      <c r="E172" s="88">
        <f t="shared" ref="E172" si="51">VLOOKUP(B172, stat_factors, 4, FALSE)</f>
        <v>0</v>
      </c>
      <c r="F172" s="54">
        <f t="shared" si="44"/>
        <v>1E-3</v>
      </c>
      <c r="G172" s="93">
        <f t="shared" ref="G172:G173" si="52">C172*E172*F172</f>
        <v>0</v>
      </c>
      <c r="H172" s="54">
        <f t="shared" si="46"/>
        <v>265</v>
      </c>
      <c r="I172" s="334">
        <f t="shared" ref="I172" si="53">G172*H172</f>
        <v>0</v>
      </c>
    </row>
    <row r="173" spans="1:9">
      <c r="B173" s="48" t="s">
        <v>271</v>
      </c>
      <c r="C173" s="254">
        <f t="shared" si="42"/>
        <v>0</v>
      </c>
      <c r="D173" s="197" t="s">
        <v>254</v>
      </c>
      <c r="E173" s="89">
        <f>VLOOKUP(B173, stat_factors, 4, FALSE)</f>
        <v>8.1000000000000004E-5</v>
      </c>
      <c r="F173" s="67">
        <f t="shared" si="44"/>
        <v>1E-3</v>
      </c>
      <c r="G173" s="94">
        <f t="shared" si="52"/>
        <v>0</v>
      </c>
      <c r="H173" s="67">
        <f t="shared" si="46"/>
        <v>265</v>
      </c>
      <c r="I173" s="335">
        <f>G173*H173</f>
        <v>0</v>
      </c>
    </row>
    <row r="174" spans="1:9">
      <c r="I174" s="782"/>
    </row>
    <row r="175" spans="1:9">
      <c r="A175" s="268" t="s">
        <v>289</v>
      </c>
    </row>
    <row r="176" spans="1:9">
      <c r="A176" s="286" t="s">
        <v>290</v>
      </c>
    </row>
    <row r="177" spans="1:21" ht="46.5" customHeight="1">
      <c r="B177" s="861"/>
      <c r="C177" s="101" t="str">
        <f t="array" ref="C177:L177">TRANSPOSE($B$158:$B$167)</f>
        <v>Natural Gas</v>
      </c>
      <c r="D177" s="101" t="str">
        <v>Diesel</v>
      </c>
      <c r="E177" s="101" t="str">
        <v>Gasoline</v>
      </c>
      <c r="F177" s="101" t="str">
        <v>LPG</v>
      </c>
      <c r="G177" s="101" t="str">
        <v>Propane</v>
      </c>
      <c r="H177" s="101" t="str">
        <v>Butane</v>
      </c>
      <c r="I177" s="101" t="str">
        <v>Residual Fuel Oil No. 5</v>
      </c>
      <c r="J177" s="101" t="str">
        <v>Residual Fuel Oil No. 6</v>
      </c>
      <c r="K177" s="101" t="str">
        <v>Jet Fuel</v>
      </c>
      <c r="L177" s="101" t="str">
        <v>Residential Coal</v>
      </c>
      <c r="M177" s="101" t="str">
        <f>B168</f>
        <v>Commercial Coal</v>
      </c>
      <c r="N177" s="101" t="s">
        <v>268</v>
      </c>
      <c r="O177" s="101" t="s">
        <v>269</v>
      </c>
      <c r="P177" s="101" t="s">
        <v>171</v>
      </c>
      <c r="Q177" s="101" t="s">
        <v>270</v>
      </c>
      <c r="R177" s="102" t="s">
        <v>271</v>
      </c>
      <c r="S177" s="96" t="s">
        <v>291</v>
      </c>
      <c r="T177" s="96" t="s">
        <v>292</v>
      </c>
      <c r="U177" s="103" t="s">
        <v>293</v>
      </c>
    </row>
    <row r="178" spans="1:21">
      <c r="A178" s="284" t="s">
        <v>101</v>
      </c>
      <c r="B178" s="99" t="str">
        <f t="shared" ref="B178:B197" si="54">B23</f>
        <v>Residential</v>
      </c>
      <c r="C178" s="137">
        <f t="shared" ref="C178:R189" si="55">SUMIFS(stat_data_consump, stat_data_dept, $B178, stat_data_FuelType, C$177)</f>
        <v>0</v>
      </c>
      <c r="D178" s="137">
        <f t="shared" si="55"/>
        <v>0</v>
      </c>
      <c r="E178" s="137">
        <f t="shared" si="55"/>
        <v>0</v>
      </c>
      <c r="F178" s="137">
        <f t="shared" si="55"/>
        <v>0</v>
      </c>
      <c r="G178" s="137">
        <f t="shared" si="55"/>
        <v>0</v>
      </c>
      <c r="H178" s="137">
        <f t="shared" si="55"/>
        <v>0</v>
      </c>
      <c r="I178" s="137">
        <f t="shared" si="55"/>
        <v>0</v>
      </c>
      <c r="J178" s="137">
        <f t="shared" si="55"/>
        <v>0</v>
      </c>
      <c r="K178" s="137">
        <f t="shared" si="55"/>
        <v>0</v>
      </c>
      <c r="L178" s="137">
        <f t="shared" si="55"/>
        <v>0</v>
      </c>
      <c r="M178" s="137">
        <f t="shared" si="55"/>
        <v>0</v>
      </c>
      <c r="N178" s="137">
        <f t="shared" si="55"/>
        <v>0</v>
      </c>
      <c r="O178" s="137">
        <f t="shared" si="55"/>
        <v>0</v>
      </c>
      <c r="P178" s="137">
        <f t="shared" si="55"/>
        <v>0</v>
      </c>
      <c r="Q178" s="137">
        <f t="shared" si="55"/>
        <v>0</v>
      </c>
      <c r="R178" s="771">
        <f t="shared" si="55"/>
        <v>0</v>
      </c>
      <c r="S178" s="463">
        <f>SUM(C178,P178)</f>
        <v>0</v>
      </c>
      <c r="T178" s="463">
        <f>SUM(D178:K178,Q178:R178)</f>
        <v>0</v>
      </c>
      <c r="U178" s="567">
        <f>SUM(L178:O178)</f>
        <v>0</v>
      </c>
    </row>
    <row r="179" spans="1:21">
      <c r="B179" s="99" t="str">
        <f t="shared" si="54"/>
        <v>Commercial/Institutional</v>
      </c>
      <c r="C179" s="137">
        <f t="shared" si="55"/>
        <v>0</v>
      </c>
      <c r="D179" s="137">
        <f t="shared" si="55"/>
        <v>0</v>
      </c>
      <c r="E179" s="137">
        <f t="shared" si="55"/>
        <v>0</v>
      </c>
      <c r="F179" s="137">
        <f t="shared" si="55"/>
        <v>0</v>
      </c>
      <c r="G179" s="137">
        <f t="shared" si="55"/>
        <v>0</v>
      </c>
      <c r="H179" s="137">
        <f t="shared" si="55"/>
        <v>0</v>
      </c>
      <c r="I179" s="137">
        <f t="shared" si="55"/>
        <v>0</v>
      </c>
      <c r="J179" s="137">
        <f t="shared" si="55"/>
        <v>0</v>
      </c>
      <c r="K179" s="137">
        <f t="shared" si="55"/>
        <v>0</v>
      </c>
      <c r="L179" s="137">
        <f t="shared" si="55"/>
        <v>0</v>
      </c>
      <c r="M179" s="137">
        <f t="shared" si="55"/>
        <v>0</v>
      </c>
      <c r="N179" s="137">
        <f t="shared" si="55"/>
        <v>0</v>
      </c>
      <c r="O179" s="137">
        <f t="shared" si="55"/>
        <v>0</v>
      </c>
      <c r="P179" s="137">
        <f t="shared" si="55"/>
        <v>0</v>
      </c>
      <c r="Q179" s="137">
        <f t="shared" si="55"/>
        <v>0</v>
      </c>
      <c r="R179" s="681">
        <f t="shared" si="55"/>
        <v>0</v>
      </c>
      <c r="S179" s="463">
        <f t="shared" ref="S179:S197" si="56">SUM(C179,P179)</f>
        <v>0</v>
      </c>
      <c r="T179" s="463">
        <f t="shared" ref="T179:T197" si="57">SUM(D179:K179,Q179:R179)</f>
        <v>0</v>
      </c>
      <c r="U179" s="567">
        <f t="shared" ref="U179:U197" si="58">SUM(L179:O179)</f>
        <v>0</v>
      </c>
    </row>
    <row r="180" spans="1:21">
      <c r="B180" s="99" t="str">
        <f t="shared" si="54"/>
        <v>Industrial</v>
      </c>
      <c r="C180" s="137">
        <f t="shared" si="55"/>
        <v>0</v>
      </c>
      <c r="D180" s="137">
        <f t="shared" si="55"/>
        <v>0</v>
      </c>
      <c r="E180" s="137">
        <f t="shared" si="55"/>
        <v>0</v>
      </c>
      <c r="F180" s="137">
        <f t="shared" si="55"/>
        <v>0</v>
      </c>
      <c r="G180" s="137">
        <f t="shared" si="55"/>
        <v>0</v>
      </c>
      <c r="H180" s="137">
        <f t="shared" si="55"/>
        <v>0</v>
      </c>
      <c r="I180" s="137">
        <f t="shared" si="55"/>
        <v>0</v>
      </c>
      <c r="J180" s="137">
        <f t="shared" si="55"/>
        <v>0</v>
      </c>
      <c r="K180" s="137">
        <f t="shared" si="55"/>
        <v>0</v>
      </c>
      <c r="L180" s="137">
        <f t="shared" si="55"/>
        <v>0</v>
      </c>
      <c r="M180" s="137">
        <f t="shared" si="55"/>
        <v>0</v>
      </c>
      <c r="N180" s="137">
        <f t="shared" si="55"/>
        <v>0</v>
      </c>
      <c r="O180" s="137">
        <f t="shared" si="55"/>
        <v>0</v>
      </c>
      <c r="P180" s="137">
        <f t="shared" si="55"/>
        <v>0</v>
      </c>
      <c r="Q180" s="137">
        <f t="shared" si="55"/>
        <v>0</v>
      </c>
      <c r="R180" s="681">
        <f t="shared" si="55"/>
        <v>0</v>
      </c>
      <c r="S180" s="463">
        <f t="shared" si="56"/>
        <v>0</v>
      </c>
      <c r="T180" s="463">
        <f t="shared" si="57"/>
        <v>0</v>
      </c>
      <c r="U180" s="567">
        <f t="shared" si="58"/>
        <v>0</v>
      </c>
    </row>
    <row r="181" spans="1:21">
      <c r="B181" s="99" t="str">
        <f t="shared" si="54"/>
        <v>Energy Generation</v>
      </c>
      <c r="C181" s="137">
        <f t="shared" si="55"/>
        <v>0</v>
      </c>
      <c r="D181" s="137">
        <f t="shared" si="55"/>
        <v>0</v>
      </c>
      <c r="E181" s="137">
        <f t="shared" si="55"/>
        <v>0</v>
      </c>
      <c r="F181" s="137">
        <f t="shared" si="55"/>
        <v>0</v>
      </c>
      <c r="G181" s="137">
        <f t="shared" si="55"/>
        <v>0</v>
      </c>
      <c r="H181" s="137">
        <f t="shared" si="55"/>
        <v>0</v>
      </c>
      <c r="I181" s="137">
        <f t="shared" si="55"/>
        <v>0</v>
      </c>
      <c r="J181" s="137">
        <f t="shared" si="55"/>
        <v>0</v>
      </c>
      <c r="K181" s="137">
        <f t="shared" si="55"/>
        <v>0</v>
      </c>
      <c r="L181" s="137">
        <f t="shared" si="55"/>
        <v>0</v>
      </c>
      <c r="M181" s="137">
        <f t="shared" si="55"/>
        <v>0</v>
      </c>
      <c r="N181" s="137">
        <f t="shared" si="55"/>
        <v>0</v>
      </c>
      <c r="O181" s="137">
        <f t="shared" si="55"/>
        <v>0</v>
      </c>
      <c r="P181" s="137">
        <f t="shared" si="55"/>
        <v>0</v>
      </c>
      <c r="Q181" s="137">
        <f t="shared" si="55"/>
        <v>0</v>
      </c>
      <c r="R181" s="681">
        <f t="shared" si="55"/>
        <v>0</v>
      </c>
      <c r="S181" s="463">
        <f t="shared" si="56"/>
        <v>0</v>
      </c>
      <c r="T181" s="463">
        <f t="shared" si="57"/>
        <v>0</v>
      </c>
      <c r="U181" s="567">
        <f t="shared" si="58"/>
        <v>0</v>
      </c>
    </row>
    <row r="182" spans="1:21" hidden="1">
      <c r="B182" s="99">
        <f t="shared" si="54"/>
        <v>0</v>
      </c>
      <c r="C182" s="137">
        <f t="shared" si="55"/>
        <v>0</v>
      </c>
      <c r="D182" s="137">
        <f t="shared" si="55"/>
        <v>0</v>
      </c>
      <c r="E182" s="137">
        <f t="shared" si="55"/>
        <v>0</v>
      </c>
      <c r="F182" s="137">
        <f t="shared" si="55"/>
        <v>0</v>
      </c>
      <c r="G182" s="137">
        <f t="shared" si="55"/>
        <v>0</v>
      </c>
      <c r="H182" s="137">
        <f t="shared" si="55"/>
        <v>0</v>
      </c>
      <c r="I182" s="137">
        <f t="shared" si="55"/>
        <v>0</v>
      </c>
      <c r="J182" s="137">
        <f t="shared" si="55"/>
        <v>0</v>
      </c>
      <c r="K182" s="137">
        <f t="shared" si="55"/>
        <v>0</v>
      </c>
      <c r="L182" s="137">
        <f t="shared" si="55"/>
        <v>0</v>
      </c>
      <c r="M182" s="137">
        <f t="shared" si="55"/>
        <v>0</v>
      </c>
      <c r="N182" s="137">
        <f t="shared" si="55"/>
        <v>0</v>
      </c>
      <c r="O182" s="137">
        <f t="shared" si="55"/>
        <v>0</v>
      </c>
      <c r="P182" s="137">
        <f t="shared" si="55"/>
        <v>0</v>
      </c>
      <c r="Q182" s="137">
        <f t="shared" si="55"/>
        <v>0</v>
      </c>
      <c r="R182" s="681">
        <f t="shared" si="55"/>
        <v>0</v>
      </c>
      <c r="S182" s="463">
        <f t="shared" si="56"/>
        <v>0</v>
      </c>
      <c r="T182" s="463">
        <f>SUM(D182:K182,Q182:R182)</f>
        <v>0</v>
      </c>
      <c r="U182" s="567">
        <f t="shared" si="58"/>
        <v>0</v>
      </c>
    </row>
    <row r="183" spans="1:21" hidden="1">
      <c r="B183" s="99">
        <f t="shared" si="54"/>
        <v>0</v>
      </c>
      <c r="C183" s="137">
        <f t="shared" si="55"/>
        <v>0</v>
      </c>
      <c r="D183" s="137">
        <f t="shared" si="55"/>
        <v>0</v>
      </c>
      <c r="E183" s="137">
        <f t="shared" si="55"/>
        <v>0</v>
      </c>
      <c r="F183" s="137">
        <f t="shared" si="55"/>
        <v>0</v>
      </c>
      <c r="G183" s="137">
        <f t="shared" si="55"/>
        <v>0</v>
      </c>
      <c r="H183" s="137">
        <f t="shared" si="55"/>
        <v>0</v>
      </c>
      <c r="I183" s="137">
        <f t="shared" si="55"/>
        <v>0</v>
      </c>
      <c r="J183" s="137">
        <f t="shared" si="55"/>
        <v>0</v>
      </c>
      <c r="K183" s="137">
        <f t="shared" si="55"/>
        <v>0</v>
      </c>
      <c r="L183" s="137">
        <f t="shared" si="55"/>
        <v>0</v>
      </c>
      <c r="M183" s="137">
        <f t="shared" si="55"/>
        <v>0</v>
      </c>
      <c r="N183" s="137">
        <f t="shared" si="55"/>
        <v>0</v>
      </c>
      <c r="O183" s="137">
        <f t="shared" si="55"/>
        <v>0</v>
      </c>
      <c r="P183" s="137">
        <f t="shared" si="55"/>
        <v>0</v>
      </c>
      <c r="Q183" s="137">
        <f t="shared" si="55"/>
        <v>0</v>
      </c>
      <c r="R183" s="681">
        <f t="shared" si="55"/>
        <v>0</v>
      </c>
      <c r="S183" s="463">
        <f t="shared" si="56"/>
        <v>0</v>
      </c>
      <c r="T183" s="463">
        <f t="shared" si="57"/>
        <v>0</v>
      </c>
      <c r="U183" s="567">
        <f t="shared" si="58"/>
        <v>0</v>
      </c>
    </row>
    <row r="184" spans="1:21" hidden="1">
      <c r="B184" s="99">
        <f t="shared" si="54"/>
        <v>0</v>
      </c>
      <c r="C184" s="137">
        <f t="shared" si="55"/>
        <v>0</v>
      </c>
      <c r="D184" s="137">
        <f t="shared" si="55"/>
        <v>0</v>
      </c>
      <c r="E184" s="137">
        <f t="shared" si="55"/>
        <v>0</v>
      </c>
      <c r="F184" s="137">
        <f t="shared" si="55"/>
        <v>0</v>
      </c>
      <c r="G184" s="137">
        <f t="shared" si="55"/>
        <v>0</v>
      </c>
      <c r="H184" s="137">
        <f t="shared" si="55"/>
        <v>0</v>
      </c>
      <c r="I184" s="137">
        <f t="shared" si="55"/>
        <v>0</v>
      </c>
      <c r="J184" s="137">
        <f t="shared" si="55"/>
        <v>0</v>
      </c>
      <c r="K184" s="137">
        <f t="shared" si="55"/>
        <v>0</v>
      </c>
      <c r="L184" s="137">
        <f t="shared" si="55"/>
        <v>0</v>
      </c>
      <c r="M184" s="137">
        <f t="shared" si="55"/>
        <v>0</v>
      </c>
      <c r="N184" s="137">
        <f t="shared" si="55"/>
        <v>0</v>
      </c>
      <c r="O184" s="137">
        <f t="shared" si="55"/>
        <v>0</v>
      </c>
      <c r="P184" s="137">
        <f t="shared" si="55"/>
        <v>0</v>
      </c>
      <c r="Q184" s="137">
        <f t="shared" si="55"/>
        <v>0</v>
      </c>
      <c r="R184" s="681">
        <f t="shared" si="55"/>
        <v>0</v>
      </c>
      <c r="S184" s="463">
        <f t="shared" si="56"/>
        <v>0</v>
      </c>
      <c r="T184" s="463">
        <f t="shared" si="57"/>
        <v>0</v>
      </c>
      <c r="U184" s="567">
        <f t="shared" si="58"/>
        <v>0</v>
      </c>
    </row>
    <row r="185" spans="1:21" hidden="1">
      <c r="B185" s="99">
        <f t="shared" si="54"/>
        <v>0</v>
      </c>
      <c r="C185" s="137">
        <f t="shared" si="55"/>
        <v>0</v>
      </c>
      <c r="D185" s="137">
        <f t="shared" si="55"/>
        <v>0</v>
      </c>
      <c r="E185" s="137">
        <f t="shared" si="55"/>
        <v>0</v>
      </c>
      <c r="F185" s="137">
        <f t="shared" si="55"/>
        <v>0</v>
      </c>
      <c r="G185" s="137">
        <f t="shared" si="55"/>
        <v>0</v>
      </c>
      <c r="H185" s="137">
        <f t="shared" si="55"/>
        <v>0</v>
      </c>
      <c r="I185" s="137">
        <f t="shared" si="55"/>
        <v>0</v>
      </c>
      <c r="J185" s="137">
        <f t="shared" si="55"/>
        <v>0</v>
      </c>
      <c r="K185" s="137">
        <f t="shared" si="55"/>
        <v>0</v>
      </c>
      <c r="L185" s="137">
        <f t="shared" si="55"/>
        <v>0</v>
      </c>
      <c r="M185" s="137">
        <f t="shared" si="55"/>
        <v>0</v>
      </c>
      <c r="N185" s="137">
        <f t="shared" si="55"/>
        <v>0</v>
      </c>
      <c r="O185" s="137">
        <f t="shared" si="55"/>
        <v>0</v>
      </c>
      <c r="P185" s="137">
        <f t="shared" si="55"/>
        <v>0</v>
      </c>
      <c r="Q185" s="137">
        <f t="shared" si="55"/>
        <v>0</v>
      </c>
      <c r="R185" s="681">
        <f t="shared" si="55"/>
        <v>0</v>
      </c>
      <c r="S185" s="463">
        <f t="shared" si="56"/>
        <v>0</v>
      </c>
      <c r="T185" s="463">
        <f t="shared" si="57"/>
        <v>0</v>
      </c>
      <c r="U185" s="567">
        <f t="shared" si="58"/>
        <v>0</v>
      </c>
    </row>
    <row r="186" spans="1:21" hidden="1">
      <c r="B186" s="99">
        <f t="shared" si="54"/>
        <v>0</v>
      </c>
      <c r="C186" s="137">
        <f t="shared" si="55"/>
        <v>0</v>
      </c>
      <c r="D186" s="137">
        <f t="shared" si="55"/>
        <v>0</v>
      </c>
      <c r="E186" s="137">
        <f t="shared" si="55"/>
        <v>0</v>
      </c>
      <c r="F186" s="137">
        <f t="shared" si="55"/>
        <v>0</v>
      </c>
      <c r="G186" s="137">
        <f t="shared" si="55"/>
        <v>0</v>
      </c>
      <c r="H186" s="137">
        <f t="shared" si="55"/>
        <v>0</v>
      </c>
      <c r="I186" s="137">
        <f t="shared" si="55"/>
        <v>0</v>
      </c>
      <c r="J186" s="137">
        <f t="shared" si="55"/>
        <v>0</v>
      </c>
      <c r="K186" s="137">
        <f t="shared" si="55"/>
        <v>0</v>
      </c>
      <c r="L186" s="137">
        <f t="shared" si="55"/>
        <v>0</v>
      </c>
      <c r="M186" s="137">
        <f t="shared" si="55"/>
        <v>0</v>
      </c>
      <c r="N186" s="137">
        <f t="shared" si="55"/>
        <v>0</v>
      </c>
      <c r="O186" s="137">
        <f t="shared" si="55"/>
        <v>0</v>
      </c>
      <c r="P186" s="137">
        <f t="shared" si="55"/>
        <v>0</v>
      </c>
      <c r="Q186" s="137">
        <f t="shared" si="55"/>
        <v>0</v>
      </c>
      <c r="R186" s="681">
        <f t="shared" si="55"/>
        <v>0</v>
      </c>
      <c r="S186" s="463">
        <f t="shared" si="56"/>
        <v>0</v>
      </c>
      <c r="T186" s="463">
        <f t="shared" si="57"/>
        <v>0</v>
      </c>
      <c r="U186" s="567">
        <f t="shared" si="58"/>
        <v>0</v>
      </c>
    </row>
    <row r="187" spans="1:21" hidden="1">
      <c r="B187" s="99">
        <f t="shared" si="54"/>
        <v>0</v>
      </c>
      <c r="C187" s="137">
        <f t="shared" si="55"/>
        <v>0</v>
      </c>
      <c r="D187" s="137">
        <f t="shared" si="55"/>
        <v>0</v>
      </c>
      <c r="E187" s="137">
        <f t="shared" si="55"/>
        <v>0</v>
      </c>
      <c r="F187" s="137">
        <f t="shared" si="55"/>
        <v>0</v>
      </c>
      <c r="G187" s="137">
        <f t="shared" si="55"/>
        <v>0</v>
      </c>
      <c r="H187" s="137">
        <f t="shared" si="55"/>
        <v>0</v>
      </c>
      <c r="I187" s="137">
        <f t="shared" si="55"/>
        <v>0</v>
      </c>
      <c r="J187" s="137">
        <f t="shared" si="55"/>
        <v>0</v>
      </c>
      <c r="K187" s="137">
        <f t="shared" si="55"/>
        <v>0</v>
      </c>
      <c r="L187" s="137">
        <f t="shared" si="55"/>
        <v>0</v>
      </c>
      <c r="M187" s="137">
        <f t="shared" si="55"/>
        <v>0</v>
      </c>
      <c r="N187" s="137">
        <f t="shared" si="55"/>
        <v>0</v>
      </c>
      <c r="O187" s="137">
        <f t="shared" si="55"/>
        <v>0</v>
      </c>
      <c r="P187" s="137">
        <f t="shared" si="55"/>
        <v>0</v>
      </c>
      <c r="Q187" s="137">
        <f t="shared" si="55"/>
        <v>0</v>
      </c>
      <c r="R187" s="681">
        <f t="shared" si="55"/>
        <v>0</v>
      </c>
      <c r="S187" s="463">
        <f t="shared" si="56"/>
        <v>0</v>
      </c>
      <c r="T187" s="463">
        <f t="shared" si="57"/>
        <v>0</v>
      </c>
      <c r="U187" s="567">
        <f t="shared" si="58"/>
        <v>0</v>
      </c>
    </row>
    <row r="188" spans="1:21" hidden="1">
      <c r="B188" s="99">
        <f t="shared" si="54"/>
        <v>0</v>
      </c>
      <c r="C188" s="137">
        <f t="shared" si="55"/>
        <v>0</v>
      </c>
      <c r="D188" s="137">
        <f t="shared" si="55"/>
        <v>0</v>
      </c>
      <c r="E188" s="137">
        <f t="shared" si="55"/>
        <v>0</v>
      </c>
      <c r="F188" s="137">
        <f t="shared" si="55"/>
        <v>0</v>
      </c>
      <c r="G188" s="137">
        <f t="shared" si="55"/>
        <v>0</v>
      </c>
      <c r="H188" s="137">
        <f t="shared" si="55"/>
        <v>0</v>
      </c>
      <c r="I188" s="137">
        <f t="shared" si="55"/>
        <v>0</v>
      </c>
      <c r="J188" s="137">
        <f t="shared" si="55"/>
        <v>0</v>
      </c>
      <c r="K188" s="137">
        <f t="shared" si="55"/>
        <v>0</v>
      </c>
      <c r="L188" s="137">
        <f t="shared" si="55"/>
        <v>0</v>
      </c>
      <c r="M188" s="137">
        <f t="shared" si="55"/>
        <v>0</v>
      </c>
      <c r="N188" s="137">
        <f t="shared" si="55"/>
        <v>0</v>
      </c>
      <c r="O188" s="137">
        <f t="shared" si="55"/>
        <v>0</v>
      </c>
      <c r="P188" s="137">
        <f t="shared" si="55"/>
        <v>0</v>
      </c>
      <c r="Q188" s="137">
        <f t="shared" si="55"/>
        <v>0</v>
      </c>
      <c r="R188" s="681">
        <f t="shared" si="55"/>
        <v>0</v>
      </c>
      <c r="S188" s="463">
        <f t="shared" si="56"/>
        <v>0</v>
      </c>
      <c r="T188" s="463">
        <f t="shared" si="57"/>
        <v>0</v>
      </c>
      <c r="U188" s="567">
        <f t="shared" si="58"/>
        <v>0</v>
      </c>
    </row>
    <row r="189" spans="1:21" hidden="1">
      <c r="B189" s="99">
        <f t="shared" si="54"/>
        <v>0</v>
      </c>
      <c r="C189" s="137">
        <f t="shared" si="55"/>
        <v>0</v>
      </c>
      <c r="D189" s="137">
        <f t="shared" si="55"/>
        <v>0</v>
      </c>
      <c r="E189" s="137">
        <f t="shared" si="55"/>
        <v>0</v>
      </c>
      <c r="F189" s="137">
        <f t="shared" si="55"/>
        <v>0</v>
      </c>
      <c r="G189" s="137">
        <f t="shared" si="55"/>
        <v>0</v>
      </c>
      <c r="H189" s="137">
        <f t="shared" si="55"/>
        <v>0</v>
      </c>
      <c r="I189" s="137">
        <f t="shared" si="55"/>
        <v>0</v>
      </c>
      <c r="J189" s="137">
        <f t="shared" si="55"/>
        <v>0</v>
      </c>
      <c r="K189" s="137">
        <f t="shared" si="55"/>
        <v>0</v>
      </c>
      <c r="L189" s="137">
        <f t="shared" si="55"/>
        <v>0</v>
      </c>
      <c r="M189" s="137">
        <f t="shared" si="55"/>
        <v>0</v>
      </c>
      <c r="N189" s="137">
        <f t="shared" si="55"/>
        <v>0</v>
      </c>
      <c r="O189" s="137">
        <f t="shared" si="55"/>
        <v>0</v>
      </c>
      <c r="P189" s="137">
        <f t="shared" si="55"/>
        <v>0</v>
      </c>
      <c r="Q189" s="137">
        <f t="shared" si="55"/>
        <v>0</v>
      </c>
      <c r="R189" s="681">
        <f t="shared" si="55"/>
        <v>0</v>
      </c>
      <c r="S189" s="463">
        <f t="shared" si="56"/>
        <v>0</v>
      </c>
      <c r="T189" s="463">
        <f t="shared" si="57"/>
        <v>0</v>
      </c>
      <c r="U189" s="567">
        <f t="shared" si="58"/>
        <v>0</v>
      </c>
    </row>
    <row r="190" spans="1:21" hidden="1">
      <c r="B190" s="99">
        <f t="shared" si="54"/>
        <v>0</v>
      </c>
      <c r="C190" s="137">
        <f t="shared" ref="C190:O197" si="59">SUMIFS(stat_data_consump, stat_data_dept, $B190, stat_data_FuelType, C$177)</f>
        <v>0</v>
      </c>
      <c r="D190" s="137">
        <f t="shared" si="59"/>
        <v>0</v>
      </c>
      <c r="E190" s="137">
        <f t="shared" si="59"/>
        <v>0</v>
      </c>
      <c r="F190" s="137">
        <f t="shared" si="59"/>
        <v>0</v>
      </c>
      <c r="G190" s="137">
        <f t="shared" si="59"/>
        <v>0</v>
      </c>
      <c r="H190" s="137">
        <f t="shared" si="59"/>
        <v>0</v>
      </c>
      <c r="I190" s="137">
        <f t="shared" si="59"/>
        <v>0</v>
      </c>
      <c r="J190" s="137">
        <f t="shared" si="59"/>
        <v>0</v>
      </c>
      <c r="K190" s="137">
        <f t="shared" si="59"/>
        <v>0</v>
      </c>
      <c r="L190" s="137">
        <f t="shared" si="59"/>
        <v>0</v>
      </c>
      <c r="M190" s="137">
        <f t="shared" si="59"/>
        <v>0</v>
      </c>
      <c r="N190" s="137">
        <f t="shared" si="59"/>
        <v>0</v>
      </c>
      <c r="O190" s="137">
        <f t="shared" si="59"/>
        <v>0</v>
      </c>
      <c r="P190" s="137">
        <f t="shared" ref="P190:R197" si="60">SUMIFS(stat_data_consump, stat_data_dept, $B190, stat_data_FuelType, P$177)</f>
        <v>0</v>
      </c>
      <c r="Q190" s="137">
        <f t="shared" si="60"/>
        <v>0</v>
      </c>
      <c r="R190" s="681">
        <f t="shared" si="60"/>
        <v>0</v>
      </c>
      <c r="S190" s="463">
        <f t="shared" si="56"/>
        <v>0</v>
      </c>
      <c r="T190" s="463">
        <f t="shared" si="57"/>
        <v>0</v>
      </c>
      <c r="U190" s="567">
        <f t="shared" si="58"/>
        <v>0</v>
      </c>
    </row>
    <row r="191" spans="1:21" hidden="1">
      <c r="B191" s="99">
        <f t="shared" si="54"/>
        <v>0</v>
      </c>
      <c r="C191" s="137">
        <f t="shared" si="59"/>
        <v>0</v>
      </c>
      <c r="D191" s="137">
        <f t="shared" si="59"/>
        <v>0</v>
      </c>
      <c r="E191" s="137">
        <f t="shared" si="59"/>
        <v>0</v>
      </c>
      <c r="F191" s="137">
        <f t="shared" si="59"/>
        <v>0</v>
      </c>
      <c r="G191" s="137">
        <f t="shared" si="59"/>
        <v>0</v>
      </c>
      <c r="H191" s="137">
        <f t="shared" si="59"/>
        <v>0</v>
      </c>
      <c r="I191" s="137">
        <f t="shared" si="59"/>
        <v>0</v>
      </c>
      <c r="J191" s="137">
        <f t="shared" si="59"/>
        <v>0</v>
      </c>
      <c r="K191" s="137">
        <f t="shared" si="59"/>
        <v>0</v>
      </c>
      <c r="L191" s="137">
        <f t="shared" si="59"/>
        <v>0</v>
      </c>
      <c r="M191" s="137">
        <f t="shared" si="59"/>
        <v>0</v>
      </c>
      <c r="N191" s="137">
        <f t="shared" si="59"/>
        <v>0</v>
      </c>
      <c r="O191" s="137">
        <f t="shared" si="59"/>
        <v>0</v>
      </c>
      <c r="P191" s="137">
        <f t="shared" si="60"/>
        <v>0</v>
      </c>
      <c r="Q191" s="137">
        <f t="shared" si="60"/>
        <v>0</v>
      </c>
      <c r="R191" s="681">
        <f t="shared" si="60"/>
        <v>0</v>
      </c>
      <c r="S191" s="463">
        <f t="shared" si="56"/>
        <v>0</v>
      </c>
      <c r="T191" s="463">
        <f t="shared" si="57"/>
        <v>0</v>
      </c>
      <c r="U191" s="567">
        <f t="shared" si="58"/>
        <v>0</v>
      </c>
    </row>
    <row r="192" spans="1:21" hidden="1">
      <c r="B192" s="99">
        <f t="shared" si="54"/>
        <v>0</v>
      </c>
      <c r="C192" s="137">
        <f t="shared" si="59"/>
        <v>0</v>
      </c>
      <c r="D192" s="137">
        <f t="shared" si="59"/>
        <v>0</v>
      </c>
      <c r="E192" s="137">
        <f t="shared" si="59"/>
        <v>0</v>
      </c>
      <c r="F192" s="137">
        <f t="shared" si="59"/>
        <v>0</v>
      </c>
      <c r="G192" s="137">
        <f t="shared" si="59"/>
        <v>0</v>
      </c>
      <c r="H192" s="137">
        <f t="shared" si="59"/>
        <v>0</v>
      </c>
      <c r="I192" s="137">
        <f t="shared" si="59"/>
        <v>0</v>
      </c>
      <c r="J192" s="137">
        <f t="shared" si="59"/>
        <v>0</v>
      </c>
      <c r="K192" s="137">
        <f t="shared" si="59"/>
        <v>0</v>
      </c>
      <c r="L192" s="137">
        <f t="shared" si="59"/>
        <v>0</v>
      </c>
      <c r="M192" s="137">
        <f t="shared" si="59"/>
        <v>0</v>
      </c>
      <c r="N192" s="137">
        <f t="shared" si="59"/>
        <v>0</v>
      </c>
      <c r="O192" s="137">
        <f t="shared" si="59"/>
        <v>0</v>
      </c>
      <c r="P192" s="137">
        <f t="shared" si="60"/>
        <v>0</v>
      </c>
      <c r="Q192" s="137">
        <f t="shared" si="60"/>
        <v>0</v>
      </c>
      <c r="R192" s="681">
        <f t="shared" si="60"/>
        <v>0</v>
      </c>
      <c r="S192" s="463">
        <f t="shared" si="56"/>
        <v>0</v>
      </c>
      <c r="T192" s="463">
        <f t="shared" si="57"/>
        <v>0</v>
      </c>
      <c r="U192" s="567">
        <f t="shared" si="58"/>
        <v>0</v>
      </c>
    </row>
    <row r="193" spans="1:22" hidden="1">
      <c r="B193" s="99">
        <f t="shared" si="54"/>
        <v>0</v>
      </c>
      <c r="C193" s="137">
        <f t="shared" si="59"/>
        <v>0</v>
      </c>
      <c r="D193" s="137">
        <f t="shared" si="59"/>
        <v>0</v>
      </c>
      <c r="E193" s="137">
        <f t="shared" si="59"/>
        <v>0</v>
      </c>
      <c r="F193" s="137">
        <f t="shared" si="59"/>
        <v>0</v>
      </c>
      <c r="G193" s="137">
        <f t="shared" si="59"/>
        <v>0</v>
      </c>
      <c r="H193" s="137">
        <f t="shared" si="59"/>
        <v>0</v>
      </c>
      <c r="I193" s="137">
        <f t="shared" si="59"/>
        <v>0</v>
      </c>
      <c r="J193" s="137">
        <f t="shared" si="59"/>
        <v>0</v>
      </c>
      <c r="K193" s="137">
        <f t="shared" si="59"/>
        <v>0</v>
      </c>
      <c r="L193" s="137">
        <f t="shared" si="59"/>
        <v>0</v>
      </c>
      <c r="M193" s="137">
        <f t="shared" si="59"/>
        <v>0</v>
      </c>
      <c r="N193" s="137">
        <f t="shared" si="59"/>
        <v>0</v>
      </c>
      <c r="O193" s="137">
        <f t="shared" si="59"/>
        <v>0</v>
      </c>
      <c r="P193" s="137">
        <f t="shared" si="60"/>
        <v>0</v>
      </c>
      <c r="Q193" s="137">
        <f t="shared" si="60"/>
        <v>0</v>
      </c>
      <c r="R193" s="681">
        <f t="shared" si="60"/>
        <v>0</v>
      </c>
      <c r="S193" s="463">
        <f t="shared" si="56"/>
        <v>0</v>
      </c>
      <c r="T193" s="463">
        <f t="shared" si="57"/>
        <v>0</v>
      </c>
      <c r="U193" s="567">
        <f>SUM(L193:O193)</f>
        <v>0</v>
      </c>
    </row>
    <row r="194" spans="1:22" hidden="1">
      <c r="B194" s="99">
        <f t="shared" si="54"/>
        <v>0</v>
      </c>
      <c r="C194" s="137">
        <f t="shared" si="59"/>
        <v>0</v>
      </c>
      <c r="D194" s="137">
        <f t="shared" si="59"/>
        <v>0</v>
      </c>
      <c r="E194" s="137">
        <f t="shared" si="59"/>
        <v>0</v>
      </c>
      <c r="F194" s="137">
        <f t="shared" si="59"/>
        <v>0</v>
      </c>
      <c r="G194" s="137">
        <f t="shared" si="59"/>
        <v>0</v>
      </c>
      <c r="H194" s="137">
        <f t="shared" si="59"/>
        <v>0</v>
      </c>
      <c r="I194" s="137">
        <f t="shared" si="59"/>
        <v>0</v>
      </c>
      <c r="J194" s="137">
        <f t="shared" si="59"/>
        <v>0</v>
      </c>
      <c r="K194" s="137">
        <f t="shared" si="59"/>
        <v>0</v>
      </c>
      <c r="L194" s="137">
        <f t="shared" si="59"/>
        <v>0</v>
      </c>
      <c r="M194" s="137">
        <f t="shared" si="59"/>
        <v>0</v>
      </c>
      <c r="N194" s="137">
        <f t="shared" si="59"/>
        <v>0</v>
      </c>
      <c r="O194" s="137">
        <f t="shared" si="59"/>
        <v>0</v>
      </c>
      <c r="P194" s="137">
        <f t="shared" si="60"/>
        <v>0</v>
      </c>
      <c r="Q194" s="137">
        <f t="shared" si="60"/>
        <v>0</v>
      </c>
      <c r="R194" s="681">
        <f t="shared" si="60"/>
        <v>0</v>
      </c>
      <c r="S194" s="463">
        <f t="shared" si="56"/>
        <v>0</v>
      </c>
      <c r="T194" s="463">
        <f t="shared" si="57"/>
        <v>0</v>
      </c>
      <c r="U194" s="567">
        <f t="shared" si="58"/>
        <v>0</v>
      </c>
    </row>
    <row r="195" spans="1:22" hidden="1">
      <c r="B195" s="99">
        <f t="shared" si="54"/>
        <v>0</v>
      </c>
      <c r="C195" s="137">
        <f t="shared" si="59"/>
        <v>0</v>
      </c>
      <c r="D195" s="137">
        <f t="shared" si="59"/>
        <v>0</v>
      </c>
      <c r="E195" s="137">
        <f t="shared" si="59"/>
        <v>0</v>
      </c>
      <c r="F195" s="137">
        <f t="shared" si="59"/>
        <v>0</v>
      </c>
      <c r="G195" s="137">
        <f t="shared" si="59"/>
        <v>0</v>
      </c>
      <c r="H195" s="137">
        <f t="shared" si="59"/>
        <v>0</v>
      </c>
      <c r="I195" s="137">
        <f t="shared" si="59"/>
        <v>0</v>
      </c>
      <c r="J195" s="137">
        <f t="shared" si="59"/>
        <v>0</v>
      </c>
      <c r="K195" s="137">
        <f t="shared" si="59"/>
        <v>0</v>
      </c>
      <c r="L195" s="137">
        <f t="shared" si="59"/>
        <v>0</v>
      </c>
      <c r="M195" s="137">
        <f t="shared" si="59"/>
        <v>0</v>
      </c>
      <c r="N195" s="137">
        <f t="shared" si="59"/>
        <v>0</v>
      </c>
      <c r="O195" s="137">
        <f t="shared" si="59"/>
        <v>0</v>
      </c>
      <c r="P195" s="137">
        <f t="shared" si="60"/>
        <v>0</v>
      </c>
      <c r="Q195" s="137">
        <f t="shared" si="60"/>
        <v>0</v>
      </c>
      <c r="R195" s="681">
        <f t="shared" si="60"/>
        <v>0</v>
      </c>
      <c r="S195" s="463">
        <f t="shared" si="56"/>
        <v>0</v>
      </c>
      <c r="T195" s="463">
        <f t="shared" si="57"/>
        <v>0</v>
      </c>
      <c r="U195" s="567">
        <f t="shared" si="58"/>
        <v>0</v>
      </c>
    </row>
    <row r="196" spans="1:22" hidden="1">
      <c r="B196" s="99">
        <f t="shared" si="54"/>
        <v>0</v>
      </c>
      <c r="C196" s="137">
        <f t="shared" si="59"/>
        <v>0</v>
      </c>
      <c r="D196" s="137">
        <f t="shared" si="59"/>
        <v>0</v>
      </c>
      <c r="E196" s="137">
        <f t="shared" si="59"/>
        <v>0</v>
      </c>
      <c r="F196" s="137">
        <f t="shared" si="59"/>
        <v>0</v>
      </c>
      <c r="G196" s="137">
        <f t="shared" si="59"/>
        <v>0</v>
      </c>
      <c r="H196" s="137">
        <f t="shared" si="59"/>
        <v>0</v>
      </c>
      <c r="I196" s="137">
        <f t="shared" si="59"/>
        <v>0</v>
      </c>
      <c r="J196" s="137">
        <f t="shared" si="59"/>
        <v>0</v>
      </c>
      <c r="K196" s="137">
        <f t="shared" si="59"/>
        <v>0</v>
      </c>
      <c r="L196" s="137">
        <f t="shared" si="59"/>
        <v>0</v>
      </c>
      <c r="M196" s="137">
        <f t="shared" si="59"/>
        <v>0</v>
      </c>
      <c r="N196" s="137">
        <f t="shared" si="59"/>
        <v>0</v>
      </c>
      <c r="O196" s="137">
        <f t="shared" si="59"/>
        <v>0</v>
      </c>
      <c r="P196" s="137">
        <f t="shared" si="60"/>
        <v>0</v>
      </c>
      <c r="Q196" s="137">
        <f t="shared" si="60"/>
        <v>0</v>
      </c>
      <c r="R196" s="681">
        <f t="shared" si="60"/>
        <v>0</v>
      </c>
      <c r="S196" s="463">
        <f t="shared" si="56"/>
        <v>0</v>
      </c>
      <c r="T196" s="463">
        <f t="shared" si="57"/>
        <v>0</v>
      </c>
      <c r="U196" s="567">
        <f t="shared" si="58"/>
        <v>0</v>
      </c>
    </row>
    <row r="197" spans="1:22" hidden="1">
      <c r="A197" s="285"/>
      <c r="B197" s="99">
        <f t="shared" si="54"/>
        <v>0</v>
      </c>
      <c r="C197" s="137">
        <f t="shared" si="59"/>
        <v>0</v>
      </c>
      <c r="D197" s="137">
        <f t="shared" si="59"/>
        <v>0</v>
      </c>
      <c r="E197" s="137">
        <f t="shared" si="59"/>
        <v>0</v>
      </c>
      <c r="F197" s="137">
        <f t="shared" si="59"/>
        <v>0</v>
      </c>
      <c r="G197" s="137">
        <f t="shared" si="59"/>
        <v>0</v>
      </c>
      <c r="H197" s="137">
        <f t="shared" si="59"/>
        <v>0</v>
      </c>
      <c r="I197" s="137">
        <f t="shared" si="59"/>
        <v>0</v>
      </c>
      <c r="J197" s="137">
        <f t="shared" si="59"/>
        <v>0</v>
      </c>
      <c r="K197" s="137">
        <f t="shared" si="59"/>
        <v>0</v>
      </c>
      <c r="L197" s="137">
        <f t="shared" si="59"/>
        <v>0</v>
      </c>
      <c r="M197" s="137">
        <f t="shared" si="59"/>
        <v>0</v>
      </c>
      <c r="N197" s="137">
        <f t="shared" si="59"/>
        <v>0</v>
      </c>
      <c r="O197" s="137">
        <f t="shared" si="59"/>
        <v>0</v>
      </c>
      <c r="P197" s="137">
        <f t="shared" si="60"/>
        <v>0</v>
      </c>
      <c r="Q197" s="137">
        <f t="shared" si="60"/>
        <v>0</v>
      </c>
      <c r="R197" s="681">
        <f t="shared" si="60"/>
        <v>0</v>
      </c>
      <c r="S197" s="568">
        <f t="shared" si="56"/>
        <v>0</v>
      </c>
      <c r="T197" s="463">
        <f t="shared" si="57"/>
        <v>0</v>
      </c>
      <c r="U197" s="567">
        <f t="shared" si="58"/>
        <v>0</v>
      </c>
    </row>
    <row r="198" spans="1:22">
      <c r="B198" s="840" t="s">
        <v>253</v>
      </c>
      <c r="C198" s="565">
        <f>SUM(C178:C197)</f>
        <v>0</v>
      </c>
      <c r="D198" s="566">
        <f>SUM(D178:D197)</f>
        <v>0</v>
      </c>
      <c r="E198" s="566">
        <f t="shared" ref="E198:K198" si="61">SUM(E178:E197)</f>
        <v>0</v>
      </c>
      <c r="F198" s="566">
        <f t="shared" si="61"/>
        <v>0</v>
      </c>
      <c r="G198" s="566">
        <f t="shared" si="61"/>
        <v>0</v>
      </c>
      <c r="H198" s="566">
        <f t="shared" si="61"/>
        <v>0</v>
      </c>
      <c r="I198" s="566">
        <f t="shared" si="61"/>
        <v>0</v>
      </c>
      <c r="J198" s="566">
        <f t="shared" si="61"/>
        <v>0</v>
      </c>
      <c r="K198" s="566">
        <f t="shared" si="61"/>
        <v>0</v>
      </c>
      <c r="L198" s="566">
        <f>SUM(L178:L197)</f>
        <v>0</v>
      </c>
      <c r="M198" s="566">
        <f t="shared" ref="M198:O198" si="62">SUM(M178:M197)</f>
        <v>0</v>
      </c>
      <c r="N198" s="566">
        <f t="shared" si="62"/>
        <v>0</v>
      </c>
      <c r="O198" s="566">
        <f t="shared" si="62"/>
        <v>0</v>
      </c>
      <c r="P198" s="566">
        <f>SUM(P178:P197)</f>
        <v>0</v>
      </c>
      <c r="Q198" s="566">
        <f>SUM(Q178:Q197)</f>
        <v>0</v>
      </c>
      <c r="R198" s="566">
        <f>SUM(R178:R197)</f>
        <v>0</v>
      </c>
      <c r="S198" s="569">
        <f>SUM(C198,P198)</f>
        <v>0</v>
      </c>
      <c r="T198" s="569">
        <f>SUM(D198:K198,Q198:R198)</f>
        <v>0</v>
      </c>
      <c r="U198" s="775">
        <f>SUM(L198:O198)</f>
        <v>0</v>
      </c>
    </row>
    <row r="199" spans="1:22">
      <c r="A199" s="268"/>
    </row>
    <row r="200" spans="1:22">
      <c r="A200" s="268" t="s">
        <v>294</v>
      </c>
    </row>
    <row r="201" spans="1:22">
      <c r="A201" s="268"/>
    </row>
    <row r="202" spans="1:22" ht="16.5">
      <c r="A202" s="265" t="s">
        <v>295</v>
      </c>
    </row>
    <row r="203" spans="1:22" s="1010" customFormat="1" ht="29">
      <c r="A203" s="1007"/>
      <c r="B203" s="861" t="s">
        <v>16</v>
      </c>
      <c r="C203" s="1008" t="str">
        <f t="array" ref="C203:L203">TRANSPOSE($B$158:$B$167)</f>
        <v>Natural Gas</v>
      </c>
      <c r="D203" s="1008" t="str">
        <v>Diesel</v>
      </c>
      <c r="E203" s="1008" t="str">
        <v>Gasoline</v>
      </c>
      <c r="F203" s="1008" t="str">
        <v>LPG</v>
      </c>
      <c r="G203" s="1008" t="str">
        <v>Propane</v>
      </c>
      <c r="H203" s="1008" t="str">
        <v>Butane</v>
      </c>
      <c r="I203" s="1008" t="str">
        <v>Residual Fuel Oil No. 5</v>
      </c>
      <c r="J203" s="1008" t="str">
        <v>Residual Fuel Oil No. 6</v>
      </c>
      <c r="K203" s="1008" t="str">
        <v>Jet Fuel</v>
      </c>
      <c r="L203" s="101" t="str">
        <v>Residential Coal</v>
      </c>
      <c r="M203" s="1008" t="str">
        <f>M177</f>
        <v>Commercial Coal</v>
      </c>
      <c r="N203" s="1008" t="s">
        <v>268</v>
      </c>
      <c r="O203" s="1008" t="s">
        <v>269</v>
      </c>
      <c r="P203" s="1008" t="s">
        <v>171</v>
      </c>
      <c r="Q203" s="1008" t="s">
        <v>270</v>
      </c>
      <c r="R203" s="1008" t="s">
        <v>271</v>
      </c>
      <c r="S203" s="861" t="s">
        <v>263</v>
      </c>
      <c r="T203" s="170"/>
      <c r="U203" s="170"/>
      <c r="V203" s="1009"/>
    </row>
    <row r="204" spans="1:22">
      <c r="A204" s="284" t="s">
        <v>101</v>
      </c>
      <c r="B204" s="99" t="str">
        <f>B178</f>
        <v>Residential</v>
      </c>
      <c r="C204" s="137">
        <f t="shared" ref="C204:R204" si="63">C178*kg_mt*VLOOKUP(C$203, stat_factors, 2, FALSE)</f>
        <v>0</v>
      </c>
      <c r="D204" s="137">
        <f t="shared" si="63"/>
        <v>0</v>
      </c>
      <c r="E204" s="137">
        <f t="shared" si="63"/>
        <v>0</v>
      </c>
      <c r="F204" s="137">
        <f t="shared" si="63"/>
        <v>0</v>
      </c>
      <c r="G204" s="137">
        <f t="shared" si="63"/>
        <v>0</v>
      </c>
      <c r="H204" s="137">
        <f t="shared" si="63"/>
        <v>0</v>
      </c>
      <c r="I204" s="137">
        <f t="shared" si="63"/>
        <v>0</v>
      </c>
      <c r="J204" s="137">
        <f t="shared" si="63"/>
        <v>0</v>
      </c>
      <c r="K204" s="137">
        <f t="shared" si="63"/>
        <v>0</v>
      </c>
      <c r="L204" s="137">
        <f t="shared" si="63"/>
        <v>0</v>
      </c>
      <c r="M204" s="137">
        <f t="shared" ref="M204:O204" si="64">M178*kg_mt*VLOOKUP(M$203, stat_factors, 2, FALSE)</f>
        <v>0</v>
      </c>
      <c r="N204" s="137">
        <f t="shared" si="64"/>
        <v>0</v>
      </c>
      <c r="O204" s="137">
        <f t="shared" si="64"/>
        <v>0</v>
      </c>
      <c r="P204" s="137">
        <f t="shared" si="63"/>
        <v>0</v>
      </c>
      <c r="Q204" s="137">
        <f t="shared" si="63"/>
        <v>0</v>
      </c>
      <c r="R204" s="137">
        <f t="shared" si="63"/>
        <v>0</v>
      </c>
      <c r="S204" s="139">
        <f>SUM(C204:R204)</f>
        <v>0</v>
      </c>
    </row>
    <row r="205" spans="1:22">
      <c r="B205" s="99" t="str">
        <f t="shared" ref="B205:B223" si="65">B179</f>
        <v>Commercial/Institutional</v>
      </c>
      <c r="C205" s="137">
        <f t="shared" ref="C205:R205" si="66">C179*kg_mt*VLOOKUP(C$203, stat_factors, 2, FALSE)</f>
        <v>0</v>
      </c>
      <c r="D205" s="137">
        <f t="shared" si="66"/>
        <v>0</v>
      </c>
      <c r="E205" s="137">
        <f t="shared" si="66"/>
        <v>0</v>
      </c>
      <c r="F205" s="137">
        <f t="shared" si="66"/>
        <v>0</v>
      </c>
      <c r="G205" s="137">
        <f t="shared" si="66"/>
        <v>0</v>
      </c>
      <c r="H205" s="137">
        <f t="shared" si="66"/>
        <v>0</v>
      </c>
      <c r="I205" s="137">
        <f t="shared" si="66"/>
        <v>0</v>
      </c>
      <c r="J205" s="137">
        <f t="shared" si="66"/>
        <v>0</v>
      </c>
      <c r="K205" s="137">
        <f t="shared" si="66"/>
        <v>0</v>
      </c>
      <c r="L205" s="137">
        <f t="shared" si="66"/>
        <v>0</v>
      </c>
      <c r="M205" s="137">
        <f t="shared" si="66"/>
        <v>0</v>
      </c>
      <c r="N205" s="137">
        <f t="shared" si="66"/>
        <v>0</v>
      </c>
      <c r="O205" s="137">
        <f t="shared" si="66"/>
        <v>0</v>
      </c>
      <c r="P205" s="137">
        <f t="shared" si="66"/>
        <v>0</v>
      </c>
      <c r="Q205" s="137">
        <f t="shared" si="66"/>
        <v>0</v>
      </c>
      <c r="R205" s="137">
        <f t="shared" si="66"/>
        <v>0</v>
      </c>
      <c r="S205" s="139">
        <f t="shared" ref="S205:S223" si="67">SUM(C205:R205)</f>
        <v>0</v>
      </c>
    </row>
    <row r="206" spans="1:22">
      <c r="B206" s="99" t="str">
        <f t="shared" si="65"/>
        <v>Industrial</v>
      </c>
      <c r="C206" s="137">
        <f t="shared" ref="C206:R206" si="68">C180*kg_mt*VLOOKUP(C$203, stat_factors, 2, FALSE)</f>
        <v>0</v>
      </c>
      <c r="D206" s="137">
        <f t="shared" si="68"/>
        <v>0</v>
      </c>
      <c r="E206" s="137">
        <f t="shared" si="68"/>
        <v>0</v>
      </c>
      <c r="F206" s="137">
        <f t="shared" si="68"/>
        <v>0</v>
      </c>
      <c r="G206" s="137">
        <f t="shared" si="68"/>
        <v>0</v>
      </c>
      <c r="H206" s="137">
        <f t="shared" si="68"/>
        <v>0</v>
      </c>
      <c r="I206" s="137">
        <f t="shared" si="68"/>
        <v>0</v>
      </c>
      <c r="J206" s="137">
        <f t="shared" si="68"/>
        <v>0</v>
      </c>
      <c r="K206" s="137">
        <f t="shared" si="68"/>
        <v>0</v>
      </c>
      <c r="L206" s="137">
        <f t="shared" si="68"/>
        <v>0</v>
      </c>
      <c r="M206" s="137">
        <f t="shared" si="68"/>
        <v>0</v>
      </c>
      <c r="N206" s="137">
        <f t="shared" si="68"/>
        <v>0</v>
      </c>
      <c r="O206" s="137">
        <f t="shared" si="68"/>
        <v>0</v>
      </c>
      <c r="P206" s="137">
        <f t="shared" si="68"/>
        <v>0</v>
      </c>
      <c r="Q206" s="137">
        <f t="shared" si="68"/>
        <v>0</v>
      </c>
      <c r="R206" s="137">
        <f t="shared" si="68"/>
        <v>0</v>
      </c>
      <c r="S206" s="139">
        <f t="shared" si="67"/>
        <v>0</v>
      </c>
    </row>
    <row r="207" spans="1:22">
      <c r="B207" s="99" t="str">
        <f t="shared" si="65"/>
        <v>Energy Generation</v>
      </c>
      <c r="C207" s="137">
        <f t="shared" ref="C207:R207" si="69">C181*kg_mt*VLOOKUP(C$203, stat_factors, 2, FALSE)</f>
        <v>0</v>
      </c>
      <c r="D207" s="137">
        <f t="shared" si="69"/>
        <v>0</v>
      </c>
      <c r="E207" s="137">
        <f t="shared" si="69"/>
        <v>0</v>
      </c>
      <c r="F207" s="137">
        <f t="shared" si="69"/>
        <v>0</v>
      </c>
      <c r="G207" s="137">
        <f t="shared" si="69"/>
        <v>0</v>
      </c>
      <c r="H207" s="137">
        <f t="shared" si="69"/>
        <v>0</v>
      </c>
      <c r="I207" s="137">
        <f t="shared" si="69"/>
        <v>0</v>
      </c>
      <c r="J207" s="137">
        <f t="shared" si="69"/>
        <v>0</v>
      </c>
      <c r="K207" s="137">
        <f t="shared" si="69"/>
        <v>0</v>
      </c>
      <c r="L207" s="137">
        <f t="shared" si="69"/>
        <v>0</v>
      </c>
      <c r="M207" s="137">
        <f t="shared" si="69"/>
        <v>0</v>
      </c>
      <c r="N207" s="137">
        <f t="shared" si="69"/>
        <v>0</v>
      </c>
      <c r="O207" s="137">
        <f t="shared" si="69"/>
        <v>0</v>
      </c>
      <c r="P207" s="137">
        <f t="shared" si="69"/>
        <v>0</v>
      </c>
      <c r="Q207" s="137">
        <f t="shared" si="69"/>
        <v>0</v>
      </c>
      <c r="R207" s="137">
        <f t="shared" si="69"/>
        <v>0</v>
      </c>
      <c r="S207" s="139">
        <f t="shared" si="67"/>
        <v>0</v>
      </c>
    </row>
    <row r="208" spans="1:22" hidden="1">
      <c r="B208" s="99">
        <f t="shared" si="65"/>
        <v>0</v>
      </c>
      <c r="C208" s="137">
        <f t="shared" ref="C208:R208" si="70">C182*kg_mt*VLOOKUP(C$203, stat_factors, 2, FALSE)</f>
        <v>0</v>
      </c>
      <c r="D208" s="137">
        <f t="shared" si="70"/>
        <v>0</v>
      </c>
      <c r="E208" s="137">
        <f t="shared" si="70"/>
        <v>0</v>
      </c>
      <c r="F208" s="137">
        <f t="shared" si="70"/>
        <v>0</v>
      </c>
      <c r="G208" s="137">
        <f t="shared" si="70"/>
        <v>0</v>
      </c>
      <c r="H208" s="137">
        <f t="shared" si="70"/>
        <v>0</v>
      </c>
      <c r="I208" s="137">
        <f t="shared" si="70"/>
        <v>0</v>
      </c>
      <c r="J208" s="137">
        <f t="shared" si="70"/>
        <v>0</v>
      </c>
      <c r="K208" s="137">
        <f t="shared" si="70"/>
        <v>0</v>
      </c>
      <c r="L208" s="137">
        <f t="shared" si="70"/>
        <v>0</v>
      </c>
      <c r="M208" s="137">
        <f t="shared" si="70"/>
        <v>0</v>
      </c>
      <c r="N208" s="137">
        <f t="shared" si="70"/>
        <v>0</v>
      </c>
      <c r="O208" s="137">
        <f t="shared" si="70"/>
        <v>0</v>
      </c>
      <c r="P208" s="137">
        <f t="shared" si="70"/>
        <v>0</v>
      </c>
      <c r="Q208" s="137">
        <f t="shared" si="70"/>
        <v>0</v>
      </c>
      <c r="R208" s="137">
        <f t="shared" si="70"/>
        <v>0</v>
      </c>
      <c r="S208" s="139">
        <f t="shared" si="67"/>
        <v>0</v>
      </c>
    </row>
    <row r="209" spans="1:19" hidden="1">
      <c r="B209" s="99">
        <f t="shared" si="65"/>
        <v>0</v>
      </c>
      <c r="C209" s="137">
        <f t="shared" ref="C209:R209" si="71">C183*kg_mt*VLOOKUP(C$203, stat_factors, 2, FALSE)</f>
        <v>0</v>
      </c>
      <c r="D209" s="137">
        <f t="shared" si="71"/>
        <v>0</v>
      </c>
      <c r="E209" s="137">
        <f t="shared" si="71"/>
        <v>0</v>
      </c>
      <c r="F209" s="137">
        <f t="shared" si="71"/>
        <v>0</v>
      </c>
      <c r="G209" s="137">
        <f t="shared" si="71"/>
        <v>0</v>
      </c>
      <c r="H209" s="137">
        <f t="shared" si="71"/>
        <v>0</v>
      </c>
      <c r="I209" s="137">
        <f t="shared" si="71"/>
        <v>0</v>
      </c>
      <c r="J209" s="137">
        <f t="shared" si="71"/>
        <v>0</v>
      </c>
      <c r="K209" s="137">
        <f t="shared" si="71"/>
        <v>0</v>
      </c>
      <c r="L209" s="137">
        <f t="shared" si="71"/>
        <v>0</v>
      </c>
      <c r="M209" s="137">
        <f t="shared" si="71"/>
        <v>0</v>
      </c>
      <c r="N209" s="137">
        <f t="shared" si="71"/>
        <v>0</v>
      </c>
      <c r="O209" s="137">
        <f t="shared" si="71"/>
        <v>0</v>
      </c>
      <c r="P209" s="137">
        <f t="shared" si="71"/>
        <v>0</v>
      </c>
      <c r="Q209" s="137">
        <f t="shared" si="71"/>
        <v>0</v>
      </c>
      <c r="R209" s="137">
        <f t="shared" si="71"/>
        <v>0</v>
      </c>
      <c r="S209" s="139">
        <f t="shared" si="67"/>
        <v>0</v>
      </c>
    </row>
    <row r="210" spans="1:19" hidden="1">
      <c r="B210" s="99">
        <f t="shared" si="65"/>
        <v>0</v>
      </c>
      <c r="C210" s="137">
        <f t="shared" ref="C210:R210" si="72">C184*kg_mt*VLOOKUP(C$203, stat_factors, 2, FALSE)</f>
        <v>0</v>
      </c>
      <c r="D210" s="137">
        <f t="shared" si="72"/>
        <v>0</v>
      </c>
      <c r="E210" s="137">
        <f t="shared" si="72"/>
        <v>0</v>
      </c>
      <c r="F210" s="137">
        <f t="shared" si="72"/>
        <v>0</v>
      </c>
      <c r="G210" s="137">
        <f t="shared" si="72"/>
        <v>0</v>
      </c>
      <c r="H210" s="137">
        <f t="shared" si="72"/>
        <v>0</v>
      </c>
      <c r="I210" s="137">
        <f t="shared" si="72"/>
        <v>0</v>
      </c>
      <c r="J210" s="137">
        <f t="shared" si="72"/>
        <v>0</v>
      </c>
      <c r="K210" s="137">
        <f t="shared" si="72"/>
        <v>0</v>
      </c>
      <c r="L210" s="137">
        <f t="shared" si="72"/>
        <v>0</v>
      </c>
      <c r="M210" s="137">
        <f t="shared" si="72"/>
        <v>0</v>
      </c>
      <c r="N210" s="137">
        <f t="shared" si="72"/>
        <v>0</v>
      </c>
      <c r="O210" s="137">
        <f t="shared" si="72"/>
        <v>0</v>
      </c>
      <c r="P210" s="137">
        <f t="shared" si="72"/>
        <v>0</v>
      </c>
      <c r="Q210" s="137">
        <f t="shared" si="72"/>
        <v>0</v>
      </c>
      <c r="R210" s="137">
        <f t="shared" si="72"/>
        <v>0</v>
      </c>
      <c r="S210" s="139">
        <f t="shared" si="67"/>
        <v>0</v>
      </c>
    </row>
    <row r="211" spans="1:19" hidden="1">
      <c r="B211" s="99">
        <f t="shared" si="65"/>
        <v>0</v>
      </c>
      <c r="C211" s="137">
        <f t="shared" ref="C211:R211" si="73">C185*kg_mt*VLOOKUP(C$203, stat_factors, 2, FALSE)</f>
        <v>0</v>
      </c>
      <c r="D211" s="137">
        <f t="shared" si="73"/>
        <v>0</v>
      </c>
      <c r="E211" s="137">
        <f t="shared" si="73"/>
        <v>0</v>
      </c>
      <c r="F211" s="137">
        <f t="shared" si="73"/>
        <v>0</v>
      </c>
      <c r="G211" s="137">
        <f t="shared" si="73"/>
        <v>0</v>
      </c>
      <c r="H211" s="137">
        <f t="shared" si="73"/>
        <v>0</v>
      </c>
      <c r="I211" s="137">
        <f t="shared" si="73"/>
        <v>0</v>
      </c>
      <c r="J211" s="137">
        <f t="shared" si="73"/>
        <v>0</v>
      </c>
      <c r="K211" s="137">
        <f t="shared" si="73"/>
        <v>0</v>
      </c>
      <c r="L211" s="137">
        <f t="shared" si="73"/>
        <v>0</v>
      </c>
      <c r="M211" s="137">
        <f t="shared" si="73"/>
        <v>0</v>
      </c>
      <c r="N211" s="137">
        <f t="shared" si="73"/>
        <v>0</v>
      </c>
      <c r="O211" s="137">
        <f t="shared" si="73"/>
        <v>0</v>
      </c>
      <c r="P211" s="137">
        <f t="shared" si="73"/>
        <v>0</v>
      </c>
      <c r="Q211" s="137">
        <f t="shared" si="73"/>
        <v>0</v>
      </c>
      <c r="R211" s="137">
        <f t="shared" si="73"/>
        <v>0</v>
      </c>
      <c r="S211" s="139">
        <f t="shared" si="67"/>
        <v>0</v>
      </c>
    </row>
    <row r="212" spans="1:19" hidden="1">
      <c r="B212" s="99">
        <f t="shared" si="65"/>
        <v>0</v>
      </c>
      <c r="C212" s="137">
        <f t="shared" ref="C212:R212" si="74">C186*kg_mt*VLOOKUP(C$203, stat_factors, 2, FALSE)</f>
        <v>0</v>
      </c>
      <c r="D212" s="137">
        <f t="shared" si="74"/>
        <v>0</v>
      </c>
      <c r="E212" s="137">
        <f t="shared" si="74"/>
        <v>0</v>
      </c>
      <c r="F212" s="137">
        <f t="shared" si="74"/>
        <v>0</v>
      </c>
      <c r="G212" s="137">
        <f t="shared" si="74"/>
        <v>0</v>
      </c>
      <c r="H212" s="137">
        <f t="shared" si="74"/>
        <v>0</v>
      </c>
      <c r="I212" s="137">
        <f t="shared" si="74"/>
        <v>0</v>
      </c>
      <c r="J212" s="137">
        <f t="shared" si="74"/>
        <v>0</v>
      </c>
      <c r="K212" s="137">
        <f t="shared" si="74"/>
        <v>0</v>
      </c>
      <c r="L212" s="137">
        <f t="shared" si="74"/>
        <v>0</v>
      </c>
      <c r="M212" s="137">
        <f t="shared" si="74"/>
        <v>0</v>
      </c>
      <c r="N212" s="137">
        <f t="shared" si="74"/>
        <v>0</v>
      </c>
      <c r="O212" s="137">
        <f t="shared" si="74"/>
        <v>0</v>
      </c>
      <c r="P212" s="137">
        <f t="shared" si="74"/>
        <v>0</v>
      </c>
      <c r="Q212" s="137">
        <f t="shared" si="74"/>
        <v>0</v>
      </c>
      <c r="R212" s="137">
        <f t="shared" si="74"/>
        <v>0</v>
      </c>
      <c r="S212" s="139">
        <f t="shared" si="67"/>
        <v>0</v>
      </c>
    </row>
    <row r="213" spans="1:19" hidden="1">
      <c r="B213" s="99">
        <f t="shared" si="65"/>
        <v>0</v>
      </c>
      <c r="C213" s="137">
        <f t="shared" ref="C213:R213" si="75">C187*kg_mt*VLOOKUP(C$203, stat_factors, 2, FALSE)</f>
        <v>0</v>
      </c>
      <c r="D213" s="137">
        <f t="shared" si="75"/>
        <v>0</v>
      </c>
      <c r="E213" s="137">
        <f t="shared" si="75"/>
        <v>0</v>
      </c>
      <c r="F213" s="137">
        <f t="shared" si="75"/>
        <v>0</v>
      </c>
      <c r="G213" s="137">
        <f t="shared" si="75"/>
        <v>0</v>
      </c>
      <c r="H213" s="137">
        <f t="shared" si="75"/>
        <v>0</v>
      </c>
      <c r="I213" s="137">
        <f t="shared" si="75"/>
        <v>0</v>
      </c>
      <c r="J213" s="137">
        <f t="shared" si="75"/>
        <v>0</v>
      </c>
      <c r="K213" s="137">
        <f t="shared" si="75"/>
        <v>0</v>
      </c>
      <c r="L213" s="137">
        <f t="shared" si="75"/>
        <v>0</v>
      </c>
      <c r="M213" s="137">
        <f t="shared" si="75"/>
        <v>0</v>
      </c>
      <c r="N213" s="137">
        <f t="shared" si="75"/>
        <v>0</v>
      </c>
      <c r="O213" s="137">
        <f t="shared" si="75"/>
        <v>0</v>
      </c>
      <c r="P213" s="137">
        <f t="shared" si="75"/>
        <v>0</v>
      </c>
      <c r="Q213" s="137">
        <f t="shared" si="75"/>
        <v>0</v>
      </c>
      <c r="R213" s="137">
        <f t="shared" si="75"/>
        <v>0</v>
      </c>
      <c r="S213" s="139">
        <f t="shared" si="67"/>
        <v>0</v>
      </c>
    </row>
    <row r="214" spans="1:19" hidden="1">
      <c r="B214" s="99">
        <f t="shared" si="65"/>
        <v>0</v>
      </c>
      <c r="C214" s="137">
        <f t="shared" ref="C214:R214" si="76">C188*kg_mt*VLOOKUP(C$203, stat_factors, 2, FALSE)</f>
        <v>0</v>
      </c>
      <c r="D214" s="137">
        <f t="shared" si="76"/>
        <v>0</v>
      </c>
      <c r="E214" s="137">
        <f t="shared" si="76"/>
        <v>0</v>
      </c>
      <c r="F214" s="137">
        <f t="shared" si="76"/>
        <v>0</v>
      </c>
      <c r="G214" s="137">
        <f t="shared" si="76"/>
        <v>0</v>
      </c>
      <c r="H214" s="137">
        <f t="shared" si="76"/>
        <v>0</v>
      </c>
      <c r="I214" s="137">
        <f t="shared" si="76"/>
        <v>0</v>
      </c>
      <c r="J214" s="137">
        <f t="shared" si="76"/>
        <v>0</v>
      </c>
      <c r="K214" s="137">
        <f t="shared" si="76"/>
        <v>0</v>
      </c>
      <c r="L214" s="137">
        <f t="shared" si="76"/>
        <v>0</v>
      </c>
      <c r="M214" s="137">
        <f t="shared" si="76"/>
        <v>0</v>
      </c>
      <c r="N214" s="137">
        <f t="shared" si="76"/>
        <v>0</v>
      </c>
      <c r="O214" s="137">
        <f t="shared" si="76"/>
        <v>0</v>
      </c>
      <c r="P214" s="137">
        <f t="shared" si="76"/>
        <v>0</v>
      </c>
      <c r="Q214" s="137">
        <f t="shared" si="76"/>
        <v>0</v>
      </c>
      <c r="R214" s="137">
        <f t="shared" si="76"/>
        <v>0</v>
      </c>
      <c r="S214" s="139">
        <f t="shared" si="67"/>
        <v>0</v>
      </c>
    </row>
    <row r="215" spans="1:19" hidden="1">
      <c r="B215" s="99">
        <f t="shared" si="65"/>
        <v>0</v>
      </c>
      <c r="C215" s="137">
        <f t="shared" ref="C215:R215" si="77">C189*kg_mt*VLOOKUP(C$203, stat_factors, 2, FALSE)</f>
        <v>0</v>
      </c>
      <c r="D215" s="137">
        <f t="shared" si="77"/>
        <v>0</v>
      </c>
      <c r="E215" s="137">
        <f t="shared" si="77"/>
        <v>0</v>
      </c>
      <c r="F215" s="137">
        <f t="shared" si="77"/>
        <v>0</v>
      </c>
      <c r="G215" s="137">
        <f t="shared" si="77"/>
        <v>0</v>
      </c>
      <c r="H215" s="137">
        <f t="shared" si="77"/>
        <v>0</v>
      </c>
      <c r="I215" s="137">
        <f t="shared" si="77"/>
        <v>0</v>
      </c>
      <c r="J215" s="137">
        <f t="shared" si="77"/>
        <v>0</v>
      </c>
      <c r="K215" s="137">
        <f t="shared" si="77"/>
        <v>0</v>
      </c>
      <c r="L215" s="137">
        <f t="shared" si="77"/>
        <v>0</v>
      </c>
      <c r="M215" s="137">
        <f t="shared" si="77"/>
        <v>0</v>
      </c>
      <c r="N215" s="137">
        <f t="shared" si="77"/>
        <v>0</v>
      </c>
      <c r="O215" s="137">
        <f t="shared" si="77"/>
        <v>0</v>
      </c>
      <c r="P215" s="137">
        <f t="shared" si="77"/>
        <v>0</v>
      </c>
      <c r="Q215" s="137">
        <f t="shared" si="77"/>
        <v>0</v>
      </c>
      <c r="R215" s="137">
        <f t="shared" si="77"/>
        <v>0</v>
      </c>
      <c r="S215" s="139">
        <f t="shared" si="67"/>
        <v>0</v>
      </c>
    </row>
    <row r="216" spans="1:19" hidden="1">
      <c r="B216" s="99">
        <f t="shared" si="65"/>
        <v>0</v>
      </c>
      <c r="C216" s="137">
        <f t="shared" ref="C216:R216" si="78">C190*kg_mt*VLOOKUP(C$203, stat_factors, 2, FALSE)</f>
        <v>0</v>
      </c>
      <c r="D216" s="137">
        <f t="shared" si="78"/>
        <v>0</v>
      </c>
      <c r="E216" s="137">
        <f t="shared" si="78"/>
        <v>0</v>
      </c>
      <c r="F216" s="137">
        <f t="shared" si="78"/>
        <v>0</v>
      </c>
      <c r="G216" s="137">
        <f t="shared" si="78"/>
        <v>0</v>
      </c>
      <c r="H216" s="137">
        <f t="shared" si="78"/>
        <v>0</v>
      </c>
      <c r="I216" s="137">
        <f t="shared" si="78"/>
        <v>0</v>
      </c>
      <c r="J216" s="137">
        <f t="shared" si="78"/>
        <v>0</v>
      </c>
      <c r="K216" s="137">
        <f t="shared" si="78"/>
        <v>0</v>
      </c>
      <c r="L216" s="137">
        <f t="shared" si="78"/>
        <v>0</v>
      </c>
      <c r="M216" s="137">
        <f t="shared" si="78"/>
        <v>0</v>
      </c>
      <c r="N216" s="137">
        <f t="shared" si="78"/>
        <v>0</v>
      </c>
      <c r="O216" s="137">
        <f t="shared" si="78"/>
        <v>0</v>
      </c>
      <c r="P216" s="137">
        <f t="shared" si="78"/>
        <v>0</v>
      </c>
      <c r="Q216" s="137">
        <f t="shared" si="78"/>
        <v>0</v>
      </c>
      <c r="R216" s="137">
        <f t="shared" si="78"/>
        <v>0</v>
      </c>
      <c r="S216" s="139">
        <f t="shared" si="67"/>
        <v>0</v>
      </c>
    </row>
    <row r="217" spans="1:19" hidden="1">
      <c r="B217" s="99">
        <f t="shared" si="65"/>
        <v>0</v>
      </c>
      <c r="C217" s="137">
        <f t="shared" ref="C217:R217" si="79">C191*kg_mt*VLOOKUP(C$203, stat_factors, 2, FALSE)</f>
        <v>0</v>
      </c>
      <c r="D217" s="137">
        <f t="shared" si="79"/>
        <v>0</v>
      </c>
      <c r="E217" s="137">
        <f t="shared" si="79"/>
        <v>0</v>
      </c>
      <c r="F217" s="137">
        <f t="shared" si="79"/>
        <v>0</v>
      </c>
      <c r="G217" s="137">
        <f t="shared" si="79"/>
        <v>0</v>
      </c>
      <c r="H217" s="137">
        <f t="shared" si="79"/>
        <v>0</v>
      </c>
      <c r="I217" s="137">
        <f t="shared" si="79"/>
        <v>0</v>
      </c>
      <c r="J217" s="137">
        <f t="shared" si="79"/>
        <v>0</v>
      </c>
      <c r="K217" s="137">
        <f t="shared" si="79"/>
        <v>0</v>
      </c>
      <c r="L217" s="137">
        <f t="shared" si="79"/>
        <v>0</v>
      </c>
      <c r="M217" s="137">
        <f t="shared" si="79"/>
        <v>0</v>
      </c>
      <c r="N217" s="137">
        <f t="shared" si="79"/>
        <v>0</v>
      </c>
      <c r="O217" s="137">
        <f t="shared" si="79"/>
        <v>0</v>
      </c>
      <c r="P217" s="137">
        <f t="shared" si="79"/>
        <v>0</v>
      </c>
      <c r="Q217" s="137">
        <f t="shared" si="79"/>
        <v>0</v>
      </c>
      <c r="R217" s="137">
        <f t="shared" si="79"/>
        <v>0</v>
      </c>
      <c r="S217" s="139">
        <f t="shared" si="67"/>
        <v>0</v>
      </c>
    </row>
    <row r="218" spans="1:19" hidden="1">
      <c r="B218" s="99">
        <f t="shared" si="65"/>
        <v>0</v>
      </c>
      <c r="C218" s="137">
        <f t="shared" ref="C218:R218" si="80">C192*kg_mt*VLOOKUP(C$203, stat_factors, 2, FALSE)</f>
        <v>0</v>
      </c>
      <c r="D218" s="137">
        <f t="shared" si="80"/>
        <v>0</v>
      </c>
      <c r="E218" s="137">
        <f t="shared" si="80"/>
        <v>0</v>
      </c>
      <c r="F218" s="137">
        <f t="shared" si="80"/>
        <v>0</v>
      </c>
      <c r="G218" s="137">
        <f t="shared" si="80"/>
        <v>0</v>
      </c>
      <c r="H218" s="137">
        <f t="shared" si="80"/>
        <v>0</v>
      </c>
      <c r="I218" s="137">
        <f t="shared" si="80"/>
        <v>0</v>
      </c>
      <c r="J218" s="137">
        <f t="shared" si="80"/>
        <v>0</v>
      </c>
      <c r="K218" s="137">
        <f t="shared" si="80"/>
        <v>0</v>
      </c>
      <c r="L218" s="137">
        <f t="shared" si="80"/>
        <v>0</v>
      </c>
      <c r="M218" s="137">
        <f t="shared" si="80"/>
        <v>0</v>
      </c>
      <c r="N218" s="137">
        <f t="shared" si="80"/>
        <v>0</v>
      </c>
      <c r="O218" s="137">
        <f t="shared" si="80"/>
        <v>0</v>
      </c>
      <c r="P218" s="137">
        <f t="shared" si="80"/>
        <v>0</v>
      </c>
      <c r="Q218" s="137">
        <f t="shared" si="80"/>
        <v>0</v>
      </c>
      <c r="R218" s="137">
        <f t="shared" si="80"/>
        <v>0</v>
      </c>
      <c r="S218" s="139">
        <f t="shared" si="67"/>
        <v>0</v>
      </c>
    </row>
    <row r="219" spans="1:19" hidden="1">
      <c r="B219" s="99">
        <f t="shared" si="65"/>
        <v>0</v>
      </c>
      <c r="C219" s="137">
        <f t="shared" ref="C219:R219" si="81">C193*kg_mt*VLOOKUP(C$203, stat_factors, 2, FALSE)</f>
        <v>0</v>
      </c>
      <c r="D219" s="137">
        <f t="shared" si="81"/>
        <v>0</v>
      </c>
      <c r="E219" s="137">
        <f t="shared" si="81"/>
        <v>0</v>
      </c>
      <c r="F219" s="137">
        <f t="shared" si="81"/>
        <v>0</v>
      </c>
      <c r="G219" s="137">
        <f t="shared" si="81"/>
        <v>0</v>
      </c>
      <c r="H219" s="137">
        <f t="shared" si="81"/>
        <v>0</v>
      </c>
      <c r="I219" s="137">
        <f t="shared" si="81"/>
        <v>0</v>
      </c>
      <c r="J219" s="137">
        <f t="shared" si="81"/>
        <v>0</v>
      </c>
      <c r="K219" s="137">
        <f t="shared" si="81"/>
        <v>0</v>
      </c>
      <c r="L219" s="137">
        <f t="shared" si="81"/>
        <v>0</v>
      </c>
      <c r="M219" s="137">
        <f t="shared" si="81"/>
        <v>0</v>
      </c>
      <c r="N219" s="137">
        <f t="shared" si="81"/>
        <v>0</v>
      </c>
      <c r="O219" s="137">
        <f t="shared" si="81"/>
        <v>0</v>
      </c>
      <c r="P219" s="137">
        <f t="shared" si="81"/>
        <v>0</v>
      </c>
      <c r="Q219" s="137">
        <f t="shared" si="81"/>
        <v>0</v>
      </c>
      <c r="R219" s="137">
        <f t="shared" si="81"/>
        <v>0</v>
      </c>
      <c r="S219" s="139">
        <f t="shared" si="67"/>
        <v>0</v>
      </c>
    </row>
    <row r="220" spans="1:19" hidden="1">
      <c r="B220" s="99">
        <f t="shared" si="65"/>
        <v>0</v>
      </c>
      <c r="C220" s="137">
        <f t="shared" ref="C220:R220" si="82">C194*kg_mt*VLOOKUP(C$203, stat_factors, 2, FALSE)</f>
        <v>0</v>
      </c>
      <c r="D220" s="137">
        <f t="shared" si="82"/>
        <v>0</v>
      </c>
      <c r="E220" s="137">
        <f t="shared" si="82"/>
        <v>0</v>
      </c>
      <c r="F220" s="137">
        <f t="shared" si="82"/>
        <v>0</v>
      </c>
      <c r="G220" s="137">
        <f t="shared" si="82"/>
        <v>0</v>
      </c>
      <c r="H220" s="137">
        <f t="shared" si="82"/>
        <v>0</v>
      </c>
      <c r="I220" s="137">
        <f t="shared" si="82"/>
        <v>0</v>
      </c>
      <c r="J220" s="137">
        <f t="shared" si="82"/>
        <v>0</v>
      </c>
      <c r="K220" s="137">
        <f t="shared" si="82"/>
        <v>0</v>
      </c>
      <c r="L220" s="137">
        <f t="shared" si="82"/>
        <v>0</v>
      </c>
      <c r="M220" s="137">
        <f t="shared" si="82"/>
        <v>0</v>
      </c>
      <c r="N220" s="137">
        <f t="shared" si="82"/>
        <v>0</v>
      </c>
      <c r="O220" s="137">
        <f t="shared" si="82"/>
        <v>0</v>
      </c>
      <c r="P220" s="137">
        <f t="shared" si="82"/>
        <v>0</v>
      </c>
      <c r="Q220" s="137">
        <f t="shared" si="82"/>
        <v>0</v>
      </c>
      <c r="R220" s="137">
        <f t="shared" si="82"/>
        <v>0</v>
      </c>
      <c r="S220" s="139">
        <f t="shared" si="67"/>
        <v>0</v>
      </c>
    </row>
    <row r="221" spans="1:19" hidden="1">
      <c r="B221" s="99">
        <f t="shared" si="65"/>
        <v>0</v>
      </c>
      <c r="C221" s="137">
        <f t="shared" ref="C221:R221" si="83">C195*kg_mt*VLOOKUP(C$203, stat_factors, 2, FALSE)</f>
        <v>0</v>
      </c>
      <c r="D221" s="137">
        <f t="shared" si="83"/>
        <v>0</v>
      </c>
      <c r="E221" s="137">
        <f t="shared" si="83"/>
        <v>0</v>
      </c>
      <c r="F221" s="137">
        <f t="shared" si="83"/>
        <v>0</v>
      </c>
      <c r="G221" s="137">
        <f t="shared" si="83"/>
        <v>0</v>
      </c>
      <c r="H221" s="137">
        <f t="shared" si="83"/>
        <v>0</v>
      </c>
      <c r="I221" s="137">
        <f t="shared" si="83"/>
        <v>0</v>
      </c>
      <c r="J221" s="137">
        <f t="shared" si="83"/>
        <v>0</v>
      </c>
      <c r="K221" s="137">
        <f t="shared" si="83"/>
        <v>0</v>
      </c>
      <c r="L221" s="137">
        <f t="shared" si="83"/>
        <v>0</v>
      </c>
      <c r="M221" s="137">
        <f t="shared" si="83"/>
        <v>0</v>
      </c>
      <c r="N221" s="137">
        <f t="shared" si="83"/>
        <v>0</v>
      </c>
      <c r="O221" s="137">
        <f t="shared" si="83"/>
        <v>0</v>
      </c>
      <c r="P221" s="137">
        <f t="shared" si="83"/>
        <v>0</v>
      </c>
      <c r="Q221" s="137">
        <f t="shared" si="83"/>
        <v>0</v>
      </c>
      <c r="R221" s="137">
        <f t="shared" si="83"/>
        <v>0</v>
      </c>
      <c r="S221" s="139">
        <f t="shared" si="67"/>
        <v>0</v>
      </c>
    </row>
    <row r="222" spans="1:19" hidden="1">
      <c r="B222" s="99">
        <f t="shared" si="65"/>
        <v>0</v>
      </c>
      <c r="C222" s="137">
        <f t="shared" ref="C222:R222" si="84">C196*kg_mt*VLOOKUP(C$203, stat_factors, 2, FALSE)</f>
        <v>0</v>
      </c>
      <c r="D222" s="137">
        <f t="shared" si="84"/>
        <v>0</v>
      </c>
      <c r="E222" s="137">
        <f t="shared" si="84"/>
        <v>0</v>
      </c>
      <c r="F222" s="137">
        <f t="shared" si="84"/>
        <v>0</v>
      </c>
      <c r="G222" s="137">
        <f t="shared" si="84"/>
        <v>0</v>
      </c>
      <c r="H222" s="137">
        <f t="shared" si="84"/>
        <v>0</v>
      </c>
      <c r="I222" s="137">
        <f t="shared" si="84"/>
        <v>0</v>
      </c>
      <c r="J222" s="137">
        <f t="shared" si="84"/>
        <v>0</v>
      </c>
      <c r="K222" s="137">
        <f t="shared" si="84"/>
        <v>0</v>
      </c>
      <c r="L222" s="137">
        <f t="shared" si="84"/>
        <v>0</v>
      </c>
      <c r="M222" s="137">
        <f t="shared" si="84"/>
        <v>0</v>
      </c>
      <c r="N222" s="137">
        <f t="shared" si="84"/>
        <v>0</v>
      </c>
      <c r="O222" s="137">
        <f t="shared" si="84"/>
        <v>0</v>
      </c>
      <c r="P222" s="137">
        <f t="shared" si="84"/>
        <v>0</v>
      </c>
      <c r="Q222" s="137">
        <f t="shared" si="84"/>
        <v>0</v>
      </c>
      <c r="R222" s="137">
        <f t="shared" si="84"/>
        <v>0</v>
      </c>
      <c r="S222" s="139">
        <f t="shared" si="67"/>
        <v>0</v>
      </c>
    </row>
    <row r="223" spans="1:19" hidden="1">
      <c r="A223" s="285"/>
      <c r="B223" s="99">
        <f t="shared" si="65"/>
        <v>0</v>
      </c>
      <c r="C223" s="137">
        <f t="shared" ref="C223:R223" si="85">C197*kg_mt*VLOOKUP(C$203, stat_factors, 2, FALSE)</f>
        <v>0</v>
      </c>
      <c r="D223" s="137">
        <f t="shared" si="85"/>
        <v>0</v>
      </c>
      <c r="E223" s="137">
        <f t="shared" si="85"/>
        <v>0</v>
      </c>
      <c r="F223" s="137">
        <f t="shared" si="85"/>
        <v>0</v>
      </c>
      <c r="G223" s="137">
        <f t="shared" si="85"/>
        <v>0</v>
      </c>
      <c r="H223" s="137">
        <f t="shared" si="85"/>
        <v>0</v>
      </c>
      <c r="I223" s="137">
        <f t="shared" si="85"/>
        <v>0</v>
      </c>
      <c r="J223" s="137">
        <f t="shared" si="85"/>
        <v>0</v>
      </c>
      <c r="K223" s="137">
        <f t="shared" si="85"/>
        <v>0</v>
      </c>
      <c r="L223" s="137">
        <f t="shared" si="85"/>
        <v>0</v>
      </c>
      <c r="M223" s="137">
        <f t="shared" si="85"/>
        <v>0</v>
      </c>
      <c r="N223" s="137">
        <f t="shared" si="85"/>
        <v>0</v>
      </c>
      <c r="O223" s="137">
        <f t="shared" si="85"/>
        <v>0</v>
      </c>
      <c r="P223" s="137">
        <f t="shared" si="85"/>
        <v>0</v>
      </c>
      <c r="Q223" s="137">
        <f t="shared" si="85"/>
        <v>0</v>
      </c>
      <c r="R223" s="137">
        <f t="shared" si="85"/>
        <v>0</v>
      </c>
      <c r="S223" s="139">
        <f t="shared" si="67"/>
        <v>0</v>
      </c>
    </row>
    <row r="224" spans="1:19">
      <c r="B224" s="860" t="s">
        <v>253</v>
      </c>
      <c r="C224" s="566">
        <f>SUM(C204:C223)</f>
        <v>0</v>
      </c>
      <c r="D224" s="566">
        <f t="shared" ref="D224:R224" si="86">SUM(D204:D223)</f>
        <v>0</v>
      </c>
      <c r="E224" s="566">
        <f t="shared" si="86"/>
        <v>0</v>
      </c>
      <c r="F224" s="566">
        <f t="shared" si="86"/>
        <v>0</v>
      </c>
      <c r="G224" s="566">
        <f t="shared" si="86"/>
        <v>0</v>
      </c>
      <c r="H224" s="566">
        <f t="shared" si="86"/>
        <v>0</v>
      </c>
      <c r="I224" s="566">
        <f t="shared" si="86"/>
        <v>0</v>
      </c>
      <c r="J224" s="566">
        <f t="shared" si="86"/>
        <v>0</v>
      </c>
      <c r="K224" s="566">
        <f t="shared" si="86"/>
        <v>0</v>
      </c>
      <c r="L224" s="566">
        <f t="shared" si="86"/>
        <v>0</v>
      </c>
      <c r="M224" s="566">
        <f t="shared" ref="M224:O224" si="87">SUM(M204:M223)</f>
        <v>0</v>
      </c>
      <c r="N224" s="566">
        <f t="shared" si="87"/>
        <v>0</v>
      </c>
      <c r="O224" s="566">
        <f t="shared" si="87"/>
        <v>0</v>
      </c>
      <c r="P224" s="566">
        <f t="shared" si="86"/>
        <v>0</v>
      </c>
      <c r="Q224" s="566">
        <f t="shared" si="86"/>
        <v>0</v>
      </c>
      <c r="R224" s="566">
        <f t="shared" si="86"/>
        <v>0</v>
      </c>
      <c r="S224" s="862">
        <f>SUM(S204:S223)</f>
        <v>0</v>
      </c>
    </row>
    <row r="225" spans="1:22">
      <c r="B225" s="27"/>
      <c r="C225" s="783"/>
      <c r="D225" s="27"/>
      <c r="E225" s="783"/>
      <c r="F225" s="27"/>
      <c r="G225" s="783"/>
      <c r="H225" s="27"/>
      <c r="I225" s="783"/>
      <c r="J225" s="27"/>
      <c r="K225" s="783"/>
      <c r="L225" s="27"/>
      <c r="M225" s="783"/>
      <c r="N225" s="27"/>
      <c r="O225" s="783"/>
      <c r="P225" s="27"/>
      <c r="Q225" s="783"/>
      <c r="R225" s="27"/>
      <c r="S225" s="783"/>
    </row>
    <row r="226" spans="1:22" ht="16.5">
      <c r="A226" s="265" t="s">
        <v>296</v>
      </c>
      <c r="S226" s="61"/>
    </row>
    <row r="227" spans="1:22" s="377" customFormat="1" ht="44.5">
      <c r="A227" s="287"/>
      <c r="B227" s="868" t="s">
        <v>20</v>
      </c>
      <c r="C227" s="96" t="str">
        <f t="array" ref="C227:L227">TRANSPOSE($B$158:$B$167)</f>
        <v>Natural Gas</v>
      </c>
      <c r="D227" s="96" t="str">
        <v>Diesel</v>
      </c>
      <c r="E227" s="96" t="str">
        <v>Gasoline</v>
      </c>
      <c r="F227" s="96" t="str">
        <v>LPG</v>
      </c>
      <c r="G227" s="96" t="str">
        <v>Propane</v>
      </c>
      <c r="H227" s="96" t="str">
        <v>Butane</v>
      </c>
      <c r="I227" s="96" t="str">
        <v>Residual Fuel Oil No. 5</v>
      </c>
      <c r="J227" s="96" t="str">
        <v>Residual Fuel Oil No. 6</v>
      </c>
      <c r="K227" s="96" t="str">
        <v>Jet Fuel</v>
      </c>
      <c r="L227" s="96" t="str">
        <v>Residential Coal</v>
      </c>
      <c r="M227" s="96" t="s">
        <v>267</v>
      </c>
      <c r="N227" s="96" t="s">
        <v>268</v>
      </c>
      <c r="O227" s="96" t="s">
        <v>269</v>
      </c>
      <c r="P227" s="96" t="s">
        <v>171</v>
      </c>
      <c r="Q227" s="96" t="s">
        <v>270</v>
      </c>
      <c r="R227" s="96" t="s">
        <v>271</v>
      </c>
      <c r="S227" s="868" t="s">
        <v>263</v>
      </c>
      <c r="T227" s="118"/>
      <c r="U227" s="118"/>
      <c r="V227" s="1011"/>
    </row>
    <row r="228" spans="1:22">
      <c r="A228" s="284" t="s">
        <v>101</v>
      </c>
      <c r="B228" s="99" t="str">
        <f>B204</f>
        <v>Residential</v>
      </c>
      <c r="C228" s="351">
        <f t="shared" ref="C228:R228" si="88">C178*kg_mt*VLOOKUP(C$227, stat_factors, 3, FALSE)*CH4_CO2e</f>
        <v>0</v>
      </c>
      <c r="D228" s="351">
        <f t="shared" si="88"/>
        <v>0</v>
      </c>
      <c r="E228" s="351">
        <f t="shared" si="88"/>
        <v>0</v>
      </c>
      <c r="F228" s="351">
        <f t="shared" si="88"/>
        <v>0</v>
      </c>
      <c r="G228" s="351">
        <f t="shared" si="88"/>
        <v>0</v>
      </c>
      <c r="H228" s="351">
        <f t="shared" si="88"/>
        <v>0</v>
      </c>
      <c r="I228" s="351">
        <f t="shared" si="88"/>
        <v>0</v>
      </c>
      <c r="J228" s="351">
        <f t="shared" si="88"/>
        <v>0</v>
      </c>
      <c r="K228" s="351">
        <f t="shared" si="88"/>
        <v>0</v>
      </c>
      <c r="L228" s="351">
        <f t="shared" si="88"/>
        <v>0</v>
      </c>
      <c r="M228" s="351">
        <f t="shared" si="88"/>
        <v>0</v>
      </c>
      <c r="N228" s="351">
        <f t="shared" si="88"/>
        <v>0</v>
      </c>
      <c r="O228" s="351">
        <f t="shared" si="88"/>
        <v>0</v>
      </c>
      <c r="P228" s="351">
        <f t="shared" si="88"/>
        <v>0</v>
      </c>
      <c r="Q228" s="351">
        <f t="shared" si="88"/>
        <v>0</v>
      </c>
      <c r="R228" s="351">
        <f t="shared" si="88"/>
        <v>0</v>
      </c>
      <c r="S228" s="336">
        <f>SUM(C228:R228)</f>
        <v>0</v>
      </c>
    </row>
    <row r="229" spans="1:22">
      <c r="B229" s="99" t="str">
        <f t="shared" ref="B229:B247" si="89">B205</f>
        <v>Commercial/Institutional</v>
      </c>
      <c r="C229" s="351">
        <f t="shared" ref="C229:R229" si="90">C179*kg_mt*VLOOKUP(C$227, stat_factors, 3, FALSE)*CH4_CO2e</f>
        <v>0</v>
      </c>
      <c r="D229" s="351">
        <f t="shared" si="90"/>
        <v>0</v>
      </c>
      <c r="E229" s="351">
        <f t="shared" si="90"/>
        <v>0</v>
      </c>
      <c r="F229" s="351">
        <f t="shared" si="90"/>
        <v>0</v>
      </c>
      <c r="G229" s="351">
        <f t="shared" si="90"/>
        <v>0</v>
      </c>
      <c r="H229" s="351">
        <f t="shared" si="90"/>
        <v>0</v>
      </c>
      <c r="I229" s="351">
        <f t="shared" si="90"/>
        <v>0</v>
      </c>
      <c r="J229" s="351">
        <f t="shared" si="90"/>
        <v>0</v>
      </c>
      <c r="K229" s="351">
        <f t="shared" si="90"/>
        <v>0</v>
      </c>
      <c r="L229" s="351">
        <f t="shared" si="90"/>
        <v>0</v>
      </c>
      <c r="M229" s="351">
        <f t="shared" si="90"/>
        <v>0</v>
      </c>
      <c r="N229" s="351">
        <f t="shared" si="90"/>
        <v>0</v>
      </c>
      <c r="O229" s="351">
        <f t="shared" si="90"/>
        <v>0</v>
      </c>
      <c r="P229" s="351">
        <f t="shared" si="90"/>
        <v>0</v>
      </c>
      <c r="Q229" s="351">
        <f t="shared" si="90"/>
        <v>0</v>
      </c>
      <c r="R229" s="351">
        <f t="shared" si="90"/>
        <v>0</v>
      </c>
      <c r="S229" s="336">
        <f t="shared" ref="S229:S247" si="91">SUM(C229:R229)</f>
        <v>0</v>
      </c>
    </row>
    <row r="230" spans="1:22">
      <c r="B230" s="99" t="str">
        <f t="shared" si="89"/>
        <v>Industrial</v>
      </c>
      <c r="C230" s="351">
        <f t="shared" ref="C230:R230" si="92">C180*kg_mt*VLOOKUP(C$227, stat_factors, 3, FALSE)*CH4_CO2e</f>
        <v>0</v>
      </c>
      <c r="D230" s="351">
        <f t="shared" si="92"/>
        <v>0</v>
      </c>
      <c r="E230" s="351">
        <f t="shared" si="92"/>
        <v>0</v>
      </c>
      <c r="F230" s="351">
        <f t="shared" si="92"/>
        <v>0</v>
      </c>
      <c r="G230" s="351">
        <f t="shared" si="92"/>
        <v>0</v>
      </c>
      <c r="H230" s="351">
        <f t="shared" si="92"/>
        <v>0</v>
      </c>
      <c r="I230" s="351">
        <f t="shared" si="92"/>
        <v>0</v>
      </c>
      <c r="J230" s="351">
        <f t="shared" si="92"/>
        <v>0</v>
      </c>
      <c r="K230" s="351">
        <f t="shared" si="92"/>
        <v>0</v>
      </c>
      <c r="L230" s="351">
        <f t="shared" si="92"/>
        <v>0</v>
      </c>
      <c r="M230" s="351">
        <f t="shared" si="92"/>
        <v>0</v>
      </c>
      <c r="N230" s="351">
        <f t="shared" si="92"/>
        <v>0</v>
      </c>
      <c r="O230" s="351">
        <f t="shared" si="92"/>
        <v>0</v>
      </c>
      <c r="P230" s="351">
        <f t="shared" si="92"/>
        <v>0</v>
      </c>
      <c r="Q230" s="351">
        <f t="shared" si="92"/>
        <v>0</v>
      </c>
      <c r="R230" s="351">
        <f t="shared" si="92"/>
        <v>0</v>
      </c>
      <c r="S230" s="336">
        <f t="shared" si="91"/>
        <v>0</v>
      </c>
    </row>
    <row r="231" spans="1:22">
      <c r="B231" s="99" t="str">
        <f t="shared" si="89"/>
        <v>Energy Generation</v>
      </c>
      <c r="C231" s="351">
        <f t="shared" ref="C231:R231" si="93">C181*kg_mt*VLOOKUP(C$227, stat_factors, 3, FALSE)*CH4_CO2e</f>
        <v>0</v>
      </c>
      <c r="D231" s="351">
        <f t="shared" si="93"/>
        <v>0</v>
      </c>
      <c r="E231" s="351">
        <f t="shared" si="93"/>
        <v>0</v>
      </c>
      <c r="F231" s="351">
        <f t="shared" si="93"/>
        <v>0</v>
      </c>
      <c r="G231" s="351">
        <f t="shared" si="93"/>
        <v>0</v>
      </c>
      <c r="H231" s="351">
        <f t="shared" si="93"/>
        <v>0</v>
      </c>
      <c r="I231" s="351">
        <f t="shared" si="93"/>
        <v>0</v>
      </c>
      <c r="J231" s="351">
        <f t="shared" si="93"/>
        <v>0</v>
      </c>
      <c r="K231" s="351">
        <f t="shared" si="93"/>
        <v>0</v>
      </c>
      <c r="L231" s="351">
        <f t="shared" si="93"/>
        <v>0</v>
      </c>
      <c r="M231" s="351">
        <f t="shared" si="93"/>
        <v>0</v>
      </c>
      <c r="N231" s="351">
        <f t="shared" si="93"/>
        <v>0</v>
      </c>
      <c r="O231" s="351">
        <f t="shared" si="93"/>
        <v>0</v>
      </c>
      <c r="P231" s="351">
        <f t="shared" si="93"/>
        <v>0</v>
      </c>
      <c r="Q231" s="351">
        <f t="shared" si="93"/>
        <v>0</v>
      </c>
      <c r="R231" s="351">
        <f t="shared" si="93"/>
        <v>0</v>
      </c>
      <c r="S231" s="336">
        <f t="shared" si="91"/>
        <v>0</v>
      </c>
    </row>
    <row r="232" spans="1:22" hidden="1">
      <c r="B232" s="99">
        <f t="shared" si="89"/>
        <v>0</v>
      </c>
      <c r="C232" s="351">
        <f t="shared" ref="C232:R232" si="94">C182*kg_mt*VLOOKUP(C$227, stat_factors, 3, FALSE)*CH4_CO2e</f>
        <v>0</v>
      </c>
      <c r="D232" s="351">
        <f t="shared" si="94"/>
        <v>0</v>
      </c>
      <c r="E232" s="351">
        <f t="shared" si="94"/>
        <v>0</v>
      </c>
      <c r="F232" s="351">
        <f t="shared" si="94"/>
        <v>0</v>
      </c>
      <c r="G232" s="351">
        <f t="shared" si="94"/>
        <v>0</v>
      </c>
      <c r="H232" s="351">
        <f t="shared" si="94"/>
        <v>0</v>
      </c>
      <c r="I232" s="351">
        <f t="shared" si="94"/>
        <v>0</v>
      </c>
      <c r="J232" s="351">
        <f t="shared" si="94"/>
        <v>0</v>
      </c>
      <c r="K232" s="351">
        <f t="shared" si="94"/>
        <v>0</v>
      </c>
      <c r="L232" s="351">
        <f t="shared" si="94"/>
        <v>0</v>
      </c>
      <c r="M232" s="351">
        <f t="shared" si="94"/>
        <v>0</v>
      </c>
      <c r="N232" s="351">
        <f t="shared" si="94"/>
        <v>0</v>
      </c>
      <c r="O232" s="351">
        <f t="shared" si="94"/>
        <v>0</v>
      </c>
      <c r="P232" s="351">
        <f t="shared" si="94"/>
        <v>0</v>
      </c>
      <c r="Q232" s="351">
        <f t="shared" si="94"/>
        <v>0</v>
      </c>
      <c r="R232" s="351">
        <f t="shared" si="94"/>
        <v>0</v>
      </c>
      <c r="S232" s="336">
        <f t="shared" si="91"/>
        <v>0</v>
      </c>
    </row>
    <row r="233" spans="1:22" hidden="1">
      <c r="B233" s="99">
        <f t="shared" si="89"/>
        <v>0</v>
      </c>
      <c r="C233" s="351">
        <f t="shared" ref="C233:R233" si="95">C183*kg_mt*VLOOKUP(C$227, stat_factors, 3, FALSE)*CH4_CO2e</f>
        <v>0</v>
      </c>
      <c r="D233" s="351">
        <f t="shared" si="95"/>
        <v>0</v>
      </c>
      <c r="E233" s="351">
        <f t="shared" si="95"/>
        <v>0</v>
      </c>
      <c r="F233" s="351">
        <f t="shared" si="95"/>
        <v>0</v>
      </c>
      <c r="G233" s="351">
        <f t="shared" si="95"/>
        <v>0</v>
      </c>
      <c r="H233" s="351">
        <f t="shared" si="95"/>
        <v>0</v>
      </c>
      <c r="I233" s="351">
        <f t="shared" si="95"/>
        <v>0</v>
      </c>
      <c r="J233" s="351">
        <f t="shared" si="95"/>
        <v>0</v>
      </c>
      <c r="K233" s="351">
        <f t="shared" si="95"/>
        <v>0</v>
      </c>
      <c r="L233" s="351">
        <f t="shared" si="95"/>
        <v>0</v>
      </c>
      <c r="M233" s="351">
        <f t="shared" si="95"/>
        <v>0</v>
      </c>
      <c r="N233" s="351">
        <f t="shared" si="95"/>
        <v>0</v>
      </c>
      <c r="O233" s="351">
        <f t="shared" si="95"/>
        <v>0</v>
      </c>
      <c r="P233" s="351">
        <f t="shared" si="95"/>
        <v>0</v>
      </c>
      <c r="Q233" s="351">
        <f t="shared" si="95"/>
        <v>0</v>
      </c>
      <c r="R233" s="351">
        <f t="shared" si="95"/>
        <v>0</v>
      </c>
      <c r="S233" s="336">
        <f t="shared" si="91"/>
        <v>0</v>
      </c>
    </row>
    <row r="234" spans="1:22" hidden="1">
      <c r="B234" s="99">
        <f t="shared" si="89"/>
        <v>0</v>
      </c>
      <c r="C234" s="351">
        <f t="shared" ref="C234:R234" si="96">C184*kg_mt*VLOOKUP(C$227, stat_factors, 3, FALSE)*CH4_CO2e</f>
        <v>0</v>
      </c>
      <c r="D234" s="351">
        <f t="shared" si="96"/>
        <v>0</v>
      </c>
      <c r="E234" s="351">
        <f t="shared" si="96"/>
        <v>0</v>
      </c>
      <c r="F234" s="351">
        <f t="shared" si="96"/>
        <v>0</v>
      </c>
      <c r="G234" s="351">
        <f t="shared" si="96"/>
        <v>0</v>
      </c>
      <c r="H234" s="351">
        <f t="shared" si="96"/>
        <v>0</v>
      </c>
      <c r="I234" s="351">
        <f t="shared" si="96"/>
        <v>0</v>
      </c>
      <c r="J234" s="351">
        <f t="shared" si="96"/>
        <v>0</v>
      </c>
      <c r="K234" s="351">
        <f t="shared" si="96"/>
        <v>0</v>
      </c>
      <c r="L234" s="351">
        <f t="shared" si="96"/>
        <v>0</v>
      </c>
      <c r="M234" s="351">
        <f t="shared" si="96"/>
        <v>0</v>
      </c>
      <c r="N234" s="351">
        <f t="shared" si="96"/>
        <v>0</v>
      </c>
      <c r="O234" s="351">
        <f t="shared" si="96"/>
        <v>0</v>
      </c>
      <c r="P234" s="351">
        <f t="shared" si="96"/>
        <v>0</v>
      </c>
      <c r="Q234" s="351">
        <f t="shared" si="96"/>
        <v>0</v>
      </c>
      <c r="R234" s="351">
        <f t="shared" si="96"/>
        <v>0</v>
      </c>
      <c r="S234" s="336">
        <f t="shared" si="91"/>
        <v>0</v>
      </c>
    </row>
    <row r="235" spans="1:22" hidden="1">
      <c r="B235" s="99">
        <f t="shared" si="89"/>
        <v>0</v>
      </c>
      <c r="C235" s="351">
        <f t="shared" ref="C235:R235" si="97">C185*kg_mt*VLOOKUP(C$227, stat_factors, 3, FALSE)*CH4_CO2e</f>
        <v>0</v>
      </c>
      <c r="D235" s="351">
        <f t="shared" si="97"/>
        <v>0</v>
      </c>
      <c r="E235" s="351">
        <f t="shared" si="97"/>
        <v>0</v>
      </c>
      <c r="F235" s="351">
        <f t="shared" si="97"/>
        <v>0</v>
      </c>
      <c r="G235" s="351">
        <f t="shared" si="97"/>
        <v>0</v>
      </c>
      <c r="H235" s="351">
        <f t="shared" si="97"/>
        <v>0</v>
      </c>
      <c r="I235" s="351">
        <f t="shared" si="97"/>
        <v>0</v>
      </c>
      <c r="J235" s="351">
        <f t="shared" si="97"/>
        <v>0</v>
      </c>
      <c r="K235" s="351">
        <f t="shared" si="97"/>
        <v>0</v>
      </c>
      <c r="L235" s="351">
        <f t="shared" si="97"/>
        <v>0</v>
      </c>
      <c r="M235" s="351">
        <f t="shared" si="97"/>
        <v>0</v>
      </c>
      <c r="N235" s="351">
        <f t="shared" si="97"/>
        <v>0</v>
      </c>
      <c r="O235" s="351">
        <f t="shared" si="97"/>
        <v>0</v>
      </c>
      <c r="P235" s="351">
        <f t="shared" si="97"/>
        <v>0</v>
      </c>
      <c r="Q235" s="351">
        <f t="shared" si="97"/>
        <v>0</v>
      </c>
      <c r="R235" s="351">
        <f t="shared" si="97"/>
        <v>0</v>
      </c>
      <c r="S235" s="336">
        <f>SUM(C235:R235)</f>
        <v>0</v>
      </c>
    </row>
    <row r="236" spans="1:22" hidden="1">
      <c r="B236" s="99">
        <f t="shared" si="89"/>
        <v>0</v>
      </c>
      <c r="C236" s="351">
        <f t="shared" ref="C236:R236" si="98">C186*kg_mt*VLOOKUP(C$227, stat_factors, 3, FALSE)*CH4_CO2e</f>
        <v>0</v>
      </c>
      <c r="D236" s="351">
        <f t="shared" si="98"/>
        <v>0</v>
      </c>
      <c r="E236" s="351">
        <f t="shared" si="98"/>
        <v>0</v>
      </c>
      <c r="F236" s="351">
        <f t="shared" si="98"/>
        <v>0</v>
      </c>
      <c r="G236" s="351">
        <f t="shared" si="98"/>
        <v>0</v>
      </c>
      <c r="H236" s="351">
        <f t="shared" si="98"/>
        <v>0</v>
      </c>
      <c r="I236" s="351">
        <f t="shared" si="98"/>
        <v>0</v>
      </c>
      <c r="J236" s="351">
        <f t="shared" si="98"/>
        <v>0</v>
      </c>
      <c r="K236" s="351">
        <f t="shared" si="98"/>
        <v>0</v>
      </c>
      <c r="L236" s="351">
        <f t="shared" si="98"/>
        <v>0</v>
      </c>
      <c r="M236" s="351">
        <f t="shared" si="98"/>
        <v>0</v>
      </c>
      <c r="N236" s="351">
        <f t="shared" si="98"/>
        <v>0</v>
      </c>
      <c r="O236" s="351">
        <f t="shared" si="98"/>
        <v>0</v>
      </c>
      <c r="P236" s="351">
        <f t="shared" si="98"/>
        <v>0</v>
      </c>
      <c r="Q236" s="351">
        <f t="shared" si="98"/>
        <v>0</v>
      </c>
      <c r="R236" s="351">
        <f t="shared" si="98"/>
        <v>0</v>
      </c>
      <c r="S236" s="336">
        <f t="shared" si="91"/>
        <v>0</v>
      </c>
    </row>
    <row r="237" spans="1:22" hidden="1">
      <c r="B237" s="99">
        <f t="shared" si="89"/>
        <v>0</v>
      </c>
      <c r="C237" s="351">
        <f t="shared" ref="C237:R237" si="99">C187*kg_mt*VLOOKUP(C$227, stat_factors, 3, FALSE)*CH4_CO2e</f>
        <v>0</v>
      </c>
      <c r="D237" s="351">
        <f t="shared" si="99"/>
        <v>0</v>
      </c>
      <c r="E237" s="351">
        <f t="shared" si="99"/>
        <v>0</v>
      </c>
      <c r="F237" s="351">
        <f t="shared" si="99"/>
        <v>0</v>
      </c>
      <c r="G237" s="351">
        <f t="shared" si="99"/>
        <v>0</v>
      </c>
      <c r="H237" s="351">
        <f t="shared" si="99"/>
        <v>0</v>
      </c>
      <c r="I237" s="351">
        <f t="shared" si="99"/>
        <v>0</v>
      </c>
      <c r="J237" s="351">
        <f t="shared" si="99"/>
        <v>0</v>
      </c>
      <c r="K237" s="351">
        <f t="shared" si="99"/>
        <v>0</v>
      </c>
      <c r="L237" s="351">
        <f t="shared" si="99"/>
        <v>0</v>
      </c>
      <c r="M237" s="351">
        <f t="shared" si="99"/>
        <v>0</v>
      </c>
      <c r="N237" s="351">
        <f t="shared" si="99"/>
        <v>0</v>
      </c>
      <c r="O237" s="351">
        <f t="shared" si="99"/>
        <v>0</v>
      </c>
      <c r="P237" s="351">
        <f t="shared" si="99"/>
        <v>0</v>
      </c>
      <c r="Q237" s="351">
        <f t="shared" si="99"/>
        <v>0</v>
      </c>
      <c r="R237" s="351">
        <f t="shared" si="99"/>
        <v>0</v>
      </c>
      <c r="S237" s="336">
        <f t="shared" si="91"/>
        <v>0</v>
      </c>
    </row>
    <row r="238" spans="1:22" hidden="1">
      <c r="B238" s="99">
        <f t="shared" si="89"/>
        <v>0</v>
      </c>
      <c r="C238" s="351">
        <f t="shared" ref="C238:R238" si="100">C188*kg_mt*VLOOKUP(C$227, stat_factors, 3, FALSE)*CH4_CO2e</f>
        <v>0</v>
      </c>
      <c r="D238" s="351">
        <f t="shared" si="100"/>
        <v>0</v>
      </c>
      <c r="E238" s="351">
        <f t="shared" si="100"/>
        <v>0</v>
      </c>
      <c r="F238" s="351">
        <f t="shared" si="100"/>
        <v>0</v>
      </c>
      <c r="G238" s="351">
        <f t="shared" si="100"/>
        <v>0</v>
      </c>
      <c r="H238" s="351">
        <f t="shared" si="100"/>
        <v>0</v>
      </c>
      <c r="I238" s="351">
        <f t="shared" si="100"/>
        <v>0</v>
      </c>
      <c r="J238" s="351">
        <f t="shared" si="100"/>
        <v>0</v>
      </c>
      <c r="K238" s="351">
        <f t="shared" si="100"/>
        <v>0</v>
      </c>
      <c r="L238" s="351">
        <f t="shared" si="100"/>
        <v>0</v>
      </c>
      <c r="M238" s="351">
        <f t="shared" si="100"/>
        <v>0</v>
      </c>
      <c r="N238" s="351">
        <f t="shared" si="100"/>
        <v>0</v>
      </c>
      <c r="O238" s="351">
        <f t="shared" si="100"/>
        <v>0</v>
      </c>
      <c r="P238" s="351">
        <f t="shared" si="100"/>
        <v>0</v>
      </c>
      <c r="Q238" s="351">
        <f t="shared" si="100"/>
        <v>0</v>
      </c>
      <c r="R238" s="351">
        <f t="shared" si="100"/>
        <v>0</v>
      </c>
      <c r="S238" s="336">
        <f t="shared" si="91"/>
        <v>0</v>
      </c>
    </row>
    <row r="239" spans="1:22" hidden="1">
      <c r="B239" s="99">
        <f t="shared" si="89"/>
        <v>0</v>
      </c>
      <c r="C239" s="351">
        <f t="shared" ref="C239:R239" si="101">C189*kg_mt*VLOOKUP(C$227, stat_factors, 3, FALSE)*CH4_CO2e</f>
        <v>0</v>
      </c>
      <c r="D239" s="351">
        <f t="shared" si="101"/>
        <v>0</v>
      </c>
      <c r="E239" s="351">
        <f t="shared" si="101"/>
        <v>0</v>
      </c>
      <c r="F239" s="351">
        <f t="shared" si="101"/>
        <v>0</v>
      </c>
      <c r="G239" s="351">
        <f t="shared" si="101"/>
        <v>0</v>
      </c>
      <c r="H239" s="351">
        <f t="shared" si="101"/>
        <v>0</v>
      </c>
      <c r="I239" s="351">
        <f t="shared" si="101"/>
        <v>0</v>
      </c>
      <c r="J239" s="351">
        <f t="shared" si="101"/>
        <v>0</v>
      </c>
      <c r="K239" s="351">
        <f t="shared" si="101"/>
        <v>0</v>
      </c>
      <c r="L239" s="351">
        <f t="shared" si="101"/>
        <v>0</v>
      </c>
      <c r="M239" s="351">
        <f t="shared" si="101"/>
        <v>0</v>
      </c>
      <c r="N239" s="351">
        <f t="shared" si="101"/>
        <v>0</v>
      </c>
      <c r="O239" s="351">
        <f t="shared" si="101"/>
        <v>0</v>
      </c>
      <c r="P239" s="351">
        <f t="shared" si="101"/>
        <v>0</v>
      </c>
      <c r="Q239" s="351">
        <f t="shared" si="101"/>
        <v>0</v>
      </c>
      <c r="R239" s="351">
        <f t="shared" si="101"/>
        <v>0</v>
      </c>
      <c r="S239" s="336">
        <f t="shared" si="91"/>
        <v>0</v>
      </c>
    </row>
    <row r="240" spans="1:22" hidden="1">
      <c r="B240" s="99">
        <f t="shared" si="89"/>
        <v>0</v>
      </c>
      <c r="C240" s="351">
        <f t="shared" ref="C240:R240" si="102">C190*kg_mt*VLOOKUP(C$227, stat_factors, 3, FALSE)*CH4_CO2e</f>
        <v>0</v>
      </c>
      <c r="D240" s="351">
        <f t="shared" si="102"/>
        <v>0</v>
      </c>
      <c r="E240" s="351">
        <f t="shared" si="102"/>
        <v>0</v>
      </c>
      <c r="F240" s="351">
        <f t="shared" si="102"/>
        <v>0</v>
      </c>
      <c r="G240" s="351">
        <f t="shared" si="102"/>
        <v>0</v>
      </c>
      <c r="H240" s="351">
        <f t="shared" si="102"/>
        <v>0</v>
      </c>
      <c r="I240" s="351">
        <f t="shared" si="102"/>
        <v>0</v>
      </c>
      <c r="J240" s="351">
        <f t="shared" si="102"/>
        <v>0</v>
      </c>
      <c r="K240" s="351">
        <f t="shared" si="102"/>
        <v>0</v>
      </c>
      <c r="L240" s="351">
        <f t="shared" si="102"/>
        <v>0</v>
      </c>
      <c r="M240" s="351">
        <f t="shared" si="102"/>
        <v>0</v>
      </c>
      <c r="N240" s="351">
        <f t="shared" si="102"/>
        <v>0</v>
      </c>
      <c r="O240" s="351">
        <f t="shared" si="102"/>
        <v>0</v>
      </c>
      <c r="P240" s="351">
        <f t="shared" si="102"/>
        <v>0</v>
      </c>
      <c r="Q240" s="351">
        <f t="shared" si="102"/>
        <v>0</v>
      </c>
      <c r="R240" s="351">
        <f t="shared" si="102"/>
        <v>0</v>
      </c>
      <c r="S240" s="336">
        <f t="shared" si="91"/>
        <v>0</v>
      </c>
    </row>
    <row r="241" spans="1:22" hidden="1">
      <c r="B241" s="99">
        <f t="shared" si="89"/>
        <v>0</v>
      </c>
      <c r="C241" s="351">
        <f t="shared" ref="C241:R241" si="103">C191*kg_mt*VLOOKUP(C$227, stat_factors, 3, FALSE)*CH4_CO2e</f>
        <v>0</v>
      </c>
      <c r="D241" s="351">
        <f t="shared" si="103"/>
        <v>0</v>
      </c>
      <c r="E241" s="351">
        <f t="shared" si="103"/>
        <v>0</v>
      </c>
      <c r="F241" s="351">
        <f t="shared" si="103"/>
        <v>0</v>
      </c>
      <c r="G241" s="351">
        <f t="shared" si="103"/>
        <v>0</v>
      </c>
      <c r="H241" s="351">
        <f t="shared" si="103"/>
        <v>0</v>
      </c>
      <c r="I241" s="351">
        <f t="shared" si="103"/>
        <v>0</v>
      </c>
      <c r="J241" s="351">
        <f t="shared" si="103"/>
        <v>0</v>
      </c>
      <c r="K241" s="351">
        <f t="shared" si="103"/>
        <v>0</v>
      </c>
      <c r="L241" s="351">
        <f t="shared" si="103"/>
        <v>0</v>
      </c>
      <c r="M241" s="351">
        <f t="shared" si="103"/>
        <v>0</v>
      </c>
      <c r="N241" s="351">
        <f t="shared" si="103"/>
        <v>0</v>
      </c>
      <c r="O241" s="351">
        <f t="shared" si="103"/>
        <v>0</v>
      </c>
      <c r="P241" s="351">
        <f t="shared" si="103"/>
        <v>0</v>
      </c>
      <c r="Q241" s="351">
        <f t="shared" si="103"/>
        <v>0</v>
      </c>
      <c r="R241" s="351">
        <f t="shared" si="103"/>
        <v>0</v>
      </c>
      <c r="S241" s="336">
        <f t="shared" si="91"/>
        <v>0</v>
      </c>
    </row>
    <row r="242" spans="1:22" hidden="1">
      <c r="B242" s="99">
        <f t="shared" si="89"/>
        <v>0</v>
      </c>
      <c r="C242" s="351">
        <f t="shared" ref="C242:R242" si="104">C192*kg_mt*VLOOKUP(C$227, stat_factors, 3, FALSE)*CH4_CO2e</f>
        <v>0</v>
      </c>
      <c r="D242" s="351">
        <f t="shared" si="104"/>
        <v>0</v>
      </c>
      <c r="E242" s="351">
        <f t="shared" si="104"/>
        <v>0</v>
      </c>
      <c r="F242" s="351">
        <f t="shared" si="104"/>
        <v>0</v>
      </c>
      <c r="G242" s="351">
        <f t="shared" si="104"/>
        <v>0</v>
      </c>
      <c r="H242" s="351">
        <f t="shared" si="104"/>
        <v>0</v>
      </c>
      <c r="I242" s="351">
        <f t="shared" si="104"/>
        <v>0</v>
      </c>
      <c r="J242" s="351">
        <f t="shared" si="104"/>
        <v>0</v>
      </c>
      <c r="K242" s="351">
        <f t="shared" si="104"/>
        <v>0</v>
      </c>
      <c r="L242" s="351">
        <f t="shared" si="104"/>
        <v>0</v>
      </c>
      <c r="M242" s="351">
        <f t="shared" si="104"/>
        <v>0</v>
      </c>
      <c r="N242" s="351">
        <f t="shared" si="104"/>
        <v>0</v>
      </c>
      <c r="O242" s="351">
        <f t="shared" si="104"/>
        <v>0</v>
      </c>
      <c r="P242" s="351">
        <f t="shared" si="104"/>
        <v>0</v>
      </c>
      <c r="Q242" s="351">
        <f t="shared" si="104"/>
        <v>0</v>
      </c>
      <c r="R242" s="351">
        <f t="shared" si="104"/>
        <v>0</v>
      </c>
      <c r="S242" s="336">
        <f t="shared" si="91"/>
        <v>0</v>
      </c>
    </row>
    <row r="243" spans="1:22" hidden="1">
      <c r="B243" s="99">
        <f t="shared" si="89"/>
        <v>0</v>
      </c>
      <c r="C243" s="351">
        <f t="shared" ref="C243:R243" si="105">C193*kg_mt*VLOOKUP(C$227, stat_factors, 3, FALSE)*CH4_CO2e</f>
        <v>0</v>
      </c>
      <c r="D243" s="351">
        <f t="shared" si="105"/>
        <v>0</v>
      </c>
      <c r="E243" s="351">
        <f t="shared" si="105"/>
        <v>0</v>
      </c>
      <c r="F243" s="351">
        <f t="shared" si="105"/>
        <v>0</v>
      </c>
      <c r="G243" s="351">
        <f t="shared" si="105"/>
        <v>0</v>
      </c>
      <c r="H243" s="351">
        <f t="shared" si="105"/>
        <v>0</v>
      </c>
      <c r="I243" s="351">
        <f t="shared" si="105"/>
        <v>0</v>
      </c>
      <c r="J243" s="351">
        <f t="shared" si="105"/>
        <v>0</v>
      </c>
      <c r="K243" s="351">
        <f t="shared" si="105"/>
        <v>0</v>
      </c>
      <c r="L243" s="351">
        <f t="shared" si="105"/>
        <v>0</v>
      </c>
      <c r="M243" s="351">
        <f t="shared" si="105"/>
        <v>0</v>
      </c>
      <c r="N243" s="351">
        <f t="shared" si="105"/>
        <v>0</v>
      </c>
      <c r="O243" s="351">
        <f t="shared" si="105"/>
        <v>0</v>
      </c>
      <c r="P243" s="351">
        <f t="shared" si="105"/>
        <v>0</v>
      </c>
      <c r="Q243" s="351">
        <f t="shared" si="105"/>
        <v>0</v>
      </c>
      <c r="R243" s="351">
        <f t="shared" si="105"/>
        <v>0</v>
      </c>
      <c r="S243" s="336">
        <f t="shared" si="91"/>
        <v>0</v>
      </c>
    </row>
    <row r="244" spans="1:22" hidden="1">
      <c r="B244" s="99">
        <f t="shared" si="89"/>
        <v>0</v>
      </c>
      <c r="C244" s="351">
        <f t="shared" ref="C244:R244" si="106">C194*kg_mt*VLOOKUP(C$227, stat_factors, 3, FALSE)*CH4_CO2e</f>
        <v>0</v>
      </c>
      <c r="D244" s="351">
        <f t="shared" si="106"/>
        <v>0</v>
      </c>
      <c r="E244" s="351">
        <f t="shared" si="106"/>
        <v>0</v>
      </c>
      <c r="F244" s="351">
        <f t="shared" si="106"/>
        <v>0</v>
      </c>
      <c r="G244" s="351">
        <f t="shared" si="106"/>
        <v>0</v>
      </c>
      <c r="H244" s="351">
        <f t="shared" si="106"/>
        <v>0</v>
      </c>
      <c r="I244" s="351">
        <f t="shared" si="106"/>
        <v>0</v>
      </c>
      <c r="J244" s="351">
        <f t="shared" si="106"/>
        <v>0</v>
      </c>
      <c r="K244" s="351">
        <f t="shared" si="106"/>
        <v>0</v>
      </c>
      <c r="L244" s="351">
        <f t="shared" si="106"/>
        <v>0</v>
      </c>
      <c r="M244" s="351">
        <f t="shared" si="106"/>
        <v>0</v>
      </c>
      <c r="N244" s="351">
        <f t="shared" si="106"/>
        <v>0</v>
      </c>
      <c r="O244" s="351">
        <f t="shared" si="106"/>
        <v>0</v>
      </c>
      <c r="P244" s="351">
        <f t="shared" si="106"/>
        <v>0</v>
      </c>
      <c r="Q244" s="351">
        <f t="shared" si="106"/>
        <v>0</v>
      </c>
      <c r="R244" s="351">
        <f t="shared" si="106"/>
        <v>0</v>
      </c>
      <c r="S244" s="336">
        <f t="shared" si="91"/>
        <v>0</v>
      </c>
    </row>
    <row r="245" spans="1:22" hidden="1">
      <c r="B245" s="99">
        <f t="shared" si="89"/>
        <v>0</v>
      </c>
      <c r="C245" s="351">
        <f t="shared" ref="C245:R245" si="107">C195*kg_mt*VLOOKUP(C$227, stat_factors, 3, FALSE)*CH4_CO2e</f>
        <v>0</v>
      </c>
      <c r="D245" s="351">
        <f t="shared" si="107"/>
        <v>0</v>
      </c>
      <c r="E245" s="351">
        <f t="shared" si="107"/>
        <v>0</v>
      </c>
      <c r="F245" s="351">
        <f t="shared" si="107"/>
        <v>0</v>
      </c>
      <c r="G245" s="351">
        <f t="shared" si="107"/>
        <v>0</v>
      </c>
      <c r="H245" s="351">
        <f t="shared" si="107"/>
        <v>0</v>
      </c>
      <c r="I245" s="351">
        <f t="shared" si="107"/>
        <v>0</v>
      </c>
      <c r="J245" s="351">
        <f t="shared" si="107"/>
        <v>0</v>
      </c>
      <c r="K245" s="351">
        <f t="shared" si="107"/>
        <v>0</v>
      </c>
      <c r="L245" s="351">
        <f t="shared" si="107"/>
        <v>0</v>
      </c>
      <c r="M245" s="351">
        <f t="shared" si="107"/>
        <v>0</v>
      </c>
      <c r="N245" s="351">
        <f t="shared" si="107"/>
        <v>0</v>
      </c>
      <c r="O245" s="351">
        <f t="shared" si="107"/>
        <v>0</v>
      </c>
      <c r="P245" s="351">
        <f t="shared" si="107"/>
        <v>0</v>
      </c>
      <c r="Q245" s="351">
        <f t="shared" si="107"/>
        <v>0</v>
      </c>
      <c r="R245" s="351">
        <f t="shared" si="107"/>
        <v>0</v>
      </c>
      <c r="S245" s="336">
        <f t="shared" si="91"/>
        <v>0</v>
      </c>
    </row>
    <row r="246" spans="1:22" hidden="1">
      <c r="B246" s="99">
        <f t="shared" si="89"/>
        <v>0</v>
      </c>
      <c r="C246" s="351">
        <f t="shared" ref="C246:R246" si="108">C196*kg_mt*VLOOKUP(C$227, stat_factors, 3, FALSE)*CH4_CO2e</f>
        <v>0</v>
      </c>
      <c r="D246" s="351">
        <f t="shared" si="108"/>
        <v>0</v>
      </c>
      <c r="E246" s="351">
        <f t="shared" si="108"/>
        <v>0</v>
      </c>
      <c r="F246" s="351">
        <f t="shared" si="108"/>
        <v>0</v>
      </c>
      <c r="G246" s="351">
        <f t="shared" si="108"/>
        <v>0</v>
      </c>
      <c r="H246" s="351">
        <f t="shared" si="108"/>
        <v>0</v>
      </c>
      <c r="I246" s="351">
        <f t="shared" si="108"/>
        <v>0</v>
      </c>
      <c r="J246" s="351">
        <f t="shared" si="108"/>
        <v>0</v>
      </c>
      <c r="K246" s="351">
        <f t="shared" si="108"/>
        <v>0</v>
      </c>
      <c r="L246" s="351">
        <f t="shared" si="108"/>
        <v>0</v>
      </c>
      <c r="M246" s="351">
        <f t="shared" si="108"/>
        <v>0</v>
      </c>
      <c r="N246" s="351">
        <f t="shared" si="108"/>
        <v>0</v>
      </c>
      <c r="O246" s="351">
        <f t="shared" si="108"/>
        <v>0</v>
      </c>
      <c r="P246" s="351">
        <f t="shared" si="108"/>
        <v>0</v>
      </c>
      <c r="Q246" s="351">
        <f t="shared" si="108"/>
        <v>0</v>
      </c>
      <c r="R246" s="351">
        <f t="shared" si="108"/>
        <v>0</v>
      </c>
      <c r="S246" s="336">
        <f t="shared" si="91"/>
        <v>0</v>
      </c>
    </row>
    <row r="247" spans="1:22" hidden="1">
      <c r="A247" s="285"/>
      <c r="B247" s="99">
        <f t="shared" si="89"/>
        <v>0</v>
      </c>
      <c r="C247" s="351">
        <f t="shared" ref="C247:R247" si="109">C197*kg_mt*VLOOKUP(C$227, stat_factors, 3, FALSE)*CH4_CO2e</f>
        <v>0</v>
      </c>
      <c r="D247" s="351">
        <f t="shared" si="109"/>
        <v>0</v>
      </c>
      <c r="E247" s="351">
        <f t="shared" si="109"/>
        <v>0</v>
      </c>
      <c r="F247" s="351">
        <f t="shared" si="109"/>
        <v>0</v>
      </c>
      <c r="G247" s="351">
        <f t="shared" si="109"/>
        <v>0</v>
      </c>
      <c r="H247" s="351">
        <f t="shared" si="109"/>
        <v>0</v>
      </c>
      <c r="I247" s="351">
        <f t="shared" si="109"/>
        <v>0</v>
      </c>
      <c r="J247" s="351">
        <f t="shared" si="109"/>
        <v>0</v>
      </c>
      <c r="K247" s="351">
        <f t="shared" si="109"/>
        <v>0</v>
      </c>
      <c r="L247" s="351">
        <f t="shared" si="109"/>
        <v>0</v>
      </c>
      <c r="M247" s="351">
        <f t="shared" si="109"/>
        <v>0</v>
      </c>
      <c r="N247" s="351">
        <f t="shared" si="109"/>
        <v>0</v>
      </c>
      <c r="O247" s="351">
        <f t="shared" si="109"/>
        <v>0</v>
      </c>
      <c r="P247" s="351">
        <f t="shared" si="109"/>
        <v>0</v>
      </c>
      <c r="Q247" s="351">
        <f t="shared" si="109"/>
        <v>0</v>
      </c>
      <c r="R247" s="351">
        <f t="shared" si="109"/>
        <v>0</v>
      </c>
      <c r="S247" s="336">
        <f t="shared" si="91"/>
        <v>0</v>
      </c>
    </row>
    <row r="248" spans="1:22">
      <c r="B248" s="860" t="s">
        <v>253</v>
      </c>
      <c r="C248" s="352">
        <f>SUM(C228:C247)</f>
        <v>0</v>
      </c>
      <c r="D248" s="352">
        <f t="shared" ref="D248:R248" si="110">SUM(D228:D247)</f>
        <v>0</v>
      </c>
      <c r="E248" s="352">
        <f t="shared" si="110"/>
        <v>0</v>
      </c>
      <c r="F248" s="352">
        <f t="shared" si="110"/>
        <v>0</v>
      </c>
      <c r="G248" s="352">
        <f t="shared" si="110"/>
        <v>0</v>
      </c>
      <c r="H248" s="352">
        <f t="shared" si="110"/>
        <v>0</v>
      </c>
      <c r="I248" s="352">
        <f t="shared" si="110"/>
        <v>0</v>
      </c>
      <c r="J248" s="352">
        <f t="shared" si="110"/>
        <v>0</v>
      </c>
      <c r="K248" s="352">
        <f t="shared" si="110"/>
        <v>0</v>
      </c>
      <c r="L248" s="352">
        <f t="shared" si="110"/>
        <v>0</v>
      </c>
      <c r="M248" s="352">
        <f t="shared" ref="M248:O248" si="111">SUM(M228:M247)</f>
        <v>0</v>
      </c>
      <c r="N248" s="352">
        <f t="shared" si="111"/>
        <v>0</v>
      </c>
      <c r="O248" s="352">
        <f t="shared" si="111"/>
        <v>0</v>
      </c>
      <c r="P248" s="352">
        <f t="shared" si="110"/>
        <v>0</v>
      </c>
      <c r="Q248" s="352">
        <f t="shared" si="110"/>
        <v>0</v>
      </c>
      <c r="R248" s="352">
        <f t="shared" si="110"/>
        <v>0</v>
      </c>
      <c r="S248" s="863">
        <f>SUM(S228:S247)</f>
        <v>0</v>
      </c>
      <c r="T248" s="781"/>
    </row>
    <row r="249" spans="1:22">
      <c r="S249" s="64"/>
    </row>
    <row r="250" spans="1:22" ht="16.5">
      <c r="A250" s="265" t="s">
        <v>297</v>
      </c>
      <c r="S250" s="61"/>
    </row>
    <row r="251" spans="1:22" s="377" customFormat="1" ht="44.5">
      <c r="A251" s="287"/>
      <c r="B251" s="868" t="s">
        <v>73</v>
      </c>
      <c r="C251" s="96" t="str">
        <f t="array" ref="C251:L251">TRANSPOSE($B$158:$B$167)</f>
        <v>Natural Gas</v>
      </c>
      <c r="D251" s="96" t="str">
        <v>Diesel</v>
      </c>
      <c r="E251" s="96" t="str">
        <v>Gasoline</v>
      </c>
      <c r="F251" s="96" t="str">
        <v>LPG</v>
      </c>
      <c r="G251" s="96" t="str">
        <v>Propane</v>
      </c>
      <c r="H251" s="96" t="str">
        <v>Butane</v>
      </c>
      <c r="I251" s="96" t="str">
        <v>Residual Fuel Oil No. 5</v>
      </c>
      <c r="J251" s="96" t="str">
        <v>Residual Fuel Oil No. 6</v>
      </c>
      <c r="K251" s="96" t="str">
        <v>Jet Fuel</v>
      </c>
      <c r="L251" s="96" t="str">
        <v>Residential Coal</v>
      </c>
      <c r="M251" s="96" t="s">
        <v>267</v>
      </c>
      <c r="N251" s="96" t="s">
        <v>268</v>
      </c>
      <c r="O251" s="96" t="s">
        <v>269</v>
      </c>
      <c r="P251" s="96" t="s">
        <v>171</v>
      </c>
      <c r="Q251" s="96" t="s">
        <v>270</v>
      </c>
      <c r="R251" s="96" t="s">
        <v>271</v>
      </c>
      <c r="S251" s="868" t="s">
        <v>263</v>
      </c>
      <c r="T251" s="118"/>
      <c r="U251" s="118"/>
      <c r="V251" s="1011"/>
    </row>
    <row r="252" spans="1:22">
      <c r="A252" s="284" t="s">
        <v>101</v>
      </c>
      <c r="B252" s="99" t="str">
        <f>B228</f>
        <v>Residential</v>
      </c>
      <c r="C252" s="570">
        <f t="shared" ref="C252:R252" si="112">C178*kg_mt*VLOOKUP(C$251, stat_factors, 4, FALSE)*N2O_CO2e</f>
        <v>0</v>
      </c>
      <c r="D252" s="570">
        <f t="shared" si="112"/>
        <v>0</v>
      </c>
      <c r="E252" s="570">
        <f t="shared" si="112"/>
        <v>0</v>
      </c>
      <c r="F252" s="570">
        <f t="shared" si="112"/>
        <v>0</v>
      </c>
      <c r="G252" s="570">
        <f t="shared" si="112"/>
        <v>0</v>
      </c>
      <c r="H252" s="570">
        <f t="shared" si="112"/>
        <v>0</v>
      </c>
      <c r="I252" s="570">
        <f t="shared" si="112"/>
        <v>0</v>
      </c>
      <c r="J252" s="570">
        <f t="shared" si="112"/>
        <v>0</v>
      </c>
      <c r="K252" s="570">
        <f t="shared" si="112"/>
        <v>0</v>
      </c>
      <c r="L252" s="570">
        <f t="shared" si="112"/>
        <v>0</v>
      </c>
      <c r="M252" s="570">
        <f t="shared" si="112"/>
        <v>0</v>
      </c>
      <c r="N252" s="570">
        <f t="shared" si="112"/>
        <v>0</v>
      </c>
      <c r="O252" s="570">
        <f t="shared" si="112"/>
        <v>0</v>
      </c>
      <c r="P252" s="570">
        <f t="shared" si="112"/>
        <v>0</v>
      </c>
      <c r="Q252" s="570">
        <f t="shared" si="112"/>
        <v>0</v>
      </c>
      <c r="R252" s="570">
        <f t="shared" si="112"/>
        <v>0</v>
      </c>
      <c r="S252" s="571">
        <f>SUM(C252:R252)</f>
        <v>0</v>
      </c>
    </row>
    <row r="253" spans="1:22">
      <c r="B253" s="99" t="str">
        <f t="shared" ref="B253:B271" si="113">B229</f>
        <v>Commercial/Institutional</v>
      </c>
      <c r="C253" s="570">
        <f t="shared" ref="C253:R253" si="114">C179*kg_mt*VLOOKUP(C$251, stat_factors, 4, FALSE)*N2O_CO2e</f>
        <v>0</v>
      </c>
      <c r="D253" s="570">
        <f t="shared" si="114"/>
        <v>0</v>
      </c>
      <c r="E253" s="570">
        <f t="shared" si="114"/>
        <v>0</v>
      </c>
      <c r="F253" s="570">
        <f t="shared" si="114"/>
        <v>0</v>
      </c>
      <c r="G253" s="570">
        <f t="shared" si="114"/>
        <v>0</v>
      </c>
      <c r="H253" s="570">
        <f t="shared" si="114"/>
        <v>0</v>
      </c>
      <c r="I253" s="570">
        <f t="shared" si="114"/>
        <v>0</v>
      </c>
      <c r="J253" s="570">
        <f t="shared" si="114"/>
        <v>0</v>
      </c>
      <c r="K253" s="570">
        <f t="shared" si="114"/>
        <v>0</v>
      </c>
      <c r="L253" s="570">
        <f t="shared" si="114"/>
        <v>0</v>
      </c>
      <c r="M253" s="570">
        <f t="shared" si="114"/>
        <v>0</v>
      </c>
      <c r="N253" s="570">
        <f t="shared" si="114"/>
        <v>0</v>
      </c>
      <c r="O253" s="570">
        <f t="shared" si="114"/>
        <v>0</v>
      </c>
      <c r="P253" s="570">
        <f t="shared" si="114"/>
        <v>0</v>
      </c>
      <c r="Q253" s="570">
        <f t="shared" si="114"/>
        <v>0</v>
      </c>
      <c r="R253" s="570">
        <f t="shared" si="114"/>
        <v>0</v>
      </c>
      <c r="S253" s="571">
        <f t="shared" ref="S253:S271" si="115">SUM(C253:R253)</f>
        <v>0</v>
      </c>
    </row>
    <row r="254" spans="1:22">
      <c r="B254" s="99" t="str">
        <f t="shared" si="113"/>
        <v>Industrial</v>
      </c>
      <c r="C254" s="570">
        <f t="shared" ref="C254:R254" si="116">C180*kg_mt*VLOOKUP(C$251, stat_factors, 4, FALSE)*N2O_CO2e</f>
        <v>0</v>
      </c>
      <c r="D254" s="570">
        <f t="shared" si="116"/>
        <v>0</v>
      </c>
      <c r="E254" s="570">
        <f t="shared" si="116"/>
        <v>0</v>
      </c>
      <c r="F254" s="570">
        <f t="shared" si="116"/>
        <v>0</v>
      </c>
      <c r="G254" s="570">
        <f t="shared" si="116"/>
        <v>0</v>
      </c>
      <c r="H254" s="570">
        <f t="shared" si="116"/>
        <v>0</v>
      </c>
      <c r="I254" s="570">
        <f t="shared" si="116"/>
        <v>0</v>
      </c>
      <c r="J254" s="570">
        <f t="shared" si="116"/>
        <v>0</v>
      </c>
      <c r="K254" s="570">
        <f t="shared" si="116"/>
        <v>0</v>
      </c>
      <c r="L254" s="570">
        <f t="shared" si="116"/>
        <v>0</v>
      </c>
      <c r="M254" s="570">
        <f t="shared" si="116"/>
        <v>0</v>
      </c>
      <c r="N254" s="570">
        <f t="shared" si="116"/>
        <v>0</v>
      </c>
      <c r="O254" s="570">
        <f t="shared" si="116"/>
        <v>0</v>
      </c>
      <c r="P254" s="570">
        <f t="shared" si="116"/>
        <v>0</v>
      </c>
      <c r="Q254" s="570">
        <f t="shared" si="116"/>
        <v>0</v>
      </c>
      <c r="R254" s="570">
        <f t="shared" si="116"/>
        <v>0</v>
      </c>
      <c r="S254" s="571">
        <f>SUM(C254:R254)</f>
        <v>0</v>
      </c>
    </row>
    <row r="255" spans="1:22">
      <c r="B255" s="99" t="str">
        <f t="shared" si="113"/>
        <v>Energy Generation</v>
      </c>
      <c r="C255" s="570">
        <f t="shared" ref="C255:R255" si="117">C181*kg_mt*VLOOKUP(C$251, stat_factors, 4, FALSE)*N2O_CO2e</f>
        <v>0</v>
      </c>
      <c r="D255" s="570">
        <f t="shared" si="117"/>
        <v>0</v>
      </c>
      <c r="E255" s="570">
        <f t="shared" si="117"/>
        <v>0</v>
      </c>
      <c r="F255" s="570">
        <f t="shared" si="117"/>
        <v>0</v>
      </c>
      <c r="G255" s="570">
        <f t="shared" si="117"/>
        <v>0</v>
      </c>
      <c r="H255" s="570">
        <f t="shared" si="117"/>
        <v>0</v>
      </c>
      <c r="I255" s="570">
        <f t="shared" si="117"/>
        <v>0</v>
      </c>
      <c r="J255" s="570">
        <f t="shared" si="117"/>
        <v>0</v>
      </c>
      <c r="K255" s="570">
        <f t="shared" si="117"/>
        <v>0</v>
      </c>
      <c r="L255" s="570">
        <f t="shared" si="117"/>
        <v>0</v>
      </c>
      <c r="M255" s="570">
        <f t="shared" si="117"/>
        <v>0</v>
      </c>
      <c r="N255" s="570">
        <f t="shared" si="117"/>
        <v>0</v>
      </c>
      <c r="O255" s="570">
        <f t="shared" si="117"/>
        <v>0</v>
      </c>
      <c r="P255" s="570">
        <f t="shared" si="117"/>
        <v>0</v>
      </c>
      <c r="Q255" s="570">
        <f t="shared" si="117"/>
        <v>0</v>
      </c>
      <c r="R255" s="570">
        <f t="shared" si="117"/>
        <v>0</v>
      </c>
      <c r="S255" s="571">
        <f t="shared" si="115"/>
        <v>0</v>
      </c>
    </row>
    <row r="256" spans="1:22" hidden="1">
      <c r="B256" s="99">
        <f t="shared" si="113"/>
        <v>0</v>
      </c>
      <c r="C256" s="570">
        <f t="shared" ref="C256:R256" si="118">C182*kg_mt*VLOOKUP(C$251, stat_factors, 4, FALSE)*N2O_CO2e</f>
        <v>0</v>
      </c>
      <c r="D256" s="570">
        <f t="shared" si="118"/>
        <v>0</v>
      </c>
      <c r="E256" s="570">
        <f t="shared" si="118"/>
        <v>0</v>
      </c>
      <c r="F256" s="570">
        <f t="shared" si="118"/>
        <v>0</v>
      </c>
      <c r="G256" s="570">
        <f t="shared" si="118"/>
        <v>0</v>
      </c>
      <c r="H256" s="570">
        <f t="shared" si="118"/>
        <v>0</v>
      </c>
      <c r="I256" s="570">
        <f t="shared" si="118"/>
        <v>0</v>
      </c>
      <c r="J256" s="570">
        <f t="shared" si="118"/>
        <v>0</v>
      </c>
      <c r="K256" s="570">
        <f t="shared" si="118"/>
        <v>0</v>
      </c>
      <c r="L256" s="570">
        <f t="shared" si="118"/>
        <v>0</v>
      </c>
      <c r="M256" s="570">
        <f t="shared" si="118"/>
        <v>0</v>
      </c>
      <c r="N256" s="570">
        <f t="shared" si="118"/>
        <v>0</v>
      </c>
      <c r="O256" s="570">
        <f t="shared" si="118"/>
        <v>0</v>
      </c>
      <c r="P256" s="570">
        <f t="shared" si="118"/>
        <v>0</v>
      </c>
      <c r="Q256" s="570">
        <f t="shared" si="118"/>
        <v>0</v>
      </c>
      <c r="R256" s="570">
        <f t="shared" si="118"/>
        <v>0</v>
      </c>
      <c r="S256" s="571">
        <f t="shared" si="115"/>
        <v>0</v>
      </c>
    </row>
    <row r="257" spans="1:19" hidden="1">
      <c r="B257" s="99">
        <f t="shared" si="113"/>
        <v>0</v>
      </c>
      <c r="C257" s="570">
        <f t="shared" ref="C257:R257" si="119">C183*kg_mt*VLOOKUP(C$251, stat_factors, 4, FALSE)*N2O_CO2e</f>
        <v>0</v>
      </c>
      <c r="D257" s="570">
        <f t="shared" si="119"/>
        <v>0</v>
      </c>
      <c r="E257" s="570">
        <f t="shared" si="119"/>
        <v>0</v>
      </c>
      <c r="F257" s="570">
        <f t="shared" si="119"/>
        <v>0</v>
      </c>
      <c r="G257" s="570">
        <f t="shared" si="119"/>
        <v>0</v>
      </c>
      <c r="H257" s="570">
        <f t="shared" si="119"/>
        <v>0</v>
      </c>
      <c r="I257" s="570">
        <f t="shared" si="119"/>
        <v>0</v>
      </c>
      <c r="J257" s="570">
        <f t="shared" si="119"/>
        <v>0</v>
      </c>
      <c r="K257" s="570">
        <f t="shared" si="119"/>
        <v>0</v>
      </c>
      <c r="L257" s="570">
        <f t="shared" si="119"/>
        <v>0</v>
      </c>
      <c r="M257" s="570">
        <f t="shared" si="119"/>
        <v>0</v>
      </c>
      <c r="N257" s="570">
        <f t="shared" si="119"/>
        <v>0</v>
      </c>
      <c r="O257" s="570">
        <f t="shared" si="119"/>
        <v>0</v>
      </c>
      <c r="P257" s="570">
        <f t="shared" si="119"/>
        <v>0</v>
      </c>
      <c r="Q257" s="570">
        <f t="shared" si="119"/>
        <v>0</v>
      </c>
      <c r="R257" s="570">
        <f t="shared" si="119"/>
        <v>0</v>
      </c>
      <c r="S257" s="571">
        <f t="shared" si="115"/>
        <v>0</v>
      </c>
    </row>
    <row r="258" spans="1:19" hidden="1">
      <c r="B258" s="99">
        <f t="shared" si="113"/>
        <v>0</v>
      </c>
      <c r="C258" s="570">
        <f t="shared" ref="C258:R258" si="120">C184*kg_mt*VLOOKUP(C$251, stat_factors, 4, FALSE)*N2O_CO2e</f>
        <v>0</v>
      </c>
      <c r="D258" s="570">
        <f t="shared" si="120"/>
        <v>0</v>
      </c>
      <c r="E258" s="570">
        <f t="shared" si="120"/>
        <v>0</v>
      </c>
      <c r="F258" s="570">
        <f t="shared" si="120"/>
        <v>0</v>
      </c>
      <c r="G258" s="570">
        <f t="shared" si="120"/>
        <v>0</v>
      </c>
      <c r="H258" s="570">
        <f t="shared" si="120"/>
        <v>0</v>
      </c>
      <c r="I258" s="570">
        <f t="shared" si="120"/>
        <v>0</v>
      </c>
      <c r="J258" s="570">
        <f t="shared" si="120"/>
        <v>0</v>
      </c>
      <c r="K258" s="570">
        <f t="shared" si="120"/>
        <v>0</v>
      </c>
      <c r="L258" s="570">
        <f t="shared" si="120"/>
        <v>0</v>
      </c>
      <c r="M258" s="570">
        <f t="shared" si="120"/>
        <v>0</v>
      </c>
      <c r="N258" s="570">
        <f t="shared" si="120"/>
        <v>0</v>
      </c>
      <c r="O258" s="570">
        <f t="shared" si="120"/>
        <v>0</v>
      </c>
      <c r="P258" s="570">
        <f t="shared" si="120"/>
        <v>0</v>
      </c>
      <c r="Q258" s="570">
        <f t="shared" si="120"/>
        <v>0</v>
      </c>
      <c r="R258" s="570">
        <f t="shared" si="120"/>
        <v>0</v>
      </c>
      <c r="S258" s="571">
        <f t="shared" si="115"/>
        <v>0</v>
      </c>
    </row>
    <row r="259" spans="1:19" hidden="1">
      <c r="B259" s="99">
        <f t="shared" si="113"/>
        <v>0</v>
      </c>
      <c r="C259" s="570">
        <f t="shared" ref="C259:R259" si="121">C185*kg_mt*VLOOKUP(C$251, stat_factors, 4, FALSE)*N2O_CO2e</f>
        <v>0</v>
      </c>
      <c r="D259" s="570">
        <f t="shared" si="121"/>
        <v>0</v>
      </c>
      <c r="E259" s="570">
        <f t="shared" si="121"/>
        <v>0</v>
      </c>
      <c r="F259" s="570">
        <f t="shared" si="121"/>
        <v>0</v>
      </c>
      <c r="G259" s="570">
        <f t="shared" si="121"/>
        <v>0</v>
      </c>
      <c r="H259" s="570">
        <f t="shared" si="121"/>
        <v>0</v>
      </c>
      <c r="I259" s="570">
        <f t="shared" si="121"/>
        <v>0</v>
      </c>
      <c r="J259" s="570">
        <f t="shared" si="121"/>
        <v>0</v>
      </c>
      <c r="K259" s="570">
        <f t="shared" si="121"/>
        <v>0</v>
      </c>
      <c r="L259" s="570">
        <f t="shared" si="121"/>
        <v>0</v>
      </c>
      <c r="M259" s="570">
        <f t="shared" si="121"/>
        <v>0</v>
      </c>
      <c r="N259" s="570">
        <f t="shared" si="121"/>
        <v>0</v>
      </c>
      <c r="O259" s="570">
        <f t="shared" si="121"/>
        <v>0</v>
      </c>
      <c r="P259" s="570">
        <f t="shared" si="121"/>
        <v>0</v>
      </c>
      <c r="Q259" s="570">
        <f t="shared" si="121"/>
        <v>0</v>
      </c>
      <c r="R259" s="570">
        <f t="shared" si="121"/>
        <v>0</v>
      </c>
      <c r="S259" s="571">
        <f t="shared" si="115"/>
        <v>0</v>
      </c>
    </row>
    <row r="260" spans="1:19" hidden="1">
      <c r="B260" s="99">
        <f t="shared" si="113"/>
        <v>0</v>
      </c>
      <c r="C260" s="570">
        <f t="shared" ref="C260:R260" si="122">C186*kg_mt*VLOOKUP(C$251, stat_factors, 4, FALSE)*N2O_CO2e</f>
        <v>0</v>
      </c>
      <c r="D260" s="570">
        <f t="shared" si="122"/>
        <v>0</v>
      </c>
      <c r="E260" s="570">
        <f t="shared" si="122"/>
        <v>0</v>
      </c>
      <c r="F260" s="570">
        <f t="shared" si="122"/>
        <v>0</v>
      </c>
      <c r="G260" s="570">
        <f t="shared" si="122"/>
        <v>0</v>
      </c>
      <c r="H260" s="570">
        <f t="shared" si="122"/>
        <v>0</v>
      </c>
      <c r="I260" s="570">
        <f t="shared" si="122"/>
        <v>0</v>
      </c>
      <c r="J260" s="570">
        <f t="shared" si="122"/>
        <v>0</v>
      </c>
      <c r="K260" s="570">
        <f t="shared" si="122"/>
        <v>0</v>
      </c>
      <c r="L260" s="570">
        <f t="shared" si="122"/>
        <v>0</v>
      </c>
      <c r="M260" s="570">
        <f t="shared" si="122"/>
        <v>0</v>
      </c>
      <c r="N260" s="570">
        <f t="shared" si="122"/>
        <v>0</v>
      </c>
      <c r="O260" s="570">
        <f t="shared" si="122"/>
        <v>0</v>
      </c>
      <c r="P260" s="570">
        <f t="shared" si="122"/>
        <v>0</v>
      </c>
      <c r="Q260" s="570">
        <f t="shared" si="122"/>
        <v>0</v>
      </c>
      <c r="R260" s="570">
        <f t="shared" si="122"/>
        <v>0</v>
      </c>
      <c r="S260" s="571">
        <f t="shared" si="115"/>
        <v>0</v>
      </c>
    </row>
    <row r="261" spans="1:19" hidden="1">
      <c r="B261" s="99">
        <f t="shared" si="113"/>
        <v>0</v>
      </c>
      <c r="C261" s="570">
        <f t="shared" ref="C261:R261" si="123">C187*kg_mt*VLOOKUP(C$251, stat_factors, 4, FALSE)*N2O_CO2e</f>
        <v>0</v>
      </c>
      <c r="D261" s="570">
        <f t="shared" si="123"/>
        <v>0</v>
      </c>
      <c r="E261" s="570">
        <f t="shared" si="123"/>
        <v>0</v>
      </c>
      <c r="F261" s="570">
        <f t="shared" si="123"/>
        <v>0</v>
      </c>
      <c r="G261" s="570">
        <f t="shared" si="123"/>
        <v>0</v>
      </c>
      <c r="H261" s="570">
        <f t="shared" si="123"/>
        <v>0</v>
      </c>
      <c r="I261" s="570">
        <f t="shared" si="123"/>
        <v>0</v>
      </c>
      <c r="J261" s="570">
        <f t="shared" si="123"/>
        <v>0</v>
      </c>
      <c r="K261" s="570">
        <f t="shared" si="123"/>
        <v>0</v>
      </c>
      <c r="L261" s="570">
        <f t="shared" si="123"/>
        <v>0</v>
      </c>
      <c r="M261" s="570">
        <f t="shared" si="123"/>
        <v>0</v>
      </c>
      <c r="N261" s="570">
        <f t="shared" si="123"/>
        <v>0</v>
      </c>
      <c r="O261" s="570">
        <f t="shared" si="123"/>
        <v>0</v>
      </c>
      <c r="P261" s="570">
        <f t="shared" si="123"/>
        <v>0</v>
      </c>
      <c r="Q261" s="570">
        <f t="shared" si="123"/>
        <v>0</v>
      </c>
      <c r="R261" s="570">
        <f t="shared" si="123"/>
        <v>0</v>
      </c>
      <c r="S261" s="571">
        <f t="shared" si="115"/>
        <v>0</v>
      </c>
    </row>
    <row r="262" spans="1:19" hidden="1">
      <c r="B262" s="99">
        <f t="shared" si="113"/>
        <v>0</v>
      </c>
      <c r="C262" s="570">
        <f t="shared" ref="C262:R262" si="124">C188*kg_mt*VLOOKUP(C$251, stat_factors, 4, FALSE)*N2O_CO2e</f>
        <v>0</v>
      </c>
      <c r="D262" s="570">
        <f t="shared" si="124"/>
        <v>0</v>
      </c>
      <c r="E262" s="570">
        <f t="shared" si="124"/>
        <v>0</v>
      </c>
      <c r="F262" s="570">
        <f t="shared" si="124"/>
        <v>0</v>
      </c>
      <c r="G262" s="570">
        <f t="shared" si="124"/>
        <v>0</v>
      </c>
      <c r="H262" s="570">
        <f t="shared" si="124"/>
        <v>0</v>
      </c>
      <c r="I262" s="570">
        <f t="shared" si="124"/>
        <v>0</v>
      </c>
      <c r="J262" s="570">
        <f t="shared" si="124"/>
        <v>0</v>
      </c>
      <c r="K262" s="570">
        <f t="shared" si="124"/>
        <v>0</v>
      </c>
      <c r="L262" s="570">
        <f t="shared" si="124"/>
        <v>0</v>
      </c>
      <c r="M262" s="570">
        <f t="shared" si="124"/>
        <v>0</v>
      </c>
      <c r="N262" s="570">
        <f t="shared" si="124"/>
        <v>0</v>
      </c>
      <c r="O262" s="570">
        <f t="shared" si="124"/>
        <v>0</v>
      </c>
      <c r="P262" s="570">
        <f t="shared" si="124"/>
        <v>0</v>
      </c>
      <c r="Q262" s="570">
        <f t="shared" si="124"/>
        <v>0</v>
      </c>
      <c r="R262" s="570">
        <f t="shared" si="124"/>
        <v>0</v>
      </c>
      <c r="S262" s="571">
        <f t="shared" si="115"/>
        <v>0</v>
      </c>
    </row>
    <row r="263" spans="1:19" hidden="1">
      <c r="B263" s="99">
        <f t="shared" si="113"/>
        <v>0</v>
      </c>
      <c r="C263" s="570">
        <f t="shared" ref="C263:R263" si="125">C189*kg_mt*VLOOKUP(C$251, stat_factors, 4, FALSE)*N2O_CO2e</f>
        <v>0</v>
      </c>
      <c r="D263" s="570">
        <f t="shared" si="125"/>
        <v>0</v>
      </c>
      <c r="E263" s="570">
        <f t="shared" si="125"/>
        <v>0</v>
      </c>
      <c r="F263" s="570">
        <f t="shared" si="125"/>
        <v>0</v>
      </c>
      <c r="G263" s="570">
        <f t="shared" si="125"/>
        <v>0</v>
      </c>
      <c r="H263" s="570">
        <f t="shared" si="125"/>
        <v>0</v>
      </c>
      <c r="I263" s="570">
        <f t="shared" si="125"/>
        <v>0</v>
      </c>
      <c r="J263" s="570">
        <f t="shared" si="125"/>
        <v>0</v>
      </c>
      <c r="K263" s="570">
        <f t="shared" si="125"/>
        <v>0</v>
      </c>
      <c r="L263" s="570">
        <f t="shared" si="125"/>
        <v>0</v>
      </c>
      <c r="M263" s="570">
        <f t="shared" si="125"/>
        <v>0</v>
      </c>
      <c r="N263" s="570">
        <f t="shared" si="125"/>
        <v>0</v>
      </c>
      <c r="O263" s="570">
        <f t="shared" si="125"/>
        <v>0</v>
      </c>
      <c r="P263" s="570">
        <f t="shared" si="125"/>
        <v>0</v>
      </c>
      <c r="Q263" s="570">
        <f t="shared" si="125"/>
        <v>0</v>
      </c>
      <c r="R263" s="570">
        <f t="shared" si="125"/>
        <v>0</v>
      </c>
      <c r="S263" s="571">
        <f t="shared" si="115"/>
        <v>0</v>
      </c>
    </row>
    <row r="264" spans="1:19" hidden="1">
      <c r="B264" s="99">
        <f t="shared" si="113"/>
        <v>0</v>
      </c>
      <c r="C264" s="570">
        <f t="shared" ref="C264:R264" si="126">C190*kg_mt*VLOOKUP(C$251, stat_factors, 4, FALSE)*N2O_CO2e</f>
        <v>0</v>
      </c>
      <c r="D264" s="570">
        <f t="shared" si="126"/>
        <v>0</v>
      </c>
      <c r="E264" s="570">
        <f t="shared" si="126"/>
        <v>0</v>
      </c>
      <c r="F264" s="570">
        <f t="shared" si="126"/>
        <v>0</v>
      </c>
      <c r="G264" s="570">
        <f t="shared" si="126"/>
        <v>0</v>
      </c>
      <c r="H264" s="570">
        <f t="shared" si="126"/>
        <v>0</v>
      </c>
      <c r="I264" s="570">
        <f t="shared" si="126"/>
        <v>0</v>
      </c>
      <c r="J264" s="570">
        <f t="shared" si="126"/>
        <v>0</v>
      </c>
      <c r="K264" s="570">
        <f t="shared" si="126"/>
        <v>0</v>
      </c>
      <c r="L264" s="570">
        <f t="shared" si="126"/>
        <v>0</v>
      </c>
      <c r="M264" s="570">
        <f t="shared" si="126"/>
        <v>0</v>
      </c>
      <c r="N264" s="570">
        <f t="shared" si="126"/>
        <v>0</v>
      </c>
      <c r="O264" s="570">
        <f t="shared" si="126"/>
        <v>0</v>
      </c>
      <c r="P264" s="570">
        <f t="shared" si="126"/>
        <v>0</v>
      </c>
      <c r="Q264" s="570">
        <f t="shared" si="126"/>
        <v>0</v>
      </c>
      <c r="R264" s="570">
        <f t="shared" si="126"/>
        <v>0</v>
      </c>
      <c r="S264" s="571">
        <f t="shared" si="115"/>
        <v>0</v>
      </c>
    </row>
    <row r="265" spans="1:19" hidden="1">
      <c r="B265" s="99">
        <f t="shared" si="113"/>
        <v>0</v>
      </c>
      <c r="C265" s="570">
        <f t="shared" ref="C265:R265" si="127">C191*kg_mt*VLOOKUP(C$251, stat_factors, 4, FALSE)*N2O_CO2e</f>
        <v>0</v>
      </c>
      <c r="D265" s="570">
        <f t="shared" si="127"/>
        <v>0</v>
      </c>
      <c r="E265" s="570">
        <f t="shared" si="127"/>
        <v>0</v>
      </c>
      <c r="F265" s="570">
        <f t="shared" si="127"/>
        <v>0</v>
      </c>
      <c r="G265" s="570">
        <f t="shared" si="127"/>
        <v>0</v>
      </c>
      <c r="H265" s="570">
        <f t="shared" si="127"/>
        <v>0</v>
      </c>
      <c r="I265" s="570">
        <f t="shared" si="127"/>
        <v>0</v>
      </c>
      <c r="J265" s="570">
        <f t="shared" si="127"/>
        <v>0</v>
      </c>
      <c r="K265" s="570">
        <f t="shared" si="127"/>
        <v>0</v>
      </c>
      <c r="L265" s="570">
        <f t="shared" si="127"/>
        <v>0</v>
      </c>
      <c r="M265" s="570">
        <f t="shared" si="127"/>
        <v>0</v>
      </c>
      <c r="N265" s="570">
        <f t="shared" si="127"/>
        <v>0</v>
      </c>
      <c r="O265" s="570">
        <f t="shared" si="127"/>
        <v>0</v>
      </c>
      <c r="P265" s="570">
        <f t="shared" si="127"/>
        <v>0</v>
      </c>
      <c r="Q265" s="570">
        <f t="shared" si="127"/>
        <v>0</v>
      </c>
      <c r="R265" s="570">
        <f t="shared" si="127"/>
        <v>0</v>
      </c>
      <c r="S265" s="571">
        <f t="shared" si="115"/>
        <v>0</v>
      </c>
    </row>
    <row r="266" spans="1:19" hidden="1">
      <c r="B266" s="99">
        <f t="shared" si="113"/>
        <v>0</v>
      </c>
      <c r="C266" s="570">
        <f t="shared" ref="C266:R266" si="128">C192*kg_mt*VLOOKUP(C$251, stat_factors, 4, FALSE)*N2O_CO2e</f>
        <v>0</v>
      </c>
      <c r="D266" s="570">
        <f t="shared" si="128"/>
        <v>0</v>
      </c>
      <c r="E266" s="570">
        <f t="shared" si="128"/>
        <v>0</v>
      </c>
      <c r="F266" s="570">
        <f t="shared" si="128"/>
        <v>0</v>
      </c>
      <c r="G266" s="570">
        <f t="shared" si="128"/>
        <v>0</v>
      </c>
      <c r="H266" s="570">
        <f t="shared" si="128"/>
        <v>0</v>
      </c>
      <c r="I266" s="570">
        <f t="shared" si="128"/>
        <v>0</v>
      </c>
      <c r="J266" s="570">
        <f t="shared" si="128"/>
        <v>0</v>
      </c>
      <c r="K266" s="570">
        <f t="shared" si="128"/>
        <v>0</v>
      </c>
      <c r="L266" s="570">
        <f t="shared" si="128"/>
        <v>0</v>
      </c>
      <c r="M266" s="570">
        <f t="shared" si="128"/>
        <v>0</v>
      </c>
      <c r="N266" s="570">
        <f t="shared" si="128"/>
        <v>0</v>
      </c>
      <c r="O266" s="570">
        <f t="shared" si="128"/>
        <v>0</v>
      </c>
      <c r="P266" s="570">
        <f t="shared" si="128"/>
        <v>0</v>
      </c>
      <c r="Q266" s="570">
        <f t="shared" si="128"/>
        <v>0</v>
      </c>
      <c r="R266" s="570">
        <f t="shared" si="128"/>
        <v>0</v>
      </c>
      <c r="S266" s="571">
        <f t="shared" si="115"/>
        <v>0</v>
      </c>
    </row>
    <row r="267" spans="1:19" hidden="1">
      <c r="B267" s="99">
        <f t="shared" si="113"/>
        <v>0</v>
      </c>
      <c r="C267" s="570">
        <f t="shared" ref="C267:R267" si="129">C193*kg_mt*VLOOKUP(C$251, stat_factors, 4, FALSE)*N2O_CO2e</f>
        <v>0</v>
      </c>
      <c r="D267" s="570">
        <f t="shared" si="129"/>
        <v>0</v>
      </c>
      <c r="E267" s="570">
        <f t="shared" si="129"/>
        <v>0</v>
      </c>
      <c r="F267" s="570">
        <f t="shared" si="129"/>
        <v>0</v>
      </c>
      <c r="G267" s="570">
        <f t="shared" si="129"/>
        <v>0</v>
      </c>
      <c r="H267" s="570">
        <f t="shared" si="129"/>
        <v>0</v>
      </c>
      <c r="I267" s="570">
        <f t="shared" si="129"/>
        <v>0</v>
      </c>
      <c r="J267" s="570">
        <f t="shared" si="129"/>
        <v>0</v>
      </c>
      <c r="K267" s="570">
        <f t="shared" si="129"/>
        <v>0</v>
      </c>
      <c r="L267" s="570">
        <f t="shared" si="129"/>
        <v>0</v>
      </c>
      <c r="M267" s="570">
        <f t="shared" si="129"/>
        <v>0</v>
      </c>
      <c r="N267" s="570">
        <f t="shared" si="129"/>
        <v>0</v>
      </c>
      <c r="O267" s="570">
        <f t="shared" si="129"/>
        <v>0</v>
      </c>
      <c r="P267" s="570">
        <f t="shared" si="129"/>
        <v>0</v>
      </c>
      <c r="Q267" s="570">
        <f t="shared" si="129"/>
        <v>0</v>
      </c>
      <c r="R267" s="570">
        <f t="shared" si="129"/>
        <v>0</v>
      </c>
      <c r="S267" s="571">
        <f t="shared" si="115"/>
        <v>0</v>
      </c>
    </row>
    <row r="268" spans="1:19" hidden="1">
      <c r="B268" s="99">
        <f t="shared" si="113"/>
        <v>0</v>
      </c>
      <c r="C268" s="570">
        <f t="shared" ref="C268:R268" si="130">C194*kg_mt*VLOOKUP(C$251, stat_factors, 4, FALSE)*N2O_CO2e</f>
        <v>0</v>
      </c>
      <c r="D268" s="570">
        <f t="shared" si="130"/>
        <v>0</v>
      </c>
      <c r="E268" s="570">
        <f t="shared" si="130"/>
        <v>0</v>
      </c>
      <c r="F268" s="570">
        <f t="shared" si="130"/>
        <v>0</v>
      </c>
      <c r="G268" s="570">
        <f t="shared" si="130"/>
        <v>0</v>
      </c>
      <c r="H268" s="570">
        <f t="shared" si="130"/>
        <v>0</v>
      </c>
      <c r="I268" s="570">
        <f t="shared" si="130"/>
        <v>0</v>
      </c>
      <c r="J268" s="570">
        <f t="shared" si="130"/>
        <v>0</v>
      </c>
      <c r="K268" s="570">
        <f t="shared" si="130"/>
        <v>0</v>
      </c>
      <c r="L268" s="570">
        <f t="shared" si="130"/>
        <v>0</v>
      </c>
      <c r="M268" s="570">
        <f t="shared" si="130"/>
        <v>0</v>
      </c>
      <c r="N268" s="570">
        <f t="shared" si="130"/>
        <v>0</v>
      </c>
      <c r="O268" s="570">
        <f t="shared" si="130"/>
        <v>0</v>
      </c>
      <c r="P268" s="570">
        <f t="shared" si="130"/>
        <v>0</v>
      </c>
      <c r="Q268" s="570">
        <f t="shared" si="130"/>
        <v>0</v>
      </c>
      <c r="R268" s="570">
        <f t="shared" si="130"/>
        <v>0</v>
      </c>
      <c r="S268" s="571">
        <f t="shared" si="115"/>
        <v>0</v>
      </c>
    </row>
    <row r="269" spans="1:19" hidden="1">
      <c r="B269" s="99">
        <f t="shared" si="113"/>
        <v>0</v>
      </c>
      <c r="C269" s="570">
        <f t="shared" ref="C269:R269" si="131">C195*kg_mt*VLOOKUP(C$251, stat_factors, 4, FALSE)*N2O_CO2e</f>
        <v>0</v>
      </c>
      <c r="D269" s="570">
        <f t="shared" si="131"/>
        <v>0</v>
      </c>
      <c r="E269" s="570">
        <f t="shared" si="131"/>
        <v>0</v>
      </c>
      <c r="F269" s="570">
        <f t="shared" si="131"/>
        <v>0</v>
      </c>
      <c r="G269" s="570">
        <f t="shared" si="131"/>
        <v>0</v>
      </c>
      <c r="H269" s="570">
        <f t="shared" si="131"/>
        <v>0</v>
      </c>
      <c r="I269" s="570">
        <f t="shared" si="131"/>
        <v>0</v>
      </c>
      <c r="J269" s="570">
        <f t="shared" si="131"/>
        <v>0</v>
      </c>
      <c r="K269" s="570">
        <f t="shared" si="131"/>
        <v>0</v>
      </c>
      <c r="L269" s="570">
        <f t="shared" si="131"/>
        <v>0</v>
      </c>
      <c r="M269" s="570">
        <f t="shared" si="131"/>
        <v>0</v>
      </c>
      <c r="N269" s="570">
        <f t="shared" si="131"/>
        <v>0</v>
      </c>
      <c r="O269" s="570">
        <f t="shared" si="131"/>
        <v>0</v>
      </c>
      <c r="P269" s="570">
        <f t="shared" si="131"/>
        <v>0</v>
      </c>
      <c r="Q269" s="570">
        <f t="shared" si="131"/>
        <v>0</v>
      </c>
      <c r="R269" s="570">
        <f t="shared" si="131"/>
        <v>0</v>
      </c>
      <c r="S269" s="571">
        <f t="shared" si="115"/>
        <v>0</v>
      </c>
    </row>
    <row r="270" spans="1:19" hidden="1">
      <c r="B270" s="99">
        <f t="shared" si="113"/>
        <v>0</v>
      </c>
      <c r="C270" s="570">
        <f t="shared" ref="C270:R270" si="132">C196*kg_mt*VLOOKUP(C$251, stat_factors, 4, FALSE)*N2O_CO2e</f>
        <v>0</v>
      </c>
      <c r="D270" s="570">
        <f t="shared" si="132"/>
        <v>0</v>
      </c>
      <c r="E270" s="570">
        <f t="shared" si="132"/>
        <v>0</v>
      </c>
      <c r="F270" s="570">
        <f t="shared" si="132"/>
        <v>0</v>
      </c>
      <c r="G270" s="570">
        <f t="shared" si="132"/>
        <v>0</v>
      </c>
      <c r="H270" s="570">
        <f t="shared" si="132"/>
        <v>0</v>
      </c>
      <c r="I270" s="570">
        <f t="shared" si="132"/>
        <v>0</v>
      </c>
      <c r="J270" s="570">
        <f t="shared" si="132"/>
        <v>0</v>
      </c>
      <c r="K270" s="570">
        <f t="shared" si="132"/>
        <v>0</v>
      </c>
      <c r="L270" s="570">
        <f t="shared" si="132"/>
        <v>0</v>
      </c>
      <c r="M270" s="570">
        <f t="shared" si="132"/>
        <v>0</v>
      </c>
      <c r="N270" s="570">
        <f t="shared" si="132"/>
        <v>0</v>
      </c>
      <c r="O270" s="570">
        <f t="shared" si="132"/>
        <v>0</v>
      </c>
      <c r="P270" s="570">
        <f t="shared" si="132"/>
        <v>0</v>
      </c>
      <c r="Q270" s="570">
        <f t="shared" si="132"/>
        <v>0</v>
      </c>
      <c r="R270" s="570">
        <f t="shared" si="132"/>
        <v>0</v>
      </c>
      <c r="S270" s="571">
        <f>SUM(C270:R270)</f>
        <v>0</v>
      </c>
    </row>
    <row r="271" spans="1:19" hidden="1">
      <c r="A271" s="285"/>
      <c r="B271" s="99">
        <f t="shared" si="113"/>
        <v>0</v>
      </c>
      <c r="C271" s="570">
        <f t="shared" ref="C271:R271" si="133">C197*kg_mt*VLOOKUP(C$251, stat_factors, 4, FALSE)*N2O_CO2e</f>
        <v>0</v>
      </c>
      <c r="D271" s="570">
        <f t="shared" si="133"/>
        <v>0</v>
      </c>
      <c r="E271" s="570">
        <f t="shared" si="133"/>
        <v>0</v>
      </c>
      <c r="F271" s="570">
        <f t="shared" si="133"/>
        <v>0</v>
      </c>
      <c r="G271" s="570">
        <f t="shared" si="133"/>
        <v>0</v>
      </c>
      <c r="H271" s="570">
        <f t="shared" si="133"/>
        <v>0</v>
      </c>
      <c r="I271" s="570">
        <f t="shared" si="133"/>
        <v>0</v>
      </c>
      <c r="J271" s="570">
        <f t="shared" si="133"/>
        <v>0</v>
      </c>
      <c r="K271" s="570">
        <f t="shared" si="133"/>
        <v>0</v>
      </c>
      <c r="L271" s="570">
        <f t="shared" si="133"/>
        <v>0</v>
      </c>
      <c r="M271" s="570">
        <f t="shared" si="133"/>
        <v>0</v>
      </c>
      <c r="N271" s="570">
        <f t="shared" si="133"/>
        <v>0</v>
      </c>
      <c r="O271" s="570">
        <f t="shared" si="133"/>
        <v>0</v>
      </c>
      <c r="P271" s="570">
        <f t="shared" si="133"/>
        <v>0</v>
      </c>
      <c r="Q271" s="570">
        <f t="shared" si="133"/>
        <v>0</v>
      </c>
      <c r="R271" s="570">
        <f t="shared" si="133"/>
        <v>0</v>
      </c>
      <c r="S271" s="571">
        <f t="shared" si="115"/>
        <v>0</v>
      </c>
    </row>
    <row r="272" spans="1:19">
      <c r="B272" s="860" t="s">
        <v>253</v>
      </c>
      <c r="C272" s="572">
        <f>SUM(C252:C271)</f>
        <v>0</v>
      </c>
      <c r="D272" s="572">
        <f t="shared" ref="D272:R272" si="134">SUM(D252:D271)</f>
        <v>0</v>
      </c>
      <c r="E272" s="572">
        <f t="shared" si="134"/>
        <v>0</v>
      </c>
      <c r="F272" s="572">
        <f t="shared" si="134"/>
        <v>0</v>
      </c>
      <c r="G272" s="572">
        <f t="shared" si="134"/>
        <v>0</v>
      </c>
      <c r="H272" s="572">
        <f t="shared" si="134"/>
        <v>0</v>
      </c>
      <c r="I272" s="572">
        <f t="shared" si="134"/>
        <v>0</v>
      </c>
      <c r="J272" s="572">
        <f t="shared" si="134"/>
        <v>0</v>
      </c>
      <c r="K272" s="572">
        <f t="shared" si="134"/>
        <v>0</v>
      </c>
      <c r="L272" s="572">
        <f t="shared" si="134"/>
        <v>0</v>
      </c>
      <c r="M272" s="572">
        <f t="shared" ref="M272:O272" si="135">SUM(M252:M271)</f>
        <v>0</v>
      </c>
      <c r="N272" s="572">
        <f t="shared" si="135"/>
        <v>0</v>
      </c>
      <c r="O272" s="572">
        <f t="shared" si="135"/>
        <v>0</v>
      </c>
      <c r="P272" s="572">
        <f t="shared" si="134"/>
        <v>0</v>
      </c>
      <c r="Q272" s="572">
        <f t="shared" si="134"/>
        <v>0</v>
      </c>
      <c r="R272" s="572">
        <f t="shared" si="134"/>
        <v>0</v>
      </c>
      <c r="S272" s="864">
        <f>SUM(S252:S271)</f>
        <v>0</v>
      </c>
    </row>
    <row r="273" spans="1:22">
      <c r="S273" s="61"/>
    </row>
    <row r="274" spans="1:22">
      <c r="A274" s="268" t="s">
        <v>298</v>
      </c>
    </row>
    <row r="275" spans="1:22">
      <c r="A275" s="286" t="s">
        <v>299</v>
      </c>
    </row>
    <row r="276" spans="1:22" s="1015" customFormat="1" ht="43.5">
      <c r="A276" s="1012"/>
      <c r="B276" s="888"/>
      <c r="C276" s="101" t="str">
        <f t="array" ref="C276:L276">TRANSPOSE($B$158:$B$167)</f>
        <v>Natural Gas</v>
      </c>
      <c r="D276" s="101" t="str">
        <v>Diesel</v>
      </c>
      <c r="E276" s="101" t="str">
        <v>Gasoline</v>
      </c>
      <c r="F276" s="101" t="str">
        <v>LPG</v>
      </c>
      <c r="G276" s="101" t="str">
        <v>Propane</v>
      </c>
      <c r="H276" s="101" t="str">
        <v>Butane</v>
      </c>
      <c r="I276" s="101" t="str">
        <v>Residual Fuel Oil No. 5</v>
      </c>
      <c r="J276" s="101" t="str">
        <v>Residual Fuel Oil No. 6</v>
      </c>
      <c r="K276" s="101" t="str">
        <v>Jet Fuel</v>
      </c>
      <c r="L276" s="101" t="str">
        <v>Residential Coal</v>
      </c>
      <c r="M276" s="101" t="s">
        <v>267</v>
      </c>
      <c r="N276" s="101" t="s">
        <v>268</v>
      </c>
      <c r="O276" s="101" t="s">
        <v>269</v>
      </c>
      <c r="P276" s="101" t="s">
        <v>171</v>
      </c>
      <c r="Q276" s="101" t="s">
        <v>270</v>
      </c>
      <c r="R276" s="101" t="s">
        <v>271</v>
      </c>
      <c r="S276" s="887" t="s">
        <v>263</v>
      </c>
      <c r="T276" s="1013"/>
      <c r="U276" s="1013"/>
      <c r="V276" s="1014"/>
    </row>
    <row r="277" spans="1:22">
      <c r="A277" s="284" t="s">
        <v>101</v>
      </c>
      <c r="B277" s="99" t="str">
        <f>B252</f>
        <v>Residential</v>
      </c>
      <c r="C277" s="137">
        <f t="shared" ref="C277:P277" si="136">C178*VLOOKUP(C$276, stat_factors, 5, FALSE)</f>
        <v>0</v>
      </c>
      <c r="D277" s="137">
        <f t="shared" si="136"/>
        <v>0</v>
      </c>
      <c r="E277" s="137">
        <f t="shared" si="136"/>
        <v>0</v>
      </c>
      <c r="F277" s="137">
        <f t="shared" si="136"/>
        <v>0</v>
      </c>
      <c r="G277" s="137">
        <f t="shared" si="136"/>
        <v>0</v>
      </c>
      <c r="H277" s="137">
        <f t="shared" si="136"/>
        <v>0</v>
      </c>
      <c r="I277" s="137">
        <f t="shared" si="136"/>
        <v>0</v>
      </c>
      <c r="J277" s="137">
        <f t="shared" si="136"/>
        <v>0</v>
      </c>
      <c r="K277" s="137">
        <f t="shared" si="136"/>
        <v>0</v>
      </c>
      <c r="L277" s="137">
        <f t="shared" si="136"/>
        <v>0</v>
      </c>
      <c r="M277" s="137">
        <f t="shared" ref="M277:O277" si="137">M178*VLOOKUP(M$276, stat_factors, 5, FALSE)</f>
        <v>0</v>
      </c>
      <c r="N277" s="137">
        <f t="shared" si="137"/>
        <v>0</v>
      </c>
      <c r="O277" s="137">
        <f t="shared" si="137"/>
        <v>0</v>
      </c>
      <c r="P277" s="137">
        <f t="shared" si="136"/>
        <v>0</v>
      </c>
      <c r="Q277" s="137">
        <f t="shared" ref="Q277:R277" si="138">Q178*VLOOKUP(Q$276, stat_factors, 5, FALSE)</f>
        <v>0</v>
      </c>
      <c r="R277" s="137">
        <f t="shared" si="138"/>
        <v>0</v>
      </c>
      <c r="S277" s="139">
        <f>SUM(C277:R277)</f>
        <v>0</v>
      </c>
    </row>
    <row r="278" spans="1:22">
      <c r="B278" s="99" t="str">
        <f t="shared" ref="B278:B296" si="139">B253</f>
        <v>Commercial/Institutional</v>
      </c>
      <c r="C278" s="137">
        <f t="shared" ref="C278:P278" si="140">C179*VLOOKUP(C$276, stat_factors, 5, FALSE)</f>
        <v>0</v>
      </c>
      <c r="D278" s="137">
        <f t="shared" si="140"/>
        <v>0</v>
      </c>
      <c r="E278" s="137">
        <f t="shared" si="140"/>
        <v>0</v>
      </c>
      <c r="F278" s="137">
        <f t="shared" si="140"/>
        <v>0</v>
      </c>
      <c r="G278" s="137">
        <f t="shared" si="140"/>
        <v>0</v>
      </c>
      <c r="H278" s="137">
        <f t="shared" si="140"/>
        <v>0</v>
      </c>
      <c r="I278" s="137">
        <f t="shared" si="140"/>
        <v>0</v>
      </c>
      <c r="J278" s="137">
        <f t="shared" si="140"/>
        <v>0</v>
      </c>
      <c r="K278" s="137">
        <f t="shared" si="140"/>
        <v>0</v>
      </c>
      <c r="L278" s="137">
        <f t="shared" si="140"/>
        <v>0</v>
      </c>
      <c r="M278" s="137">
        <f t="shared" ref="M278:O278" si="141">M179*VLOOKUP(M$276, stat_factors, 5, FALSE)</f>
        <v>0</v>
      </c>
      <c r="N278" s="137">
        <f t="shared" si="141"/>
        <v>0</v>
      </c>
      <c r="O278" s="137">
        <f t="shared" si="141"/>
        <v>0</v>
      </c>
      <c r="P278" s="137">
        <f t="shared" si="140"/>
        <v>0</v>
      </c>
      <c r="Q278" s="137">
        <f t="shared" ref="Q278:R278" si="142">Q179*VLOOKUP(Q$276, stat_factors, 5, FALSE)</f>
        <v>0</v>
      </c>
      <c r="R278" s="137">
        <f t="shared" si="142"/>
        <v>0</v>
      </c>
      <c r="S278" s="139">
        <f t="shared" ref="S278:S296" si="143">SUM(C278:R278)</f>
        <v>0</v>
      </c>
    </row>
    <row r="279" spans="1:22">
      <c r="B279" s="99" t="str">
        <f t="shared" si="139"/>
        <v>Industrial</v>
      </c>
      <c r="C279" s="137">
        <f t="shared" ref="C279:P279" si="144">C180*VLOOKUP(C$276, stat_factors, 5, FALSE)</f>
        <v>0</v>
      </c>
      <c r="D279" s="137">
        <f t="shared" si="144"/>
        <v>0</v>
      </c>
      <c r="E279" s="137">
        <f t="shared" si="144"/>
        <v>0</v>
      </c>
      <c r="F279" s="137">
        <f t="shared" si="144"/>
        <v>0</v>
      </c>
      <c r="G279" s="137">
        <f t="shared" si="144"/>
        <v>0</v>
      </c>
      <c r="H279" s="137">
        <f t="shared" si="144"/>
        <v>0</v>
      </c>
      <c r="I279" s="137">
        <f t="shared" si="144"/>
        <v>0</v>
      </c>
      <c r="J279" s="137">
        <f t="shared" si="144"/>
        <v>0</v>
      </c>
      <c r="K279" s="137">
        <f t="shared" si="144"/>
        <v>0</v>
      </c>
      <c r="L279" s="137">
        <f t="shared" si="144"/>
        <v>0</v>
      </c>
      <c r="M279" s="137">
        <f t="shared" ref="M279:O279" si="145">M180*VLOOKUP(M$276, stat_factors, 5, FALSE)</f>
        <v>0</v>
      </c>
      <c r="N279" s="137">
        <f t="shared" si="145"/>
        <v>0</v>
      </c>
      <c r="O279" s="137">
        <f t="shared" si="145"/>
        <v>0</v>
      </c>
      <c r="P279" s="137">
        <f t="shared" si="144"/>
        <v>0</v>
      </c>
      <c r="Q279" s="137">
        <f t="shared" ref="Q279:R279" si="146">Q180*VLOOKUP(Q$276, stat_factors, 5, FALSE)</f>
        <v>0</v>
      </c>
      <c r="R279" s="137">
        <f t="shared" si="146"/>
        <v>0</v>
      </c>
      <c r="S279" s="139">
        <f t="shared" si="143"/>
        <v>0</v>
      </c>
    </row>
    <row r="280" spans="1:22">
      <c r="B280" s="99" t="str">
        <f t="shared" si="139"/>
        <v>Energy Generation</v>
      </c>
      <c r="C280" s="137">
        <f t="shared" ref="C280:P280" si="147">C181*VLOOKUP(C$276, stat_factors, 5, FALSE)</f>
        <v>0</v>
      </c>
      <c r="D280" s="137">
        <f t="shared" si="147"/>
        <v>0</v>
      </c>
      <c r="E280" s="137">
        <f t="shared" si="147"/>
        <v>0</v>
      </c>
      <c r="F280" s="137">
        <f t="shared" si="147"/>
        <v>0</v>
      </c>
      <c r="G280" s="137">
        <f t="shared" si="147"/>
        <v>0</v>
      </c>
      <c r="H280" s="137">
        <f t="shared" si="147"/>
        <v>0</v>
      </c>
      <c r="I280" s="137">
        <f t="shared" si="147"/>
        <v>0</v>
      </c>
      <c r="J280" s="137">
        <f t="shared" si="147"/>
        <v>0</v>
      </c>
      <c r="K280" s="137">
        <f t="shared" si="147"/>
        <v>0</v>
      </c>
      <c r="L280" s="137">
        <f t="shared" si="147"/>
        <v>0</v>
      </c>
      <c r="M280" s="137">
        <f t="shared" ref="M280:O280" si="148">M181*VLOOKUP(M$276, stat_factors, 5, FALSE)</f>
        <v>0</v>
      </c>
      <c r="N280" s="137">
        <f t="shared" si="148"/>
        <v>0</v>
      </c>
      <c r="O280" s="137">
        <f t="shared" si="148"/>
        <v>0</v>
      </c>
      <c r="P280" s="137">
        <f t="shared" si="147"/>
        <v>0</v>
      </c>
      <c r="Q280" s="137">
        <f t="shared" ref="Q280:R280" si="149">Q181*VLOOKUP(Q$276, stat_factors, 5, FALSE)</f>
        <v>0</v>
      </c>
      <c r="R280" s="137">
        <f t="shared" si="149"/>
        <v>0</v>
      </c>
      <c r="S280" s="139">
        <f t="shared" si="143"/>
        <v>0</v>
      </c>
    </row>
    <row r="281" spans="1:22" hidden="1">
      <c r="B281" s="99">
        <f t="shared" si="139"/>
        <v>0</v>
      </c>
      <c r="C281" s="137">
        <f t="shared" ref="C281:P281" si="150">C182*VLOOKUP(C$276, stat_factors, 5, FALSE)</f>
        <v>0</v>
      </c>
      <c r="D281" s="137">
        <f t="shared" si="150"/>
        <v>0</v>
      </c>
      <c r="E281" s="137">
        <f t="shared" si="150"/>
        <v>0</v>
      </c>
      <c r="F281" s="137">
        <f t="shared" si="150"/>
        <v>0</v>
      </c>
      <c r="G281" s="137">
        <f t="shared" si="150"/>
        <v>0</v>
      </c>
      <c r="H281" s="137">
        <f t="shared" si="150"/>
        <v>0</v>
      </c>
      <c r="I281" s="137">
        <f t="shared" si="150"/>
        <v>0</v>
      </c>
      <c r="J281" s="137">
        <f t="shared" si="150"/>
        <v>0</v>
      </c>
      <c r="K281" s="137">
        <f t="shared" si="150"/>
        <v>0</v>
      </c>
      <c r="L281" s="137">
        <f t="shared" si="150"/>
        <v>0</v>
      </c>
      <c r="M281" s="137">
        <f t="shared" ref="M281:O281" si="151">M182*VLOOKUP(M$276, stat_factors, 5, FALSE)</f>
        <v>0</v>
      </c>
      <c r="N281" s="137">
        <f t="shared" si="151"/>
        <v>0</v>
      </c>
      <c r="O281" s="137">
        <f t="shared" si="151"/>
        <v>0</v>
      </c>
      <c r="P281" s="137">
        <f t="shared" si="150"/>
        <v>0</v>
      </c>
      <c r="Q281" s="137">
        <f t="shared" ref="Q281:R281" si="152">Q182*VLOOKUP(Q$276, stat_factors, 5, FALSE)</f>
        <v>0</v>
      </c>
      <c r="R281" s="137">
        <f t="shared" si="152"/>
        <v>0</v>
      </c>
      <c r="S281" s="139">
        <f t="shared" si="143"/>
        <v>0</v>
      </c>
    </row>
    <row r="282" spans="1:22" hidden="1">
      <c r="B282" s="99">
        <f t="shared" si="139"/>
        <v>0</v>
      </c>
      <c r="C282" s="137">
        <f t="shared" ref="C282:P282" si="153">C183*VLOOKUP(C$276, stat_factors, 5, FALSE)</f>
        <v>0</v>
      </c>
      <c r="D282" s="137">
        <f t="shared" si="153"/>
        <v>0</v>
      </c>
      <c r="E282" s="137">
        <f t="shared" si="153"/>
        <v>0</v>
      </c>
      <c r="F282" s="137">
        <f t="shared" si="153"/>
        <v>0</v>
      </c>
      <c r="G282" s="137">
        <f t="shared" si="153"/>
        <v>0</v>
      </c>
      <c r="H282" s="137">
        <f t="shared" si="153"/>
        <v>0</v>
      </c>
      <c r="I282" s="137">
        <f t="shared" si="153"/>
        <v>0</v>
      </c>
      <c r="J282" s="137">
        <f t="shared" si="153"/>
        <v>0</v>
      </c>
      <c r="K282" s="137">
        <f t="shared" si="153"/>
        <v>0</v>
      </c>
      <c r="L282" s="137">
        <f t="shared" si="153"/>
        <v>0</v>
      </c>
      <c r="M282" s="137">
        <f t="shared" ref="M282:O282" si="154">M183*VLOOKUP(M$276, stat_factors, 5, FALSE)</f>
        <v>0</v>
      </c>
      <c r="N282" s="137">
        <f t="shared" si="154"/>
        <v>0</v>
      </c>
      <c r="O282" s="137">
        <f t="shared" si="154"/>
        <v>0</v>
      </c>
      <c r="P282" s="137">
        <f t="shared" si="153"/>
        <v>0</v>
      </c>
      <c r="Q282" s="137">
        <f t="shared" ref="Q282:R282" si="155">Q183*VLOOKUP(Q$276, stat_factors, 5, FALSE)</f>
        <v>0</v>
      </c>
      <c r="R282" s="137">
        <f t="shared" si="155"/>
        <v>0</v>
      </c>
      <c r="S282" s="139">
        <f t="shared" si="143"/>
        <v>0</v>
      </c>
    </row>
    <row r="283" spans="1:22" hidden="1">
      <c r="B283" s="99">
        <f t="shared" si="139"/>
        <v>0</v>
      </c>
      <c r="C283" s="137">
        <f t="shared" ref="C283:P283" si="156">C184*VLOOKUP(C$276, stat_factors, 5, FALSE)</f>
        <v>0</v>
      </c>
      <c r="D283" s="137">
        <f t="shared" si="156"/>
        <v>0</v>
      </c>
      <c r="E283" s="137">
        <f t="shared" si="156"/>
        <v>0</v>
      </c>
      <c r="F283" s="137">
        <f t="shared" si="156"/>
        <v>0</v>
      </c>
      <c r="G283" s="137">
        <f t="shared" si="156"/>
        <v>0</v>
      </c>
      <c r="H283" s="137">
        <f t="shared" si="156"/>
        <v>0</v>
      </c>
      <c r="I283" s="137">
        <f t="shared" si="156"/>
        <v>0</v>
      </c>
      <c r="J283" s="137">
        <f t="shared" si="156"/>
        <v>0</v>
      </c>
      <c r="K283" s="137">
        <f t="shared" si="156"/>
        <v>0</v>
      </c>
      <c r="L283" s="137">
        <f t="shared" si="156"/>
        <v>0</v>
      </c>
      <c r="M283" s="137">
        <f t="shared" ref="M283:O283" si="157">M184*VLOOKUP(M$276, stat_factors, 5, FALSE)</f>
        <v>0</v>
      </c>
      <c r="N283" s="137">
        <f t="shared" si="157"/>
        <v>0</v>
      </c>
      <c r="O283" s="137">
        <f t="shared" si="157"/>
        <v>0</v>
      </c>
      <c r="P283" s="137">
        <f t="shared" si="156"/>
        <v>0</v>
      </c>
      <c r="Q283" s="137">
        <f t="shared" ref="Q283:R283" si="158">Q184*VLOOKUP(Q$276, stat_factors, 5, FALSE)</f>
        <v>0</v>
      </c>
      <c r="R283" s="137">
        <f t="shared" si="158"/>
        <v>0</v>
      </c>
      <c r="S283" s="139">
        <f t="shared" si="143"/>
        <v>0</v>
      </c>
    </row>
    <row r="284" spans="1:22" hidden="1">
      <c r="B284" s="99">
        <f t="shared" si="139"/>
        <v>0</v>
      </c>
      <c r="C284" s="137">
        <f t="shared" ref="C284:P284" si="159">C185*VLOOKUP(C$276, stat_factors, 5, FALSE)</f>
        <v>0</v>
      </c>
      <c r="D284" s="137">
        <f t="shared" si="159"/>
        <v>0</v>
      </c>
      <c r="E284" s="137">
        <f t="shared" si="159"/>
        <v>0</v>
      </c>
      <c r="F284" s="137">
        <f t="shared" si="159"/>
        <v>0</v>
      </c>
      <c r="G284" s="137">
        <f t="shared" si="159"/>
        <v>0</v>
      </c>
      <c r="H284" s="137">
        <f t="shared" si="159"/>
        <v>0</v>
      </c>
      <c r="I284" s="137">
        <f t="shared" si="159"/>
        <v>0</v>
      </c>
      <c r="J284" s="137">
        <f t="shared" si="159"/>
        <v>0</v>
      </c>
      <c r="K284" s="137">
        <f t="shared" si="159"/>
        <v>0</v>
      </c>
      <c r="L284" s="137">
        <f t="shared" si="159"/>
        <v>0</v>
      </c>
      <c r="M284" s="137">
        <f t="shared" ref="M284:O284" si="160">M185*VLOOKUP(M$276, stat_factors, 5, FALSE)</f>
        <v>0</v>
      </c>
      <c r="N284" s="137">
        <f t="shared" si="160"/>
        <v>0</v>
      </c>
      <c r="O284" s="137">
        <f t="shared" si="160"/>
        <v>0</v>
      </c>
      <c r="P284" s="137">
        <f t="shared" si="159"/>
        <v>0</v>
      </c>
      <c r="Q284" s="137">
        <f t="shared" ref="Q284:R284" si="161">Q185*VLOOKUP(Q$276, stat_factors, 5, FALSE)</f>
        <v>0</v>
      </c>
      <c r="R284" s="137">
        <f t="shared" si="161"/>
        <v>0</v>
      </c>
      <c r="S284" s="139">
        <f t="shared" si="143"/>
        <v>0</v>
      </c>
    </row>
    <row r="285" spans="1:22" hidden="1">
      <c r="B285" s="99">
        <f t="shared" si="139"/>
        <v>0</v>
      </c>
      <c r="C285" s="137">
        <f t="shared" ref="C285:P285" si="162">C186*VLOOKUP(C$276, stat_factors, 5, FALSE)</f>
        <v>0</v>
      </c>
      <c r="D285" s="137">
        <f t="shared" si="162"/>
        <v>0</v>
      </c>
      <c r="E285" s="137">
        <f t="shared" si="162"/>
        <v>0</v>
      </c>
      <c r="F285" s="137">
        <f t="shared" si="162"/>
        <v>0</v>
      </c>
      <c r="G285" s="137">
        <f t="shared" si="162"/>
        <v>0</v>
      </c>
      <c r="H285" s="137">
        <f t="shared" si="162"/>
        <v>0</v>
      </c>
      <c r="I285" s="137">
        <f t="shared" si="162"/>
        <v>0</v>
      </c>
      <c r="J285" s="137">
        <f t="shared" si="162"/>
        <v>0</v>
      </c>
      <c r="K285" s="137">
        <f t="shared" si="162"/>
        <v>0</v>
      </c>
      <c r="L285" s="137">
        <f t="shared" si="162"/>
        <v>0</v>
      </c>
      <c r="M285" s="137">
        <f t="shared" ref="M285:O285" si="163">M186*VLOOKUP(M$276, stat_factors, 5, FALSE)</f>
        <v>0</v>
      </c>
      <c r="N285" s="137">
        <f t="shared" si="163"/>
        <v>0</v>
      </c>
      <c r="O285" s="137">
        <f t="shared" si="163"/>
        <v>0</v>
      </c>
      <c r="P285" s="137">
        <f t="shared" si="162"/>
        <v>0</v>
      </c>
      <c r="Q285" s="137">
        <f t="shared" ref="Q285:R285" si="164">Q186*VLOOKUP(Q$276, stat_factors, 5, FALSE)</f>
        <v>0</v>
      </c>
      <c r="R285" s="137">
        <f t="shared" si="164"/>
        <v>0</v>
      </c>
      <c r="S285" s="139">
        <f t="shared" si="143"/>
        <v>0</v>
      </c>
    </row>
    <row r="286" spans="1:22" hidden="1">
      <c r="B286" s="99">
        <f t="shared" si="139"/>
        <v>0</v>
      </c>
      <c r="C286" s="137">
        <f t="shared" ref="C286:P286" si="165">C187*VLOOKUP(C$276, stat_factors, 5, FALSE)</f>
        <v>0</v>
      </c>
      <c r="D286" s="137">
        <f t="shared" si="165"/>
        <v>0</v>
      </c>
      <c r="E286" s="137">
        <f t="shared" si="165"/>
        <v>0</v>
      </c>
      <c r="F286" s="137">
        <f t="shared" si="165"/>
        <v>0</v>
      </c>
      <c r="G286" s="137">
        <f t="shared" si="165"/>
        <v>0</v>
      </c>
      <c r="H286" s="137">
        <f t="shared" si="165"/>
        <v>0</v>
      </c>
      <c r="I286" s="137">
        <f t="shared" si="165"/>
        <v>0</v>
      </c>
      <c r="J286" s="137">
        <f t="shared" si="165"/>
        <v>0</v>
      </c>
      <c r="K286" s="137">
        <f t="shared" si="165"/>
        <v>0</v>
      </c>
      <c r="L286" s="137">
        <f t="shared" si="165"/>
        <v>0</v>
      </c>
      <c r="M286" s="137">
        <f t="shared" ref="M286:O286" si="166">M187*VLOOKUP(M$276, stat_factors, 5, FALSE)</f>
        <v>0</v>
      </c>
      <c r="N286" s="137">
        <f t="shared" si="166"/>
        <v>0</v>
      </c>
      <c r="O286" s="137">
        <f t="shared" si="166"/>
        <v>0</v>
      </c>
      <c r="P286" s="137">
        <f t="shared" si="165"/>
        <v>0</v>
      </c>
      <c r="Q286" s="137">
        <f t="shared" ref="Q286:R286" si="167">Q187*VLOOKUP(Q$276, stat_factors, 5, FALSE)</f>
        <v>0</v>
      </c>
      <c r="R286" s="137">
        <f t="shared" si="167"/>
        <v>0</v>
      </c>
      <c r="S286" s="139">
        <f t="shared" si="143"/>
        <v>0</v>
      </c>
    </row>
    <row r="287" spans="1:22" hidden="1">
      <c r="B287" s="99">
        <f t="shared" si="139"/>
        <v>0</v>
      </c>
      <c r="C287" s="137">
        <f t="shared" ref="C287:P287" si="168">C188*VLOOKUP(C$276, stat_factors, 5, FALSE)</f>
        <v>0</v>
      </c>
      <c r="D287" s="137">
        <f t="shared" si="168"/>
        <v>0</v>
      </c>
      <c r="E287" s="137">
        <f t="shared" si="168"/>
        <v>0</v>
      </c>
      <c r="F287" s="137">
        <f t="shared" si="168"/>
        <v>0</v>
      </c>
      <c r="G287" s="137">
        <f t="shared" si="168"/>
        <v>0</v>
      </c>
      <c r="H287" s="137">
        <f t="shared" si="168"/>
        <v>0</v>
      </c>
      <c r="I287" s="137">
        <f t="shared" si="168"/>
        <v>0</v>
      </c>
      <c r="J287" s="137">
        <f t="shared" si="168"/>
        <v>0</v>
      </c>
      <c r="K287" s="137">
        <f t="shared" si="168"/>
        <v>0</v>
      </c>
      <c r="L287" s="137">
        <f t="shared" si="168"/>
        <v>0</v>
      </c>
      <c r="M287" s="137">
        <f t="shared" ref="M287:O287" si="169">M188*VLOOKUP(M$276, stat_factors, 5, FALSE)</f>
        <v>0</v>
      </c>
      <c r="N287" s="137">
        <f t="shared" si="169"/>
        <v>0</v>
      </c>
      <c r="O287" s="137">
        <f t="shared" si="169"/>
        <v>0</v>
      </c>
      <c r="P287" s="137">
        <f t="shared" si="168"/>
        <v>0</v>
      </c>
      <c r="Q287" s="137">
        <f t="shared" ref="Q287:R287" si="170">Q188*VLOOKUP(Q$276, stat_factors, 5, FALSE)</f>
        <v>0</v>
      </c>
      <c r="R287" s="137">
        <f t="shared" si="170"/>
        <v>0</v>
      </c>
      <c r="S287" s="139">
        <f t="shared" si="143"/>
        <v>0</v>
      </c>
    </row>
    <row r="288" spans="1:22" hidden="1">
      <c r="B288" s="99">
        <f t="shared" si="139"/>
        <v>0</v>
      </c>
      <c r="C288" s="137">
        <f t="shared" ref="C288:P288" si="171">C189*VLOOKUP(C$276, stat_factors, 5, FALSE)</f>
        <v>0</v>
      </c>
      <c r="D288" s="137">
        <f t="shared" si="171"/>
        <v>0</v>
      </c>
      <c r="E288" s="137">
        <f t="shared" si="171"/>
        <v>0</v>
      </c>
      <c r="F288" s="137">
        <f t="shared" si="171"/>
        <v>0</v>
      </c>
      <c r="G288" s="137">
        <f t="shared" si="171"/>
        <v>0</v>
      </c>
      <c r="H288" s="137">
        <f t="shared" si="171"/>
        <v>0</v>
      </c>
      <c r="I288" s="137">
        <f t="shared" si="171"/>
        <v>0</v>
      </c>
      <c r="J288" s="137">
        <f t="shared" si="171"/>
        <v>0</v>
      </c>
      <c r="K288" s="137">
        <f t="shared" si="171"/>
        <v>0</v>
      </c>
      <c r="L288" s="137">
        <f t="shared" si="171"/>
        <v>0</v>
      </c>
      <c r="M288" s="137">
        <f t="shared" ref="M288:O288" si="172">M189*VLOOKUP(M$276, stat_factors, 5, FALSE)</f>
        <v>0</v>
      </c>
      <c r="N288" s="137">
        <f t="shared" si="172"/>
        <v>0</v>
      </c>
      <c r="O288" s="137">
        <f t="shared" si="172"/>
        <v>0</v>
      </c>
      <c r="P288" s="137">
        <f t="shared" si="171"/>
        <v>0</v>
      </c>
      <c r="Q288" s="137">
        <f t="shared" ref="Q288:R288" si="173">Q189*VLOOKUP(Q$276, stat_factors, 5, FALSE)</f>
        <v>0</v>
      </c>
      <c r="R288" s="137">
        <f t="shared" si="173"/>
        <v>0</v>
      </c>
      <c r="S288" s="139">
        <f t="shared" si="143"/>
        <v>0</v>
      </c>
    </row>
    <row r="289" spans="1:22" hidden="1">
      <c r="B289" s="99">
        <f t="shared" si="139"/>
        <v>0</v>
      </c>
      <c r="C289" s="137">
        <f t="shared" ref="C289:P289" si="174">C190*VLOOKUP(C$276, stat_factors, 5, FALSE)</f>
        <v>0</v>
      </c>
      <c r="D289" s="137">
        <f t="shared" si="174"/>
        <v>0</v>
      </c>
      <c r="E289" s="137">
        <f t="shared" si="174"/>
        <v>0</v>
      </c>
      <c r="F289" s="137">
        <f t="shared" si="174"/>
        <v>0</v>
      </c>
      <c r="G289" s="137">
        <f t="shared" si="174"/>
        <v>0</v>
      </c>
      <c r="H289" s="137">
        <f t="shared" si="174"/>
        <v>0</v>
      </c>
      <c r="I289" s="137">
        <f t="shared" si="174"/>
        <v>0</v>
      </c>
      <c r="J289" s="137">
        <f t="shared" si="174"/>
        <v>0</v>
      </c>
      <c r="K289" s="137">
        <f t="shared" si="174"/>
        <v>0</v>
      </c>
      <c r="L289" s="137">
        <f t="shared" si="174"/>
        <v>0</v>
      </c>
      <c r="M289" s="137">
        <f t="shared" ref="M289:O289" si="175">M190*VLOOKUP(M$276, stat_factors, 5, FALSE)</f>
        <v>0</v>
      </c>
      <c r="N289" s="137">
        <f t="shared" si="175"/>
        <v>0</v>
      </c>
      <c r="O289" s="137">
        <f t="shared" si="175"/>
        <v>0</v>
      </c>
      <c r="P289" s="137">
        <f t="shared" si="174"/>
        <v>0</v>
      </c>
      <c r="Q289" s="137">
        <f t="shared" ref="Q289:R289" si="176">Q190*VLOOKUP(Q$276, stat_factors, 5, FALSE)</f>
        <v>0</v>
      </c>
      <c r="R289" s="137">
        <f t="shared" si="176"/>
        <v>0</v>
      </c>
      <c r="S289" s="139">
        <f t="shared" si="143"/>
        <v>0</v>
      </c>
    </row>
    <row r="290" spans="1:22" hidden="1">
      <c r="B290" s="99">
        <f t="shared" si="139"/>
        <v>0</v>
      </c>
      <c r="C290" s="137">
        <f t="shared" ref="C290:P290" si="177">C191*VLOOKUP(C$276, stat_factors, 5, FALSE)</f>
        <v>0</v>
      </c>
      <c r="D290" s="137">
        <f t="shared" si="177"/>
        <v>0</v>
      </c>
      <c r="E290" s="137">
        <f t="shared" si="177"/>
        <v>0</v>
      </c>
      <c r="F290" s="137">
        <f t="shared" si="177"/>
        <v>0</v>
      </c>
      <c r="G290" s="137">
        <f t="shared" si="177"/>
        <v>0</v>
      </c>
      <c r="H290" s="137">
        <f t="shared" si="177"/>
        <v>0</v>
      </c>
      <c r="I290" s="137">
        <f t="shared" si="177"/>
        <v>0</v>
      </c>
      <c r="J290" s="137">
        <f t="shared" si="177"/>
        <v>0</v>
      </c>
      <c r="K290" s="137">
        <f t="shared" si="177"/>
        <v>0</v>
      </c>
      <c r="L290" s="137">
        <f t="shared" si="177"/>
        <v>0</v>
      </c>
      <c r="M290" s="137">
        <f t="shared" ref="M290:O290" si="178">M191*VLOOKUP(M$276, stat_factors, 5, FALSE)</f>
        <v>0</v>
      </c>
      <c r="N290" s="137">
        <f t="shared" si="178"/>
        <v>0</v>
      </c>
      <c r="O290" s="137">
        <f t="shared" si="178"/>
        <v>0</v>
      </c>
      <c r="P290" s="137">
        <f t="shared" si="177"/>
        <v>0</v>
      </c>
      <c r="Q290" s="137">
        <f t="shared" ref="Q290:R290" si="179">Q191*VLOOKUP(Q$276, stat_factors, 5, FALSE)</f>
        <v>0</v>
      </c>
      <c r="R290" s="137">
        <f t="shared" si="179"/>
        <v>0</v>
      </c>
      <c r="S290" s="139">
        <f t="shared" si="143"/>
        <v>0</v>
      </c>
    </row>
    <row r="291" spans="1:22" hidden="1">
      <c r="B291" s="99">
        <f t="shared" si="139"/>
        <v>0</v>
      </c>
      <c r="C291" s="137">
        <f t="shared" ref="C291:P291" si="180">C192*VLOOKUP(C$276, stat_factors, 5, FALSE)</f>
        <v>0</v>
      </c>
      <c r="D291" s="137">
        <f t="shared" si="180"/>
        <v>0</v>
      </c>
      <c r="E291" s="137">
        <f t="shared" si="180"/>
        <v>0</v>
      </c>
      <c r="F291" s="137">
        <f t="shared" si="180"/>
        <v>0</v>
      </c>
      <c r="G291" s="137">
        <f t="shared" si="180"/>
        <v>0</v>
      </c>
      <c r="H291" s="137">
        <f t="shared" si="180"/>
        <v>0</v>
      </c>
      <c r="I291" s="137">
        <f t="shared" si="180"/>
        <v>0</v>
      </c>
      <c r="J291" s="137">
        <f t="shared" si="180"/>
        <v>0</v>
      </c>
      <c r="K291" s="137">
        <f t="shared" si="180"/>
        <v>0</v>
      </c>
      <c r="L291" s="137">
        <f t="shared" si="180"/>
        <v>0</v>
      </c>
      <c r="M291" s="137">
        <f t="shared" ref="M291:O291" si="181">M192*VLOOKUP(M$276, stat_factors, 5, FALSE)</f>
        <v>0</v>
      </c>
      <c r="N291" s="137">
        <f t="shared" si="181"/>
        <v>0</v>
      </c>
      <c r="O291" s="137">
        <f t="shared" si="181"/>
        <v>0</v>
      </c>
      <c r="P291" s="137">
        <f t="shared" si="180"/>
        <v>0</v>
      </c>
      <c r="Q291" s="137">
        <f t="shared" ref="Q291:R291" si="182">Q192*VLOOKUP(Q$276, stat_factors, 5, FALSE)</f>
        <v>0</v>
      </c>
      <c r="R291" s="137">
        <f t="shared" si="182"/>
        <v>0</v>
      </c>
      <c r="S291" s="139">
        <f t="shared" si="143"/>
        <v>0</v>
      </c>
    </row>
    <row r="292" spans="1:22" hidden="1">
      <c r="B292" s="99">
        <f t="shared" si="139"/>
        <v>0</v>
      </c>
      <c r="C292" s="137">
        <f t="shared" ref="C292:P292" si="183">C193*VLOOKUP(C$276, stat_factors, 5, FALSE)</f>
        <v>0</v>
      </c>
      <c r="D292" s="137">
        <f t="shared" si="183"/>
        <v>0</v>
      </c>
      <c r="E292" s="137">
        <f t="shared" si="183"/>
        <v>0</v>
      </c>
      <c r="F292" s="137">
        <f t="shared" si="183"/>
        <v>0</v>
      </c>
      <c r="G292" s="137">
        <f t="shared" si="183"/>
        <v>0</v>
      </c>
      <c r="H292" s="137">
        <f t="shared" si="183"/>
        <v>0</v>
      </c>
      <c r="I292" s="137">
        <f t="shared" si="183"/>
        <v>0</v>
      </c>
      <c r="J292" s="137">
        <f t="shared" si="183"/>
        <v>0</v>
      </c>
      <c r="K292" s="137">
        <f t="shared" si="183"/>
        <v>0</v>
      </c>
      <c r="L292" s="137">
        <f t="shared" si="183"/>
        <v>0</v>
      </c>
      <c r="M292" s="137">
        <f t="shared" ref="M292:O292" si="184">M193*VLOOKUP(M$276, stat_factors, 5, FALSE)</f>
        <v>0</v>
      </c>
      <c r="N292" s="137">
        <f t="shared" si="184"/>
        <v>0</v>
      </c>
      <c r="O292" s="137">
        <f t="shared" si="184"/>
        <v>0</v>
      </c>
      <c r="P292" s="137">
        <f t="shared" si="183"/>
        <v>0</v>
      </c>
      <c r="Q292" s="137">
        <f t="shared" ref="Q292:R292" si="185">Q193*VLOOKUP(Q$276, stat_factors, 5, FALSE)</f>
        <v>0</v>
      </c>
      <c r="R292" s="137">
        <f t="shared" si="185"/>
        <v>0</v>
      </c>
      <c r="S292" s="139">
        <f t="shared" si="143"/>
        <v>0</v>
      </c>
    </row>
    <row r="293" spans="1:22" hidden="1">
      <c r="B293" s="99">
        <f t="shared" si="139"/>
        <v>0</v>
      </c>
      <c r="C293" s="137">
        <f t="shared" ref="C293:P293" si="186">C194*VLOOKUP(C$276, stat_factors, 5, FALSE)</f>
        <v>0</v>
      </c>
      <c r="D293" s="137">
        <f t="shared" si="186"/>
        <v>0</v>
      </c>
      <c r="E293" s="137">
        <f t="shared" si="186"/>
        <v>0</v>
      </c>
      <c r="F293" s="137">
        <f t="shared" si="186"/>
        <v>0</v>
      </c>
      <c r="G293" s="137">
        <f t="shared" si="186"/>
        <v>0</v>
      </c>
      <c r="H293" s="137">
        <f t="shared" si="186"/>
        <v>0</v>
      </c>
      <c r="I293" s="137">
        <f t="shared" si="186"/>
        <v>0</v>
      </c>
      <c r="J293" s="137">
        <f t="shared" si="186"/>
        <v>0</v>
      </c>
      <c r="K293" s="137">
        <f t="shared" si="186"/>
        <v>0</v>
      </c>
      <c r="L293" s="137">
        <f t="shared" si="186"/>
        <v>0</v>
      </c>
      <c r="M293" s="137">
        <f t="shared" ref="M293:O293" si="187">M194*VLOOKUP(M$276, stat_factors, 5, FALSE)</f>
        <v>0</v>
      </c>
      <c r="N293" s="137">
        <f t="shared" si="187"/>
        <v>0</v>
      </c>
      <c r="O293" s="137">
        <f t="shared" si="187"/>
        <v>0</v>
      </c>
      <c r="P293" s="137">
        <f t="shared" si="186"/>
        <v>0</v>
      </c>
      <c r="Q293" s="137">
        <f t="shared" ref="Q293:R293" si="188">Q194*VLOOKUP(Q$276, stat_factors, 5, FALSE)</f>
        <v>0</v>
      </c>
      <c r="R293" s="137">
        <f t="shared" si="188"/>
        <v>0</v>
      </c>
      <c r="S293" s="139">
        <f>SUM(C293:R293)</f>
        <v>0</v>
      </c>
    </row>
    <row r="294" spans="1:22" hidden="1">
      <c r="B294" s="99">
        <f t="shared" si="139"/>
        <v>0</v>
      </c>
      <c r="C294" s="137">
        <f t="shared" ref="C294:P294" si="189">C195*VLOOKUP(C$276, stat_factors, 5, FALSE)</f>
        <v>0</v>
      </c>
      <c r="D294" s="137">
        <f t="shared" si="189"/>
        <v>0</v>
      </c>
      <c r="E294" s="137">
        <f t="shared" si="189"/>
        <v>0</v>
      </c>
      <c r="F294" s="137">
        <f t="shared" si="189"/>
        <v>0</v>
      </c>
      <c r="G294" s="137">
        <f t="shared" si="189"/>
        <v>0</v>
      </c>
      <c r="H294" s="137">
        <f t="shared" si="189"/>
        <v>0</v>
      </c>
      <c r="I294" s="137">
        <f t="shared" si="189"/>
        <v>0</v>
      </c>
      <c r="J294" s="137">
        <f t="shared" si="189"/>
        <v>0</v>
      </c>
      <c r="K294" s="137">
        <f t="shared" si="189"/>
        <v>0</v>
      </c>
      <c r="L294" s="137">
        <f t="shared" si="189"/>
        <v>0</v>
      </c>
      <c r="M294" s="137">
        <f t="shared" ref="M294:O294" si="190">M195*VLOOKUP(M$276, stat_factors, 5, FALSE)</f>
        <v>0</v>
      </c>
      <c r="N294" s="137">
        <f t="shared" si="190"/>
        <v>0</v>
      </c>
      <c r="O294" s="137">
        <f t="shared" si="190"/>
        <v>0</v>
      </c>
      <c r="P294" s="137">
        <f t="shared" si="189"/>
        <v>0</v>
      </c>
      <c r="Q294" s="137">
        <f t="shared" ref="Q294:R294" si="191">Q195*VLOOKUP(Q$276, stat_factors, 5, FALSE)</f>
        <v>0</v>
      </c>
      <c r="R294" s="137">
        <f t="shared" si="191"/>
        <v>0</v>
      </c>
      <c r="S294" s="139">
        <f t="shared" si="143"/>
        <v>0</v>
      </c>
    </row>
    <row r="295" spans="1:22" hidden="1">
      <c r="B295" s="99">
        <f t="shared" si="139"/>
        <v>0</v>
      </c>
      <c r="C295" s="137">
        <f t="shared" ref="C295:P295" si="192">C196*VLOOKUP(C$276, stat_factors, 5, FALSE)</f>
        <v>0</v>
      </c>
      <c r="D295" s="137">
        <f t="shared" si="192"/>
        <v>0</v>
      </c>
      <c r="E295" s="137">
        <f t="shared" si="192"/>
        <v>0</v>
      </c>
      <c r="F295" s="137">
        <f t="shared" si="192"/>
        <v>0</v>
      </c>
      <c r="G295" s="137">
        <f t="shared" si="192"/>
        <v>0</v>
      </c>
      <c r="H295" s="137">
        <f t="shared" si="192"/>
        <v>0</v>
      </c>
      <c r="I295" s="137">
        <f t="shared" si="192"/>
        <v>0</v>
      </c>
      <c r="J295" s="137">
        <f t="shared" si="192"/>
        <v>0</v>
      </c>
      <c r="K295" s="137">
        <f t="shared" si="192"/>
        <v>0</v>
      </c>
      <c r="L295" s="137">
        <f t="shared" si="192"/>
        <v>0</v>
      </c>
      <c r="M295" s="137">
        <f t="shared" ref="M295:O295" si="193">M196*VLOOKUP(M$276, stat_factors, 5, FALSE)</f>
        <v>0</v>
      </c>
      <c r="N295" s="137">
        <f t="shared" si="193"/>
        <v>0</v>
      </c>
      <c r="O295" s="137">
        <f t="shared" si="193"/>
        <v>0</v>
      </c>
      <c r="P295" s="137">
        <f t="shared" si="192"/>
        <v>0</v>
      </c>
      <c r="Q295" s="137">
        <f t="shared" ref="Q295:R295" si="194">Q196*VLOOKUP(Q$276, stat_factors, 5, FALSE)</f>
        <v>0</v>
      </c>
      <c r="R295" s="137">
        <f t="shared" si="194"/>
        <v>0</v>
      </c>
      <c r="S295" s="139">
        <f t="shared" si="143"/>
        <v>0</v>
      </c>
    </row>
    <row r="296" spans="1:22" hidden="1">
      <c r="A296" s="285"/>
      <c r="B296" s="99">
        <f t="shared" si="139"/>
        <v>0</v>
      </c>
      <c r="C296" s="137">
        <f t="shared" ref="C296:P296" si="195">C197*VLOOKUP(C$276, stat_factors, 5, FALSE)</f>
        <v>0</v>
      </c>
      <c r="D296" s="137">
        <f t="shared" si="195"/>
        <v>0</v>
      </c>
      <c r="E296" s="137">
        <f t="shared" si="195"/>
        <v>0</v>
      </c>
      <c r="F296" s="137">
        <f t="shared" si="195"/>
        <v>0</v>
      </c>
      <c r="G296" s="137">
        <f t="shared" si="195"/>
        <v>0</v>
      </c>
      <c r="H296" s="137">
        <f t="shared" si="195"/>
        <v>0</v>
      </c>
      <c r="I296" s="137">
        <f t="shared" si="195"/>
        <v>0</v>
      </c>
      <c r="J296" s="137">
        <f t="shared" si="195"/>
        <v>0</v>
      </c>
      <c r="K296" s="137">
        <f t="shared" si="195"/>
        <v>0</v>
      </c>
      <c r="L296" s="137">
        <f t="shared" si="195"/>
        <v>0</v>
      </c>
      <c r="M296" s="137">
        <f t="shared" ref="M296:O296" si="196">M197*VLOOKUP(M$276, stat_factors, 5, FALSE)</f>
        <v>0</v>
      </c>
      <c r="N296" s="137">
        <f t="shared" si="196"/>
        <v>0</v>
      </c>
      <c r="O296" s="137">
        <f t="shared" si="196"/>
        <v>0</v>
      </c>
      <c r="P296" s="137">
        <f t="shared" si="195"/>
        <v>0</v>
      </c>
      <c r="Q296" s="137">
        <f t="shared" ref="Q296:R296" si="197">Q197*VLOOKUP(Q$276, stat_factors, 5, FALSE)</f>
        <v>0</v>
      </c>
      <c r="R296" s="137">
        <f t="shared" si="197"/>
        <v>0</v>
      </c>
      <c r="S296" s="139">
        <f t="shared" si="143"/>
        <v>0</v>
      </c>
    </row>
    <row r="297" spans="1:22">
      <c r="B297" s="860" t="s">
        <v>253</v>
      </c>
      <c r="C297" s="566">
        <f>SUM(C277:C296)</f>
        <v>0</v>
      </c>
      <c r="D297" s="566">
        <f t="shared" ref="D297:Q297" si="198">SUM(D277:D296)</f>
        <v>0</v>
      </c>
      <c r="E297" s="566">
        <f t="shared" si="198"/>
        <v>0</v>
      </c>
      <c r="F297" s="566">
        <f t="shared" si="198"/>
        <v>0</v>
      </c>
      <c r="G297" s="566">
        <f t="shared" si="198"/>
        <v>0</v>
      </c>
      <c r="H297" s="566">
        <f t="shared" si="198"/>
        <v>0</v>
      </c>
      <c r="I297" s="566">
        <f t="shared" si="198"/>
        <v>0</v>
      </c>
      <c r="J297" s="566">
        <f t="shared" si="198"/>
        <v>0</v>
      </c>
      <c r="K297" s="566">
        <f t="shared" si="198"/>
        <v>0</v>
      </c>
      <c r="L297" s="566">
        <f t="shared" si="198"/>
        <v>0</v>
      </c>
      <c r="M297" s="566">
        <f t="shared" ref="M297:O297" si="199">SUM(M277:M296)</f>
        <v>0</v>
      </c>
      <c r="N297" s="566">
        <f t="shared" si="199"/>
        <v>0</v>
      </c>
      <c r="O297" s="566">
        <f t="shared" si="199"/>
        <v>0</v>
      </c>
      <c r="P297" s="566">
        <f t="shared" si="198"/>
        <v>0</v>
      </c>
      <c r="Q297" s="566">
        <f t="shared" si="198"/>
        <v>0</v>
      </c>
      <c r="R297" s="566">
        <f>SUM(R277:R296)</f>
        <v>0</v>
      </c>
      <c r="S297" s="862">
        <f>SUM(S277:S295)</f>
        <v>0</v>
      </c>
    </row>
    <row r="298" spans="1:22">
      <c r="B298" s="27"/>
      <c r="C298" s="783"/>
      <c r="D298" s="27"/>
      <c r="E298" s="783"/>
      <c r="F298" s="27"/>
      <c r="G298" s="783"/>
      <c r="H298" s="27"/>
      <c r="I298" s="783"/>
      <c r="J298" s="27"/>
      <c r="K298" s="783"/>
      <c r="L298" s="27"/>
      <c r="M298" s="783"/>
      <c r="N298" s="27"/>
      <c r="O298" s="783"/>
      <c r="P298" s="27"/>
      <c r="Q298" s="783"/>
      <c r="R298" s="27"/>
      <c r="S298" s="783"/>
    </row>
    <row r="300" spans="1:22" ht="15" thickBot="1"/>
    <row r="301" spans="1:22" ht="65.150000000000006" customHeight="1" thickBot="1">
      <c r="A301" s="1042" t="s">
        <v>1</v>
      </c>
      <c r="B301" s="1043"/>
      <c r="C301" s="1043"/>
      <c r="D301" s="1043"/>
      <c r="E301" s="1043"/>
      <c r="F301" s="1043"/>
      <c r="G301" s="1043"/>
      <c r="H301" s="1043"/>
      <c r="I301" s="1043"/>
      <c r="J301" s="1043"/>
      <c r="K301" s="1043"/>
      <c r="L301" s="1043"/>
      <c r="M301" s="1043"/>
      <c r="N301" s="1043"/>
      <c r="O301" s="1043"/>
      <c r="P301" s="1043"/>
      <c r="Q301" s="1043"/>
      <c r="R301" s="1043"/>
      <c r="S301" s="1043"/>
      <c r="T301" s="1043"/>
      <c r="U301" s="1043"/>
      <c r="V301" s="1044"/>
    </row>
  </sheetData>
  <mergeCells count="6">
    <mergeCell ref="A301:V301"/>
    <mergeCell ref="B21:F21"/>
    <mergeCell ref="B73:F73"/>
    <mergeCell ref="I73:L73"/>
    <mergeCell ref="I91:K91"/>
    <mergeCell ref="I21:M21"/>
  </mergeCells>
  <hyperlinks>
    <hyperlink ref="A4:B4" location="stat_calcs_table1" display="Emissions by Department" xr:uid="{00000000-0004-0000-0900-000000000000}"/>
    <hyperlink ref="A7:B7" location="stat_calcs_table2" display="Emissions by Fuel Type" xr:uid="{00000000-0004-0000-0900-000001000000}"/>
    <hyperlink ref="A8:C8" location="stat_calcs_table4" display="Fuel and Energy Consumption by Type" xr:uid="{00000000-0004-0000-0900-000002000000}"/>
    <hyperlink ref="A10:B10" location="stat_calcs_table5" display="CO2 emissions by fuel type" xr:uid="{00000000-0004-0000-0900-000003000000}"/>
    <hyperlink ref="A11:B11" location="stat_calcs_table6" display="CH4 emissions by fuel type" xr:uid="{00000000-0004-0000-0900-000004000000}"/>
    <hyperlink ref="A12:B12" location="stat_calcs_table7" display="N2O emissions by fuel type" xr:uid="{00000000-0004-0000-0900-000005000000}"/>
    <hyperlink ref="A13:C13" location="stat_calcs_table8" display="Activity data by department and fuel type" xr:uid="{00000000-0004-0000-0900-000006000000}"/>
    <hyperlink ref="A14:C14" location="stat_calcs_table9" display="CO2 emissions by department and fuel type" xr:uid="{00000000-0004-0000-0900-000007000000}"/>
    <hyperlink ref="A15:C15" location="stat_calcs_table10" display="CH4 emissions by department and fuel type" xr:uid="{00000000-0004-0000-0900-000008000000}"/>
    <hyperlink ref="A16:D16" location="stat_calcs_table11" display="N2O emissions by department and fuel type" xr:uid="{00000000-0004-0000-0900-000009000000}"/>
    <hyperlink ref="A5:D5" location="stat_calcs_table3" display="Fuel and Energy Consumption by Department" xr:uid="{00000000-0004-0000-0900-00000A000000}"/>
    <hyperlink ref="A17:C17" location="stat_calcs_table12" display="Energy use by department and fuel type" xr:uid="{00000000-0004-0000-0900-00000B000000}"/>
  </hyperlinks>
  <pageMargins left="0.7" right="0.7" top="0.75" bottom="0.75" header="0.3" footer="0.3"/>
  <pageSetup scale="37"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macro="[0]!Sheet7.ActivateDeptChart">
                <anchor moveWithCells="1">
                  <from>
                    <xdr:col>1</xdr:col>
                    <xdr:colOff>1289050</xdr:colOff>
                    <xdr:row>45</xdr:row>
                    <xdr:rowOff>82550</xdr:rowOff>
                  </from>
                  <to>
                    <xdr:col>2</xdr:col>
                    <xdr:colOff>82550</xdr:colOff>
                    <xdr:row>47</xdr:row>
                    <xdr:rowOff>44450</xdr:rowOff>
                  </to>
                </anchor>
              </controlPr>
            </control>
          </mc:Choice>
        </mc:AlternateContent>
        <mc:AlternateContent xmlns:mc="http://schemas.openxmlformats.org/markup-compatibility/2006">
          <mc:Choice Requires="x14">
            <control shapeId="16386" r:id="rId5" name="Check Box 2">
              <controlPr defaultSize="0" autoFill="0" autoLine="0" autoPict="0" macro="[0]!Sheet7.ActivateDeptChart">
                <anchor moveWithCells="1">
                  <from>
                    <xdr:col>2</xdr:col>
                    <xdr:colOff>215900</xdr:colOff>
                    <xdr:row>45</xdr:row>
                    <xdr:rowOff>82550</xdr:rowOff>
                  </from>
                  <to>
                    <xdr:col>6</xdr:col>
                    <xdr:colOff>387350</xdr:colOff>
                    <xdr:row>47</xdr:row>
                    <xdr:rowOff>44450</xdr:rowOff>
                  </to>
                </anchor>
              </controlPr>
            </control>
          </mc:Choice>
        </mc:AlternateContent>
        <mc:AlternateContent xmlns:mc="http://schemas.openxmlformats.org/markup-compatibility/2006">
          <mc:Choice Requires="x14">
            <control shapeId="16387" r:id="rId6" name="Check Box 3">
              <controlPr defaultSize="0" autoFill="0" autoLine="0" autoPict="0" macro="[0]!Sheet7.ActivateFTChart">
                <anchor moveWithCells="1">
                  <from>
                    <xdr:col>1</xdr:col>
                    <xdr:colOff>1295400</xdr:colOff>
                    <xdr:row>93</xdr:row>
                    <xdr:rowOff>57150</xdr:rowOff>
                  </from>
                  <to>
                    <xdr:col>2</xdr:col>
                    <xdr:colOff>139700</xdr:colOff>
                    <xdr:row>95</xdr:row>
                    <xdr:rowOff>6350</xdr:rowOff>
                  </to>
                </anchor>
              </controlPr>
            </control>
          </mc:Choice>
        </mc:AlternateContent>
        <mc:AlternateContent xmlns:mc="http://schemas.openxmlformats.org/markup-compatibility/2006">
          <mc:Choice Requires="x14">
            <control shapeId="16388" r:id="rId7" name="Check Box 4">
              <controlPr defaultSize="0" autoFill="0" autoLine="0" autoPict="0" macro="[0]!Sheet7.ActivateFTChart">
                <anchor moveWithCells="1">
                  <from>
                    <xdr:col>2</xdr:col>
                    <xdr:colOff>323850</xdr:colOff>
                    <xdr:row>93</xdr:row>
                    <xdr:rowOff>63500</xdr:rowOff>
                  </from>
                  <to>
                    <xdr:col>6</xdr:col>
                    <xdr:colOff>463550</xdr:colOff>
                    <xdr:row>95</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3">
    <tabColor rgb="FFFFFF00"/>
  </sheetPr>
  <dimension ref="A1:E50"/>
  <sheetViews>
    <sheetView workbookViewId="0"/>
  </sheetViews>
  <sheetFormatPr defaultColWidth="8.81640625" defaultRowHeight="14.5"/>
  <cols>
    <col min="1" max="1" width="35" style="359" bestFit="1" customWidth="1"/>
    <col min="2" max="2" width="36.7265625" style="56" customWidth="1"/>
    <col min="3" max="3" width="62.453125" customWidth="1"/>
    <col min="4" max="4" width="42" customWidth="1"/>
  </cols>
  <sheetData>
    <row r="1" spans="1:5">
      <c r="A1" s="362" t="s">
        <v>300</v>
      </c>
      <c r="B1" s="1041" t="s">
        <v>157</v>
      </c>
      <c r="C1" s="1041"/>
      <c r="D1" s="578"/>
    </row>
    <row r="2" spans="1:5">
      <c r="A2" s="363"/>
      <c r="B2" s="1031" t="s">
        <v>158</v>
      </c>
      <c r="C2" s="1031"/>
      <c r="D2" s="42"/>
    </row>
    <row r="3" spans="1:5">
      <c r="A3" s="363"/>
      <c r="B3" s="1031" t="s">
        <v>159</v>
      </c>
      <c r="C3" s="1031"/>
      <c r="D3" s="42"/>
    </row>
    <row r="4" spans="1:5">
      <c r="A4" s="363"/>
      <c r="B4" s="1031" t="s">
        <v>301</v>
      </c>
      <c r="C4" s="1031"/>
      <c r="D4" s="42"/>
    </row>
    <row r="5" spans="1:5" ht="30" customHeight="1">
      <c r="A5" s="362" t="s">
        <v>149</v>
      </c>
      <c r="B5" s="1041" t="s">
        <v>161</v>
      </c>
      <c r="C5" s="1041"/>
      <c r="D5" s="41"/>
    </row>
    <row r="6" spans="1:5" ht="45" customHeight="1">
      <c r="A6" s="363"/>
      <c r="B6" s="1031" t="s">
        <v>162</v>
      </c>
      <c r="C6" s="1031"/>
      <c r="D6" s="42"/>
    </row>
    <row r="7" spans="1:5">
      <c r="A7" s="363"/>
      <c r="B7" s="1031" t="s">
        <v>163</v>
      </c>
      <c r="C7" s="1031"/>
      <c r="D7" s="42"/>
    </row>
    <row r="8" spans="1:5" ht="30" customHeight="1">
      <c r="A8" s="362" t="s">
        <v>150</v>
      </c>
      <c r="B8" s="1041" t="s">
        <v>164</v>
      </c>
      <c r="C8" s="1041"/>
      <c r="D8" s="41"/>
      <c r="E8" s="30"/>
    </row>
    <row r="9" spans="1:5" ht="31.5" customHeight="1">
      <c r="A9" s="362" t="s">
        <v>186</v>
      </c>
      <c r="B9" s="1040" t="s">
        <v>302</v>
      </c>
      <c r="C9" s="1040"/>
      <c r="D9" s="41"/>
      <c r="E9" s="30"/>
    </row>
    <row r="10" spans="1:5">
      <c r="A10" s="363"/>
      <c r="B10" s="367" t="s">
        <v>188</v>
      </c>
      <c r="C10" s="367" t="s">
        <v>189</v>
      </c>
      <c r="D10" s="368" t="s">
        <v>190</v>
      </c>
      <c r="E10" s="30"/>
    </row>
    <row r="11" spans="1:5">
      <c r="A11" s="363"/>
      <c r="B11" t="s">
        <v>191</v>
      </c>
      <c r="C11" t="s">
        <v>192</v>
      </c>
      <c r="D11" s="42" t="s">
        <v>193</v>
      </c>
      <c r="E11" s="30"/>
    </row>
    <row r="12" spans="1:5">
      <c r="A12" s="363"/>
      <c r="B12" t="s">
        <v>194</v>
      </c>
      <c r="C12" t="s">
        <v>195</v>
      </c>
      <c r="D12" s="42" t="s">
        <v>196</v>
      </c>
      <c r="E12" s="30"/>
    </row>
    <row r="13" spans="1:5">
      <c r="A13" s="363"/>
      <c r="B13" t="s">
        <v>197</v>
      </c>
      <c r="C13" t="s">
        <v>198</v>
      </c>
      <c r="D13" s="42" t="s">
        <v>199</v>
      </c>
      <c r="E13" s="30"/>
    </row>
    <row r="14" spans="1:5">
      <c r="A14" s="363"/>
      <c r="B14" s="360"/>
      <c r="C14" t="s">
        <v>200</v>
      </c>
      <c r="D14" s="42" t="s">
        <v>201</v>
      </c>
      <c r="E14" s="30"/>
    </row>
    <row r="15" spans="1:5">
      <c r="A15" s="363"/>
      <c r="B15" s="57" t="s">
        <v>105</v>
      </c>
      <c r="C15" t="s">
        <v>202</v>
      </c>
      <c r="D15" s="42" t="s">
        <v>203</v>
      </c>
      <c r="E15" s="30"/>
    </row>
    <row r="16" spans="1:5">
      <c r="A16" s="363"/>
      <c r="B16" t="s">
        <v>204</v>
      </c>
      <c r="C16" t="s">
        <v>205</v>
      </c>
      <c r="D16" s="42" t="s">
        <v>206</v>
      </c>
      <c r="E16" s="30"/>
    </row>
    <row r="17" spans="1:5">
      <c r="A17" s="363"/>
      <c r="B17" s="361"/>
      <c r="C17" t="s">
        <v>207</v>
      </c>
      <c r="D17" s="42" t="s">
        <v>208</v>
      </c>
      <c r="E17" s="30"/>
    </row>
    <row r="18" spans="1:5">
      <c r="A18" s="363"/>
      <c r="B18" s="360"/>
      <c r="C18" t="s">
        <v>209</v>
      </c>
      <c r="D18" s="42" t="s">
        <v>210</v>
      </c>
      <c r="E18" s="30"/>
    </row>
    <row r="19" spans="1:5">
      <c r="C19" t="s">
        <v>211</v>
      </c>
      <c r="D19" s="42" t="s">
        <v>212</v>
      </c>
      <c r="E19" s="30"/>
    </row>
    <row r="20" spans="1:5">
      <c r="C20" t="s">
        <v>213</v>
      </c>
      <c r="D20" s="42" t="s">
        <v>214</v>
      </c>
      <c r="E20" s="30"/>
    </row>
    <row r="21" spans="1:5">
      <c r="C21" t="s">
        <v>215</v>
      </c>
      <c r="D21" s="42" t="s">
        <v>216</v>
      </c>
      <c r="E21" s="30"/>
    </row>
    <row r="22" spans="1:5">
      <c r="C22" t="s">
        <v>217</v>
      </c>
      <c r="D22" s="42" t="s">
        <v>218</v>
      </c>
      <c r="E22" s="30"/>
    </row>
    <row r="23" spans="1:5">
      <c r="C23" t="s">
        <v>219</v>
      </c>
      <c r="D23" s="42" t="s">
        <v>220</v>
      </c>
      <c r="E23" s="30"/>
    </row>
    <row r="24" spans="1:5">
      <c r="C24" t="s">
        <v>221</v>
      </c>
      <c r="D24" s="42" t="s">
        <v>222</v>
      </c>
      <c r="E24" s="30"/>
    </row>
    <row r="25" spans="1:5">
      <c r="B25"/>
      <c r="D25" s="42" t="s">
        <v>223</v>
      </c>
      <c r="E25" s="30"/>
    </row>
    <row r="26" spans="1:5" ht="15" customHeight="1">
      <c r="B26"/>
      <c r="D26" s="42" t="s">
        <v>224</v>
      </c>
      <c r="E26" s="30"/>
    </row>
    <row r="27" spans="1:5" ht="15" customHeight="1">
      <c r="B27"/>
      <c r="D27" s="42" t="s">
        <v>225</v>
      </c>
      <c r="E27" s="30"/>
    </row>
    <row r="28" spans="1:5" ht="15" customHeight="1">
      <c r="B28"/>
      <c r="D28" s="42" t="s">
        <v>226</v>
      </c>
      <c r="E28" s="30"/>
    </row>
    <row r="29" spans="1:5" ht="15" customHeight="1">
      <c r="B29"/>
      <c r="D29" s="42" t="s">
        <v>227</v>
      </c>
      <c r="E29" s="30"/>
    </row>
    <row r="30" spans="1:5" ht="15" customHeight="1">
      <c r="B30"/>
      <c r="D30" s="42" t="s">
        <v>228</v>
      </c>
      <c r="E30" s="30"/>
    </row>
    <row r="31" spans="1:5" ht="15" customHeight="1">
      <c r="A31" s="577"/>
      <c r="B31" s="44"/>
      <c r="C31" s="44"/>
      <c r="D31" s="42" t="s">
        <v>229</v>
      </c>
      <c r="E31" s="30"/>
    </row>
    <row r="32" spans="1:5" ht="30" customHeight="1">
      <c r="A32" s="407" t="s">
        <v>152</v>
      </c>
      <c r="B32" s="1054" t="s">
        <v>165</v>
      </c>
      <c r="C32" s="1054"/>
      <c r="D32" s="41"/>
      <c r="E32" s="321"/>
    </row>
    <row r="33" spans="1:4" ht="24.75" customHeight="1">
      <c r="A33" s="369" t="s">
        <v>303</v>
      </c>
      <c r="B33" s="1055" t="s">
        <v>304</v>
      </c>
      <c r="C33" s="1055"/>
      <c r="D33" s="41"/>
    </row>
    <row r="34" spans="1:4" ht="30.75" customHeight="1">
      <c r="A34" s="369" t="s">
        <v>305</v>
      </c>
      <c r="B34" s="1040" t="s">
        <v>306</v>
      </c>
      <c r="C34" s="1040"/>
      <c r="D34" s="41"/>
    </row>
    <row r="35" spans="1:4">
      <c r="A35" s="363"/>
      <c r="D35" s="42"/>
    </row>
    <row r="36" spans="1:4">
      <c r="A36" s="363"/>
      <c r="B36" s="57" t="s">
        <v>112</v>
      </c>
      <c r="C36" s="57"/>
      <c r="D36" s="42"/>
    </row>
    <row r="37" spans="1:4">
      <c r="A37" s="363"/>
      <c r="B37" t="s">
        <v>115</v>
      </c>
      <c r="C37" t="s">
        <v>307</v>
      </c>
      <c r="D37" s="42"/>
    </row>
    <row r="38" spans="1:4">
      <c r="A38" s="363"/>
      <c r="B38" t="s">
        <v>308</v>
      </c>
      <c r="C38" t="s">
        <v>309</v>
      </c>
      <c r="D38" s="42"/>
    </row>
    <row r="39" spans="1:4">
      <c r="A39" s="363"/>
      <c r="B39" t="s">
        <v>310</v>
      </c>
      <c r="C39" t="s">
        <v>311</v>
      </c>
      <c r="D39" s="42"/>
    </row>
    <row r="40" spans="1:4">
      <c r="A40" s="363"/>
      <c r="B40" t="s">
        <v>312</v>
      </c>
      <c r="C40" t="s">
        <v>313</v>
      </c>
      <c r="D40" s="42"/>
    </row>
    <row r="41" spans="1:4">
      <c r="A41" s="363"/>
      <c r="B41" t="s">
        <v>314</v>
      </c>
      <c r="C41" t="s">
        <v>315</v>
      </c>
      <c r="D41" s="42"/>
    </row>
    <row r="42" spans="1:4">
      <c r="A42" s="363"/>
      <c r="B42" t="s">
        <v>316</v>
      </c>
      <c r="C42" t="s">
        <v>317</v>
      </c>
      <c r="D42" s="42"/>
    </row>
    <row r="43" spans="1:4">
      <c r="A43" s="363"/>
      <c r="B43" t="s">
        <v>318</v>
      </c>
      <c r="C43" t="s">
        <v>319</v>
      </c>
      <c r="D43" s="42"/>
    </row>
    <row r="44" spans="1:4">
      <c r="A44" s="363"/>
      <c r="B44" t="s">
        <v>320</v>
      </c>
      <c r="C44" t="s">
        <v>321</v>
      </c>
      <c r="D44" s="42"/>
    </row>
    <row r="45" spans="1:4">
      <c r="A45" s="363"/>
      <c r="B45" t="s">
        <v>322</v>
      </c>
      <c r="C45" t="s">
        <v>323</v>
      </c>
      <c r="D45" s="42"/>
    </row>
    <row r="46" spans="1:4">
      <c r="A46" s="363"/>
      <c r="B46" t="s">
        <v>324</v>
      </c>
      <c r="C46" t="s">
        <v>325</v>
      </c>
      <c r="D46" s="42"/>
    </row>
    <row r="47" spans="1:4">
      <c r="A47" s="363"/>
      <c r="B47" t="s">
        <v>326</v>
      </c>
      <c r="C47" t="s">
        <v>327</v>
      </c>
      <c r="D47" s="42"/>
    </row>
    <row r="48" spans="1:4">
      <c r="A48" s="363"/>
      <c r="B48" t="s">
        <v>328</v>
      </c>
      <c r="C48" t="s">
        <v>329</v>
      </c>
      <c r="D48" s="42"/>
    </row>
    <row r="49" spans="1:4">
      <c r="A49" s="363"/>
      <c r="B49" t="s">
        <v>330</v>
      </c>
      <c r="C49" t="s">
        <v>331</v>
      </c>
      <c r="D49" s="42"/>
    </row>
    <row r="50" spans="1:4">
      <c r="A50" s="364"/>
      <c r="B50" s="579"/>
      <c r="C50" s="44"/>
      <c r="D50" s="45"/>
    </row>
  </sheetData>
  <mergeCells count="12">
    <mergeCell ref="B34:C34"/>
    <mergeCell ref="B9:C9"/>
    <mergeCell ref="B7:C7"/>
    <mergeCell ref="B8:C8"/>
    <mergeCell ref="B32:C32"/>
    <mergeCell ref="B33:C33"/>
    <mergeCell ref="B6:C6"/>
    <mergeCell ref="B1:C1"/>
    <mergeCell ref="B2:C2"/>
    <mergeCell ref="B3:C3"/>
    <mergeCell ref="B4:C4"/>
    <mergeCell ref="B5:C5"/>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sheetPr>
  <dimension ref="A1:K42"/>
  <sheetViews>
    <sheetView showGridLines="0" topLeftCell="A11" workbookViewId="0">
      <selection activeCell="B22" sqref="B22"/>
    </sheetView>
  </sheetViews>
  <sheetFormatPr defaultColWidth="8.81640625" defaultRowHeight="14.5"/>
  <cols>
    <col min="1" max="1" width="8.81640625" style="265"/>
    <col min="2" max="2" width="28.26953125" customWidth="1"/>
    <col min="3" max="3" width="41.7265625" customWidth="1"/>
    <col min="4" max="4" width="32" customWidth="1"/>
    <col min="5" max="5" width="30.26953125" customWidth="1"/>
    <col min="6" max="6" width="17.453125" bestFit="1" customWidth="1"/>
    <col min="7" max="7" width="4.453125" customWidth="1"/>
    <col min="8" max="8" width="8.81640625" style="308"/>
    <col min="9" max="16384" width="8.81640625" style="109"/>
  </cols>
  <sheetData>
    <row r="1" spans="1:11" ht="38.25" customHeight="1" thickBot="1">
      <c r="A1" s="488" t="s">
        <v>332</v>
      </c>
      <c r="B1" s="483"/>
      <c r="C1" s="483"/>
      <c r="D1" s="483"/>
      <c r="E1" s="483"/>
      <c r="F1" s="483"/>
      <c r="G1" s="483"/>
    </row>
    <row r="2" spans="1:11" ht="23.25" customHeight="1">
      <c r="A2" s="288" t="s">
        <v>146</v>
      </c>
    </row>
    <row r="3" spans="1:11" s="378" customFormat="1">
      <c r="A3" s="289"/>
      <c r="B3" s="2"/>
      <c r="C3" s="2"/>
      <c r="D3" s="2"/>
      <c r="E3" s="2"/>
      <c r="F3" s="2"/>
      <c r="G3" s="2"/>
      <c r="H3" s="380"/>
      <c r="J3" s="379"/>
      <c r="K3" s="379"/>
    </row>
    <row r="4" spans="1:11" s="378" customFormat="1" ht="47.25" customHeight="1">
      <c r="A4" s="289"/>
      <c r="B4" s="2"/>
      <c r="C4" s="4"/>
      <c r="D4" s="4"/>
      <c r="E4" s="4"/>
      <c r="F4" s="4"/>
      <c r="G4" s="4"/>
      <c r="H4" s="380"/>
      <c r="J4" s="379"/>
      <c r="K4" s="379"/>
    </row>
    <row r="5" spans="1:11" s="378" customFormat="1">
      <c r="A5" s="289"/>
      <c r="B5" s="2"/>
      <c r="C5" s="4"/>
      <c r="D5" s="4"/>
      <c r="E5" s="4"/>
      <c r="F5" s="4"/>
      <c r="G5" s="4"/>
      <c r="H5" s="380"/>
      <c r="J5" s="379"/>
      <c r="K5" s="379"/>
    </row>
    <row r="6" spans="1:11" s="378" customFormat="1">
      <c r="A6" s="289"/>
      <c r="B6" s="2"/>
      <c r="C6" s="4"/>
      <c r="D6" s="4"/>
      <c r="E6" s="4"/>
      <c r="F6" s="4"/>
      <c r="G6" s="4"/>
      <c r="H6" s="380"/>
      <c r="J6" s="379"/>
      <c r="K6" s="379"/>
    </row>
    <row r="7" spans="1:11" s="378" customFormat="1">
      <c r="A7" s="289"/>
      <c r="B7" s="2"/>
      <c r="C7" s="4"/>
      <c r="D7" s="4"/>
      <c r="E7" s="4"/>
      <c r="F7" s="4"/>
      <c r="G7" s="4"/>
      <c r="H7" s="380"/>
      <c r="J7" s="379"/>
      <c r="K7" s="379"/>
    </row>
    <row r="8" spans="1:11" s="378" customFormat="1">
      <c r="A8" s="289"/>
      <c r="B8" s="2"/>
      <c r="C8" s="4"/>
      <c r="D8" s="4"/>
      <c r="E8" s="4"/>
      <c r="F8" s="4"/>
      <c r="G8" s="4"/>
      <c r="H8" s="380"/>
      <c r="J8" s="379"/>
      <c r="K8" s="379"/>
    </row>
    <row r="9" spans="1:11" s="378" customFormat="1" ht="18" customHeight="1">
      <c r="A9" s="289"/>
      <c r="B9" s="2"/>
      <c r="C9" s="4"/>
      <c r="D9" s="4"/>
      <c r="E9" s="4"/>
      <c r="F9" s="4"/>
      <c r="G9" s="4"/>
      <c r="H9" s="380"/>
      <c r="J9" s="379"/>
      <c r="K9" s="379"/>
    </row>
    <row r="10" spans="1:11" s="378" customFormat="1" ht="21" customHeight="1">
      <c r="A10" s="289"/>
      <c r="B10" s="2"/>
      <c r="C10" s="4"/>
      <c r="D10" s="4"/>
      <c r="E10" s="4"/>
      <c r="F10" s="4"/>
      <c r="G10" s="4"/>
      <c r="H10" s="380"/>
      <c r="J10" s="379"/>
      <c r="K10" s="379"/>
    </row>
    <row r="11" spans="1:11" s="378" customFormat="1" ht="9.75" customHeight="1">
      <c r="A11" s="289"/>
      <c r="B11" s="2"/>
      <c r="C11" s="4"/>
      <c r="D11" s="4"/>
      <c r="E11" s="4"/>
      <c r="F11" s="4"/>
      <c r="G11" s="4"/>
      <c r="H11" s="380"/>
      <c r="J11" s="379"/>
      <c r="K11" s="379"/>
    </row>
    <row r="12" spans="1:11" s="378" customFormat="1" ht="39" customHeight="1">
      <c r="A12" s="289"/>
      <c r="B12" s="2"/>
      <c r="C12" s="4"/>
      <c r="D12" s="4"/>
      <c r="E12" s="4"/>
      <c r="F12" s="4"/>
      <c r="G12" s="4"/>
      <c r="H12" s="380"/>
      <c r="J12" s="379"/>
      <c r="K12" s="379"/>
    </row>
    <row r="13" spans="1:11" s="378" customFormat="1">
      <c r="A13" s="289"/>
      <c r="B13" s="2"/>
      <c r="C13" s="4"/>
      <c r="D13" s="4"/>
      <c r="E13" s="4"/>
      <c r="F13" s="4"/>
      <c r="G13" s="4"/>
      <c r="H13" s="380"/>
      <c r="J13" s="379"/>
      <c r="K13" s="379"/>
    </row>
    <row r="14" spans="1:11" ht="3.75" customHeight="1"/>
    <row r="15" spans="1:11" ht="3" customHeight="1"/>
    <row r="16" spans="1:11" s="378" customFormat="1" ht="15.5">
      <c r="A16" s="290" t="s">
        <v>333</v>
      </c>
      <c r="B16" s="3" t="s">
        <v>334</v>
      </c>
      <c r="C16" s="2"/>
      <c r="D16" s="2"/>
      <c r="E16" s="2"/>
      <c r="F16" s="2"/>
      <c r="G16" s="2"/>
      <c r="H16" s="380"/>
      <c r="J16" s="379"/>
      <c r="K16" s="379"/>
    </row>
    <row r="17" spans="1:11" s="378" customFormat="1" ht="15.5">
      <c r="A17" s="289"/>
      <c r="B17" s="3" t="s">
        <v>149</v>
      </c>
      <c r="C17" s="5" t="s">
        <v>335</v>
      </c>
      <c r="D17" s="5" t="s">
        <v>152</v>
      </c>
      <c r="E17" s="2"/>
      <c r="F17" s="2"/>
      <c r="G17" s="2"/>
      <c r="H17" s="380"/>
      <c r="J17" s="379"/>
      <c r="K17" s="379"/>
    </row>
    <row r="18" spans="1:11" s="378" customFormat="1">
      <c r="A18" s="477">
        <v>0</v>
      </c>
      <c r="B18" s="865">
        <f>MobCurrentID</f>
        <v>1</v>
      </c>
      <c r="C18" s="851"/>
      <c r="D18" s="851"/>
      <c r="E18" s="2"/>
      <c r="F18" s="2"/>
      <c r="G18" s="2"/>
      <c r="H18" s="380"/>
      <c r="J18" s="379"/>
      <c r="K18" s="379"/>
    </row>
    <row r="19" spans="1:11" s="378" customFormat="1" ht="15.5">
      <c r="A19" s="289"/>
      <c r="B19" s="3"/>
      <c r="C19" s="6"/>
      <c r="D19" s="7"/>
      <c r="E19" s="2"/>
      <c r="F19" s="2"/>
      <c r="G19" s="2"/>
      <c r="H19" s="380"/>
      <c r="J19" s="379"/>
      <c r="K19" s="379"/>
    </row>
    <row r="20" spans="1:11" s="378" customFormat="1">
      <c r="A20" s="289"/>
      <c r="B20" s="2"/>
      <c r="C20" s="2"/>
      <c r="D20" s="2"/>
      <c r="E20" s="2"/>
      <c r="F20" s="2"/>
      <c r="G20" s="2"/>
      <c r="H20" s="380"/>
      <c r="J20" s="379"/>
      <c r="K20" s="379"/>
    </row>
    <row r="21" spans="1:11" s="378" customFormat="1">
      <c r="A21" s="289"/>
      <c r="B21" s="5" t="s">
        <v>336</v>
      </c>
      <c r="C21" s="5" t="s">
        <v>337</v>
      </c>
      <c r="D21" s="5" t="s">
        <v>338</v>
      </c>
      <c r="E21" s="5" t="s">
        <v>339</v>
      </c>
      <c r="F21" s="2"/>
      <c r="G21" s="2"/>
      <c r="H21" s="380"/>
      <c r="J21" s="379"/>
      <c r="K21" s="379"/>
    </row>
    <row r="22" spans="1:11" s="378" customFormat="1" ht="18" customHeight="1">
      <c r="A22" s="291"/>
      <c r="B22" s="866"/>
      <c r="C22" s="851"/>
      <c r="D22" s="851"/>
      <c r="E22" s="851"/>
      <c r="F22" s="2"/>
      <c r="G22" s="2"/>
      <c r="H22" s="380"/>
      <c r="J22" s="379"/>
      <c r="K22" s="379"/>
    </row>
    <row r="23" spans="1:11" s="378" customFormat="1">
      <c r="A23" s="289"/>
      <c r="B23" s="2"/>
      <c r="C23" s="2"/>
      <c r="D23" s="2"/>
      <c r="E23" s="8"/>
      <c r="F23" s="2"/>
      <c r="G23" s="2"/>
      <c r="H23" s="380"/>
      <c r="J23" s="379"/>
      <c r="K23" s="379"/>
    </row>
    <row r="24" spans="1:11" s="378" customFormat="1" ht="15.5">
      <c r="A24" s="290" t="s">
        <v>340</v>
      </c>
      <c r="B24" s="3" t="str">
        <f>"Enter the activity data for the year "&amp;MyYear</f>
        <v xml:space="preserve">Enter the activity data for the year </v>
      </c>
      <c r="C24" s="2"/>
      <c r="D24" s="2"/>
      <c r="E24" s="2"/>
      <c r="F24" s="2"/>
      <c r="G24" s="2"/>
      <c r="H24" s="380"/>
      <c r="J24" s="379"/>
      <c r="K24" s="379"/>
    </row>
    <row r="25" spans="1:11" s="378" customFormat="1">
      <c r="A25" s="291"/>
      <c r="B25" s="2"/>
      <c r="C25" s="2"/>
      <c r="D25" s="2"/>
      <c r="E25" s="2"/>
      <c r="F25" s="2"/>
      <c r="G25" s="2"/>
      <c r="H25" s="380"/>
      <c r="J25" s="379"/>
      <c r="K25" s="379"/>
    </row>
    <row r="26" spans="1:11" s="378" customFormat="1">
      <c r="A26" s="289"/>
      <c r="B26" s="10"/>
      <c r="C26" s="5" t="s">
        <v>341</v>
      </c>
      <c r="D26" s="2"/>
      <c r="E26" s="2"/>
      <c r="F26" s="2"/>
      <c r="G26" s="2"/>
      <c r="H26" s="380"/>
      <c r="J26" s="379"/>
      <c r="K26" s="379"/>
    </row>
    <row r="27" spans="1:11" s="378" customFormat="1">
      <c r="A27" s="289"/>
      <c r="B27" s="2" t="str">
        <f>"Fuel consumed ("&amp;IF(ISERROR(HLOOKUP(mob_entry_fuel,'Background Controls'!26:27,2,FALSE)),"",HLOOKUP(mob_entry_fuel,'Background Controls'!26:27,2,FALSE))&amp;"):"</f>
        <v>Fuel consumed ():</v>
      </c>
      <c r="C27" s="852"/>
      <c r="D27" s="13"/>
      <c r="E27" s="2"/>
      <c r="F27" s="2"/>
      <c r="G27" s="2"/>
      <c r="H27" s="380"/>
    </row>
    <row r="28" spans="1:11" s="378" customFormat="1" ht="15" customHeight="1">
      <c r="A28" s="289"/>
      <c r="B28" s="2" t="s">
        <v>342</v>
      </c>
      <c r="C28" s="852"/>
      <c r="D28" s="1056" t="s">
        <v>343</v>
      </c>
      <c r="E28" s="1056"/>
      <c r="F28" s="1056"/>
      <c r="G28" s="1057"/>
      <c r="H28" s="380"/>
    </row>
    <row r="29" spans="1:11" s="378" customFormat="1" ht="26.25" customHeight="1">
      <c r="A29" s="291"/>
      <c r="B29" s="2"/>
      <c r="C29" s="2"/>
      <c r="D29" s="1056"/>
      <c r="E29" s="1056"/>
      <c r="F29" s="1056"/>
      <c r="G29" s="1057"/>
      <c r="H29" s="380"/>
    </row>
    <row r="30" spans="1:11">
      <c r="A30" s="291"/>
      <c r="B30" s="2"/>
      <c r="C30" s="2"/>
      <c r="D30" s="1059" t="s">
        <v>337</v>
      </c>
      <c r="E30" s="1058" t="s">
        <v>344</v>
      </c>
      <c r="F30" s="1058"/>
    </row>
    <row r="31" spans="1:11">
      <c r="A31" s="291"/>
      <c r="B31" s="2"/>
      <c r="C31" s="2"/>
      <c r="D31" s="1060"/>
      <c r="E31" s="472" t="s">
        <v>345</v>
      </c>
      <c r="F31" s="472" t="s">
        <v>346</v>
      </c>
      <c r="G31" s="2"/>
    </row>
    <row r="32" spans="1:11">
      <c r="A32" s="291"/>
      <c r="B32" s="2"/>
      <c r="C32" s="2"/>
      <c r="D32" s="474" t="s">
        <v>347</v>
      </c>
      <c r="E32" s="473">
        <v>24.1</v>
      </c>
      <c r="F32" s="473">
        <v>32.4</v>
      </c>
    </row>
    <row r="33" spans="1:8">
      <c r="A33" s="291"/>
      <c r="B33" s="2"/>
      <c r="C33" s="2"/>
      <c r="D33" s="474" t="s">
        <v>348</v>
      </c>
      <c r="E33" s="473">
        <v>18.5</v>
      </c>
      <c r="F33" s="473">
        <v>22.1</v>
      </c>
      <c r="H33" s="451" t="b">
        <v>1</v>
      </c>
    </row>
    <row r="34" spans="1:8" ht="15.5">
      <c r="A34" s="290" t="s">
        <v>349</v>
      </c>
      <c r="B34" s="1061" t="s">
        <v>350</v>
      </c>
      <c r="C34" s="1062"/>
      <c r="D34" s="474" t="s">
        <v>351</v>
      </c>
      <c r="E34" s="473">
        <v>10.130000000000001</v>
      </c>
      <c r="F34" s="473">
        <v>12.96</v>
      </c>
    </row>
    <row r="35" spans="1:8">
      <c r="B35" s="1061"/>
      <c r="C35" s="1062"/>
      <c r="D35" s="474" t="s">
        <v>352</v>
      </c>
      <c r="E35" s="473">
        <v>50</v>
      </c>
      <c r="F35" s="473" t="s">
        <v>353</v>
      </c>
    </row>
    <row r="36" spans="1:8">
      <c r="D36" s="514"/>
      <c r="E36" s="515"/>
      <c r="F36" s="515"/>
    </row>
    <row r="37" spans="1:8" ht="15.5">
      <c r="C37" s="9"/>
      <c r="D37" s="514"/>
      <c r="E37" s="515"/>
      <c r="F37" s="515"/>
    </row>
    <row r="38" spans="1:8" ht="65.150000000000006" customHeight="1">
      <c r="C38" s="9"/>
      <c r="D38" s="514"/>
      <c r="E38" s="515"/>
      <c r="F38" s="515"/>
    </row>
    <row r="41" spans="1:8" ht="17.25" customHeight="1" thickBot="1"/>
    <row r="42" spans="1:8" ht="64.5" customHeight="1" thickBot="1">
      <c r="A42" s="1042" t="s">
        <v>1</v>
      </c>
      <c r="B42" s="1043"/>
      <c r="C42" s="1043"/>
      <c r="D42" s="1043"/>
      <c r="E42" s="1043"/>
      <c r="F42" s="1043"/>
      <c r="G42" s="1044"/>
    </row>
  </sheetData>
  <mergeCells count="5">
    <mergeCell ref="D28:G29"/>
    <mergeCell ref="E30:F30"/>
    <mergeCell ref="D30:D31"/>
    <mergeCell ref="A42:G42"/>
    <mergeCell ref="B34:C35"/>
  </mergeCells>
  <dataValidations count="5">
    <dataValidation allowBlank="1" showErrorMessage="1" sqref="C28" xr:uid="{00000000-0002-0000-0B00-000000000000}"/>
    <dataValidation type="whole" allowBlank="1" showInputMessage="1" showErrorMessage="1" prompt="Please enter the vehicle Model Year." sqref="B22" xr:uid="{00000000-0002-0000-0B00-000001000000}">
      <formula1>1900</formula1>
      <formula2>2100</formula2>
    </dataValidation>
    <dataValidation type="list" allowBlank="1" showInputMessage="1" showErrorMessage="1" prompt="Please select the sector to which this unit belongs from the dropdown menu. Sectors are specified on the control sheet." sqref="D18" xr:uid="{00000000-0002-0000-0B00-000002000000}">
      <formula1>DepartmentList</formula1>
    </dataValidation>
    <dataValidation type="list" allowBlank="1" showInputMessage="1" showErrorMessage="1" prompt="Please specify the type of vehicle from the dropdown menu." sqref="C22" xr:uid="{00000000-0002-0000-0B00-000003000000}">
      <formula1>mob_VehicleTypes</formula1>
    </dataValidation>
    <dataValidation type="list" allowBlank="1" showInputMessage="1" showErrorMessage="1" prompt="Please select the type of fuel consumed by the vehicle from the dropdown menu." sqref="E22" xr:uid="{00000000-0002-0000-0B00-000004000000}">
      <formula1>mob_FuelList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92" r:id="rId4" name="ck_comp_MobileEntry">
          <controlPr locked="0" autoLine="0" linkedCell="comp_MobileEntry" r:id="rId5">
            <anchor moveWithCells="1">
              <from>
                <xdr:col>4</xdr:col>
                <xdr:colOff>819150</xdr:colOff>
                <xdr:row>0</xdr:row>
                <xdr:rowOff>107950</xdr:rowOff>
              </from>
              <to>
                <xdr:col>6</xdr:col>
                <xdr:colOff>38100</xdr:colOff>
                <xdr:row>0</xdr:row>
                <xdr:rowOff>374650</xdr:rowOff>
              </to>
            </anchor>
          </controlPr>
        </control>
      </mc:Choice>
      <mc:Fallback>
        <control shapeId="3092" r:id="rId4" name="ck_comp_MobileEntry"/>
      </mc:Fallback>
    </mc:AlternateContent>
    <mc:AlternateContent xmlns:mc="http://schemas.openxmlformats.org/markup-compatibility/2006">
      <mc:Choice Requires="x14">
        <control shapeId="3088" r:id="rId6" name="Button 16">
          <controlPr defaultSize="0" print="0" autoFill="0" autoPict="0" macro="[0]!Sheet11.AddRecord">
            <anchor moveWithCells="1" sizeWithCells="1">
              <from>
                <xdr:col>1</xdr:col>
                <xdr:colOff>488950</xdr:colOff>
                <xdr:row>28</xdr:row>
                <xdr:rowOff>209550</xdr:rowOff>
              </from>
              <to>
                <xdr:col>2</xdr:col>
                <xdr:colOff>146050</xdr:colOff>
                <xdr:row>29</xdr:row>
                <xdr:rowOff>165100</xdr:rowOff>
              </to>
            </anchor>
          </controlPr>
        </control>
      </mc:Choice>
    </mc:AlternateContent>
    <mc:AlternateContent xmlns:mc="http://schemas.openxmlformats.org/markup-compatibility/2006">
      <mc:Choice Requires="x14">
        <control shapeId="3089" r:id="rId7" name="Button 17">
          <controlPr defaultSize="0" print="0" autoFill="0" autoPict="0" macro="[0]!Sheet11.EditRecord">
            <anchor moveWithCells="1" sizeWithCells="1">
              <from>
                <xdr:col>1</xdr:col>
                <xdr:colOff>488950</xdr:colOff>
                <xdr:row>30</xdr:row>
                <xdr:rowOff>146050</xdr:rowOff>
              </from>
              <to>
                <xdr:col>2</xdr:col>
                <xdr:colOff>584200</xdr:colOff>
                <xdr:row>32</xdr:row>
                <xdr:rowOff>50800</xdr:rowOff>
              </to>
            </anchor>
          </controlPr>
        </control>
      </mc:Choice>
    </mc:AlternateContent>
    <mc:AlternateContent xmlns:mc="http://schemas.openxmlformats.org/markup-compatibility/2006">
      <mc:Choice Requires="x14">
        <control shapeId="3090" r:id="rId8" name="Button 18">
          <controlPr defaultSize="0" print="0" autoFill="0" autoPict="0" macro="[0]!Sheet11.DeleteRecord">
            <anchor moveWithCells="1" sizeWithCells="1">
              <from>
                <xdr:col>2</xdr:col>
                <xdr:colOff>889000</xdr:colOff>
                <xdr:row>30</xdr:row>
                <xdr:rowOff>146050</xdr:rowOff>
              </from>
              <to>
                <xdr:col>2</xdr:col>
                <xdr:colOff>1936750</xdr:colOff>
                <xdr:row>32</xdr:row>
                <xdr:rowOff>50800</xdr:rowOff>
              </to>
            </anchor>
          </controlPr>
        </control>
      </mc:Choice>
    </mc:AlternateContent>
    <mc:AlternateContent xmlns:mc="http://schemas.openxmlformats.org/markup-compatibility/2006">
      <mc:Choice Requires="x14">
        <control shapeId="3091" r:id="rId9" name="Button 19">
          <controlPr defaultSize="0" print="0" autoFill="0" autoPict="0" macro="[0]!Sheet11.ResetForm">
            <anchor moveWithCells="1" sizeWithCells="1">
              <from>
                <xdr:col>2</xdr:col>
                <xdr:colOff>660400</xdr:colOff>
                <xdr:row>28</xdr:row>
                <xdr:rowOff>222250</xdr:rowOff>
              </from>
              <to>
                <xdr:col>2</xdr:col>
                <xdr:colOff>1936750</xdr:colOff>
                <xdr:row>29</xdr:row>
                <xdr:rowOff>165100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theme="9"/>
  </sheetPr>
  <dimension ref="A1:AJ81"/>
  <sheetViews>
    <sheetView showGridLines="0" workbookViewId="0">
      <selection activeCell="E10" sqref="E10"/>
    </sheetView>
  </sheetViews>
  <sheetFormatPr defaultColWidth="8.81640625" defaultRowHeight="14.5"/>
  <cols>
    <col min="1" max="1" width="8.81640625" style="586"/>
    <col min="2" max="2" width="33.453125" style="576" bestFit="1" customWidth="1"/>
    <col min="3" max="3" width="12.453125" style="576" bestFit="1" customWidth="1"/>
    <col min="4" max="4" width="15" style="576" customWidth="1"/>
    <col min="5" max="5" width="26.7265625" style="576" customWidth="1"/>
    <col min="6" max="6" width="23.7265625" style="576" bestFit="1" customWidth="1"/>
    <col min="7" max="7" width="16.1796875" style="576" bestFit="1" customWidth="1"/>
    <col min="8" max="8" width="17" style="576" bestFit="1" customWidth="1"/>
    <col min="9" max="9" width="18" style="576" customWidth="1"/>
    <col min="10" max="10" width="8.81640625" style="584"/>
    <col min="11" max="16384" width="8.81640625" style="585"/>
  </cols>
  <sheetData>
    <row r="1" spans="1:9" ht="38.25" customHeight="1" thickBot="1">
      <c r="A1" s="488" t="s">
        <v>354</v>
      </c>
      <c r="B1" s="483"/>
      <c r="C1" s="483"/>
      <c r="D1" s="483"/>
      <c r="E1" s="483"/>
      <c r="F1" s="483"/>
      <c r="G1" s="483"/>
      <c r="H1" s="483"/>
      <c r="I1" s="483"/>
    </row>
    <row r="2" spans="1:9">
      <c r="A2" s="265"/>
      <c r="B2"/>
      <c r="C2"/>
      <c r="D2"/>
      <c r="E2"/>
      <c r="F2"/>
      <c r="G2"/>
      <c r="H2"/>
      <c r="I2"/>
    </row>
    <row r="3" spans="1:9" ht="61.5" customHeight="1">
      <c r="A3" s="265"/>
      <c r="B3"/>
      <c r="C3"/>
      <c r="D3"/>
      <c r="E3"/>
      <c r="F3"/>
      <c r="G3"/>
      <c r="H3"/>
      <c r="I3"/>
    </row>
    <row r="4" spans="1:9">
      <c r="A4" s="265"/>
      <c r="B4"/>
      <c r="C4"/>
      <c r="D4"/>
      <c r="E4"/>
      <c r="F4"/>
      <c r="G4"/>
      <c r="H4"/>
      <c r="I4"/>
    </row>
    <row r="5" spans="1:9" hidden="1">
      <c r="A5" s="798" t="s">
        <v>355</v>
      </c>
      <c r="B5" s="11"/>
      <c r="C5" s="11"/>
      <c r="D5" s="11"/>
      <c r="E5" s="11"/>
      <c r="F5" s="11"/>
      <c r="G5" s="11"/>
      <c r="H5" s="11"/>
      <c r="I5" s="11"/>
    </row>
    <row r="6" spans="1:9" ht="15.5">
      <c r="A6" s="799" t="s">
        <v>149</v>
      </c>
      <c r="B6" s="5" t="s">
        <v>335</v>
      </c>
      <c r="C6" s="5" t="s">
        <v>152</v>
      </c>
      <c r="D6" s="5" t="s">
        <v>336</v>
      </c>
      <c r="E6" s="5" t="s">
        <v>337</v>
      </c>
      <c r="F6" s="5" t="s">
        <v>338</v>
      </c>
      <c r="G6" s="5" t="s">
        <v>339</v>
      </c>
      <c r="H6" s="5" t="s">
        <v>356</v>
      </c>
      <c r="I6" s="5" t="s">
        <v>357</v>
      </c>
    </row>
    <row r="7" spans="1:9" ht="12" hidden="1" customHeight="1">
      <c r="A7" s="590">
        <f>MAX(A9:A65535)+1</f>
        <v>1</v>
      </c>
      <c r="B7" s="591">
        <f>mob_entry_description</f>
        <v>0</v>
      </c>
      <c r="C7" s="591">
        <f>mob_entry_dept</f>
        <v>0</v>
      </c>
      <c r="D7" s="591">
        <f>mob_entry_vehyear</f>
        <v>0</v>
      </c>
      <c r="E7" s="591">
        <f>mob_entry_vehtype</f>
        <v>0</v>
      </c>
      <c r="F7" s="591">
        <f>mob_entry_vehmodel</f>
        <v>0</v>
      </c>
      <c r="G7" s="591">
        <f>mob_entry_fuel</f>
        <v>0</v>
      </c>
      <c r="H7" s="591">
        <f>mob_entry_fuelconsumption</f>
        <v>0</v>
      </c>
      <c r="I7" s="591">
        <f>mob_entry_vmt</f>
        <v>0</v>
      </c>
    </row>
    <row r="8" spans="1:9">
      <c r="A8" s="587" t="s">
        <v>233</v>
      </c>
      <c r="B8" s="588"/>
      <c r="C8" s="588"/>
      <c r="D8" s="588"/>
      <c r="E8" s="588"/>
      <c r="F8" s="588"/>
      <c r="G8" s="588"/>
      <c r="H8" s="588"/>
      <c r="I8" s="588"/>
    </row>
    <row r="9" spans="1:9" ht="12" customHeight="1">
      <c r="A9" s="590"/>
      <c r="B9" s="591"/>
      <c r="C9" s="591"/>
      <c r="D9" s="591"/>
      <c r="E9" s="591"/>
      <c r="F9" s="591"/>
      <c r="G9" s="591"/>
      <c r="H9" s="591"/>
      <c r="I9" s="591"/>
    </row>
    <row r="10" spans="1:9" ht="12" customHeight="1">
      <c r="A10" s="590"/>
      <c r="B10" s="591"/>
      <c r="C10" s="591"/>
      <c r="D10" s="591"/>
      <c r="E10" s="591"/>
      <c r="F10" s="591"/>
      <c r="G10" s="591"/>
      <c r="H10" s="591"/>
      <c r="I10" s="591"/>
    </row>
    <row r="11" spans="1:9" ht="12" customHeight="1">
      <c r="A11" s="590"/>
      <c r="B11" s="591"/>
      <c r="C11" s="591"/>
      <c r="D11" s="591"/>
      <c r="E11" s="591"/>
      <c r="F11" s="591"/>
      <c r="G11" s="591"/>
      <c r="H11" s="591"/>
      <c r="I11" s="591"/>
    </row>
    <row r="12" spans="1:9" ht="12" customHeight="1">
      <c r="A12" s="590"/>
      <c r="B12" s="591"/>
      <c r="C12" s="591"/>
      <c r="D12" s="591"/>
      <c r="E12" s="591"/>
      <c r="F12" s="591"/>
      <c r="G12" s="591"/>
      <c r="H12" s="591"/>
      <c r="I12" s="591"/>
    </row>
    <row r="13" spans="1:9">
      <c r="A13" s="590"/>
      <c r="B13" s="591"/>
      <c r="C13" s="591"/>
      <c r="D13" s="591"/>
      <c r="E13" s="591"/>
      <c r="F13" s="591"/>
      <c r="G13" s="591"/>
      <c r="H13" s="591"/>
      <c r="I13" s="591"/>
    </row>
    <row r="14" spans="1:9">
      <c r="A14" s="590"/>
      <c r="B14" s="591"/>
      <c r="C14" s="591"/>
      <c r="D14" s="591"/>
      <c r="E14" s="591"/>
      <c r="F14" s="591"/>
      <c r="G14" s="591"/>
      <c r="H14" s="591"/>
      <c r="I14" s="591"/>
    </row>
    <row r="15" spans="1:9">
      <c r="A15" s="590"/>
      <c r="B15" s="591"/>
      <c r="C15" s="591"/>
      <c r="D15" s="591"/>
      <c r="E15" s="591"/>
      <c r="F15" s="591"/>
      <c r="G15" s="591"/>
      <c r="H15" s="591"/>
      <c r="I15" s="591"/>
    </row>
    <row r="16" spans="1:9" ht="14.25" customHeight="1">
      <c r="A16" s="590"/>
      <c r="B16" s="591"/>
      <c r="C16" s="591"/>
      <c r="D16" s="591"/>
      <c r="E16" s="591"/>
      <c r="F16" s="591"/>
      <c r="G16" s="591"/>
      <c r="H16" s="591"/>
      <c r="I16" s="591"/>
    </row>
    <row r="17" spans="1:36" ht="14.25" customHeight="1">
      <c r="A17" s="590"/>
      <c r="B17" s="591"/>
      <c r="C17" s="591"/>
      <c r="D17" s="591"/>
      <c r="E17" s="591"/>
      <c r="F17" s="591"/>
      <c r="G17" s="591"/>
      <c r="H17" s="591"/>
      <c r="I17" s="591"/>
    </row>
    <row r="18" spans="1:36" ht="15" customHeight="1">
      <c r="A18" s="590"/>
      <c r="B18" s="591"/>
      <c r="C18" s="591"/>
      <c r="D18" s="591"/>
      <c r="E18" s="591"/>
      <c r="F18" s="591"/>
      <c r="G18" s="591"/>
      <c r="H18" s="591"/>
      <c r="I18" s="591"/>
    </row>
    <row r="19" spans="1:36" ht="12" customHeight="1">
      <c r="A19" s="590"/>
      <c r="B19" s="591"/>
      <c r="C19" s="591"/>
      <c r="D19" s="591"/>
      <c r="E19" s="591"/>
      <c r="F19" s="591"/>
      <c r="G19" s="591"/>
      <c r="H19" s="591"/>
      <c r="I19" s="591"/>
    </row>
    <row r="20" spans="1:36" ht="12" customHeight="1">
      <c r="A20" s="590"/>
      <c r="B20" s="591"/>
      <c r="C20" s="591"/>
      <c r="D20" s="591"/>
      <c r="E20" s="591"/>
      <c r="F20" s="591"/>
      <c r="G20" s="591"/>
      <c r="H20" s="591"/>
      <c r="I20" s="591"/>
    </row>
    <row r="21" spans="1:36" ht="12" customHeight="1">
      <c r="A21" s="590"/>
      <c r="B21" s="591"/>
      <c r="C21" s="591"/>
      <c r="D21" s="591"/>
      <c r="E21" s="591"/>
      <c r="F21" s="591"/>
      <c r="G21" s="591"/>
      <c r="H21" s="591"/>
      <c r="I21" s="591"/>
    </row>
    <row r="22" spans="1:36" ht="12" customHeight="1">
      <c r="A22" s="590"/>
      <c r="B22" s="591"/>
      <c r="C22" s="591"/>
      <c r="D22" s="591"/>
      <c r="E22" s="591"/>
      <c r="F22" s="591"/>
      <c r="G22" s="591"/>
      <c r="H22" s="591"/>
      <c r="I22" s="591"/>
    </row>
    <row r="23" spans="1:36" s="576" customFormat="1">
      <c r="B23" s="591"/>
      <c r="C23" s="591"/>
      <c r="E23" s="591"/>
      <c r="G23" s="591"/>
      <c r="H23" s="591"/>
      <c r="I23" s="593"/>
      <c r="J23" s="584"/>
      <c r="K23" s="585"/>
      <c r="L23" s="585"/>
      <c r="M23" s="585"/>
      <c r="N23" s="585"/>
      <c r="O23" s="585"/>
      <c r="P23" s="585"/>
      <c r="Q23" s="585"/>
      <c r="R23" s="585"/>
      <c r="S23" s="585"/>
      <c r="T23" s="585"/>
      <c r="U23" s="585"/>
      <c r="V23" s="585"/>
      <c r="W23" s="585"/>
      <c r="X23" s="585"/>
      <c r="Y23" s="585"/>
      <c r="Z23" s="585"/>
      <c r="AA23" s="585"/>
      <c r="AB23" s="585"/>
      <c r="AC23" s="585"/>
      <c r="AD23" s="585"/>
      <c r="AE23" s="585"/>
      <c r="AF23" s="585"/>
      <c r="AG23" s="585"/>
      <c r="AH23" s="585"/>
      <c r="AI23" s="585"/>
      <c r="AJ23" s="585"/>
    </row>
    <row r="24" spans="1:36" s="576" customFormat="1">
      <c r="B24" s="591"/>
      <c r="C24" s="591"/>
      <c r="E24" s="591"/>
      <c r="G24" s="591"/>
      <c r="H24" s="591"/>
      <c r="I24" s="593"/>
      <c r="J24" s="584"/>
      <c r="K24" s="585"/>
      <c r="L24" s="585"/>
      <c r="M24" s="585"/>
      <c r="N24" s="585"/>
      <c r="O24" s="585"/>
      <c r="P24" s="585"/>
      <c r="Q24" s="585"/>
      <c r="R24" s="585"/>
      <c r="S24" s="585"/>
      <c r="T24" s="585"/>
      <c r="U24" s="585"/>
      <c r="V24" s="585"/>
      <c r="W24" s="585"/>
      <c r="X24" s="585"/>
      <c r="Y24" s="585"/>
      <c r="Z24" s="585"/>
      <c r="AA24" s="585"/>
      <c r="AB24" s="585"/>
      <c r="AC24" s="585"/>
      <c r="AD24" s="585"/>
      <c r="AE24" s="585"/>
      <c r="AF24" s="585"/>
      <c r="AG24" s="585"/>
      <c r="AH24" s="585"/>
      <c r="AI24" s="585"/>
      <c r="AJ24" s="585"/>
    </row>
    <row r="25" spans="1:36" s="576" customFormat="1">
      <c r="B25" s="591"/>
      <c r="C25" s="591"/>
      <c r="E25" s="591"/>
      <c r="G25" s="591"/>
      <c r="H25" s="591"/>
      <c r="I25" s="593"/>
      <c r="J25" s="584"/>
      <c r="K25" s="585"/>
      <c r="L25" s="585"/>
      <c r="M25" s="585"/>
      <c r="N25" s="585"/>
      <c r="O25" s="585"/>
      <c r="P25" s="585"/>
      <c r="Q25" s="585"/>
      <c r="R25" s="585"/>
      <c r="S25" s="585"/>
      <c r="T25" s="585"/>
      <c r="U25" s="585"/>
      <c r="V25" s="585"/>
      <c r="W25" s="585"/>
      <c r="X25" s="585"/>
      <c r="Y25" s="585"/>
      <c r="Z25" s="585"/>
      <c r="AA25" s="585"/>
      <c r="AB25" s="585"/>
      <c r="AC25" s="585"/>
      <c r="AD25" s="585"/>
      <c r="AE25" s="585"/>
      <c r="AF25" s="585"/>
      <c r="AG25" s="585"/>
      <c r="AH25" s="585"/>
      <c r="AI25" s="585"/>
      <c r="AJ25" s="585"/>
    </row>
    <row r="26" spans="1:36" s="576" customFormat="1">
      <c r="B26" s="591"/>
      <c r="C26" s="591"/>
      <c r="E26" s="591"/>
      <c r="G26" s="591"/>
      <c r="H26" s="591"/>
      <c r="I26" s="593"/>
      <c r="J26" s="584"/>
      <c r="K26" s="585"/>
      <c r="L26" s="585"/>
      <c r="M26" s="585"/>
      <c r="N26" s="585"/>
      <c r="O26" s="585"/>
      <c r="P26" s="585"/>
      <c r="Q26" s="585"/>
      <c r="R26" s="585"/>
      <c r="S26" s="585"/>
      <c r="T26" s="585"/>
      <c r="U26" s="585"/>
      <c r="V26" s="585"/>
      <c r="W26" s="585"/>
      <c r="X26" s="585"/>
      <c r="Y26" s="585"/>
      <c r="Z26" s="585"/>
      <c r="AA26" s="585"/>
      <c r="AB26" s="585"/>
      <c r="AC26" s="585"/>
      <c r="AD26" s="585"/>
      <c r="AE26" s="585"/>
      <c r="AF26" s="585"/>
      <c r="AG26" s="585"/>
      <c r="AH26" s="585"/>
      <c r="AI26" s="585"/>
      <c r="AJ26" s="585"/>
    </row>
    <row r="27" spans="1:36" s="576" customFormat="1">
      <c r="B27" s="591"/>
      <c r="C27" s="591"/>
      <c r="E27" s="591"/>
      <c r="G27" s="591"/>
      <c r="H27" s="591"/>
      <c r="I27" s="593"/>
      <c r="J27" s="584"/>
      <c r="K27" s="585"/>
      <c r="L27" s="585"/>
      <c r="M27" s="585"/>
      <c r="N27" s="585"/>
      <c r="O27" s="585"/>
      <c r="P27" s="585"/>
      <c r="Q27" s="585"/>
      <c r="R27" s="585"/>
      <c r="S27" s="585"/>
      <c r="T27" s="585"/>
      <c r="U27" s="585"/>
      <c r="V27" s="585"/>
      <c r="W27" s="585"/>
      <c r="X27" s="585"/>
      <c r="Y27" s="585"/>
      <c r="Z27" s="585"/>
      <c r="AA27" s="585"/>
      <c r="AB27" s="585"/>
      <c r="AC27" s="585"/>
      <c r="AD27" s="585"/>
      <c r="AE27" s="585"/>
      <c r="AF27" s="585"/>
      <c r="AG27" s="585"/>
      <c r="AH27" s="585"/>
      <c r="AI27" s="585"/>
      <c r="AJ27" s="585"/>
    </row>
    <row r="28" spans="1:36" s="576" customFormat="1">
      <c r="B28" s="591"/>
      <c r="C28" s="591"/>
      <c r="E28" s="591"/>
      <c r="G28" s="591"/>
      <c r="H28" s="591"/>
      <c r="I28" s="593"/>
      <c r="J28" s="584"/>
      <c r="K28" s="585"/>
      <c r="L28" s="585"/>
      <c r="M28" s="585"/>
      <c r="N28" s="585"/>
      <c r="O28" s="585"/>
      <c r="P28" s="585"/>
      <c r="Q28" s="585"/>
      <c r="R28" s="585"/>
      <c r="S28" s="585"/>
      <c r="T28" s="585"/>
      <c r="U28" s="585"/>
      <c r="V28" s="585"/>
      <c r="W28" s="585"/>
      <c r="X28" s="585"/>
      <c r="Y28" s="585"/>
      <c r="Z28" s="585"/>
      <c r="AA28" s="585"/>
      <c r="AB28" s="585"/>
      <c r="AC28" s="585"/>
      <c r="AD28" s="585"/>
      <c r="AE28" s="585"/>
      <c r="AF28" s="585"/>
      <c r="AG28" s="585"/>
      <c r="AH28" s="585"/>
      <c r="AI28" s="585"/>
      <c r="AJ28" s="585"/>
    </row>
    <row r="29" spans="1:36" s="576" customFormat="1">
      <c r="B29" s="591"/>
      <c r="C29" s="591"/>
      <c r="E29" s="591"/>
      <c r="G29" s="591"/>
      <c r="H29" s="591"/>
      <c r="I29" s="593"/>
      <c r="J29" s="584"/>
      <c r="K29" s="585"/>
      <c r="L29" s="585"/>
      <c r="M29" s="585"/>
      <c r="N29" s="585"/>
      <c r="O29" s="585"/>
      <c r="P29" s="585"/>
      <c r="Q29" s="585"/>
      <c r="R29" s="585"/>
      <c r="S29" s="585"/>
      <c r="T29" s="585"/>
      <c r="U29" s="585"/>
      <c r="V29" s="585"/>
      <c r="W29" s="585"/>
      <c r="X29" s="585"/>
      <c r="Y29" s="585"/>
      <c r="Z29" s="585"/>
      <c r="AA29" s="585"/>
      <c r="AB29" s="585"/>
      <c r="AC29" s="585"/>
      <c r="AD29" s="585"/>
      <c r="AE29" s="585"/>
      <c r="AF29" s="585"/>
      <c r="AG29" s="585"/>
      <c r="AH29" s="585"/>
      <c r="AI29" s="585"/>
      <c r="AJ29" s="585"/>
    </row>
    <row r="30" spans="1:36" s="576" customFormat="1">
      <c r="B30" s="591"/>
      <c r="C30" s="591"/>
      <c r="E30" s="591"/>
      <c r="G30" s="591"/>
      <c r="H30" s="591"/>
      <c r="I30" s="593"/>
      <c r="J30" s="584"/>
      <c r="K30" s="585"/>
      <c r="L30" s="585"/>
      <c r="M30" s="585"/>
      <c r="N30" s="585"/>
      <c r="O30" s="585"/>
      <c r="P30" s="585"/>
      <c r="Q30" s="585"/>
      <c r="R30" s="585"/>
      <c r="S30" s="585"/>
      <c r="T30" s="585"/>
      <c r="U30" s="585"/>
      <c r="V30" s="585"/>
      <c r="W30" s="585"/>
      <c r="X30" s="585"/>
      <c r="Y30" s="585"/>
      <c r="Z30" s="585"/>
      <c r="AA30" s="585"/>
      <c r="AB30" s="585"/>
      <c r="AC30" s="585"/>
      <c r="AD30" s="585"/>
      <c r="AE30" s="585"/>
      <c r="AF30" s="585"/>
      <c r="AG30" s="585"/>
      <c r="AH30" s="585"/>
      <c r="AI30" s="585"/>
      <c r="AJ30" s="585"/>
    </row>
    <row r="31" spans="1:36" s="576" customFormat="1">
      <c r="B31" s="591"/>
      <c r="C31" s="591"/>
      <c r="E31" s="591"/>
      <c r="G31" s="591"/>
      <c r="H31" s="591"/>
      <c r="I31" s="593"/>
      <c r="J31" s="584"/>
      <c r="K31" s="585"/>
      <c r="L31" s="585"/>
      <c r="M31" s="585"/>
      <c r="N31" s="585"/>
      <c r="O31" s="585"/>
      <c r="P31" s="585"/>
      <c r="Q31" s="585"/>
      <c r="R31" s="585"/>
      <c r="S31" s="585"/>
      <c r="T31" s="585"/>
      <c r="U31" s="585"/>
      <c r="V31" s="585"/>
      <c r="W31" s="585"/>
      <c r="X31" s="585"/>
      <c r="Y31" s="585"/>
      <c r="Z31" s="585"/>
      <c r="AA31" s="585"/>
      <c r="AB31" s="585"/>
      <c r="AC31" s="585"/>
      <c r="AD31" s="585"/>
      <c r="AE31" s="585"/>
      <c r="AF31" s="585"/>
      <c r="AG31" s="585"/>
      <c r="AH31" s="585"/>
      <c r="AI31" s="585"/>
      <c r="AJ31" s="585"/>
    </row>
    <row r="32" spans="1:36" s="576" customFormat="1">
      <c r="B32" s="591"/>
      <c r="C32" s="591"/>
      <c r="E32" s="591"/>
      <c r="G32" s="591"/>
      <c r="H32" s="591"/>
      <c r="I32" s="593"/>
      <c r="J32" s="584"/>
      <c r="K32" s="585"/>
      <c r="L32" s="585"/>
      <c r="M32" s="585"/>
      <c r="N32" s="585"/>
      <c r="O32" s="585"/>
      <c r="P32" s="585"/>
      <c r="Q32" s="585"/>
      <c r="R32" s="585"/>
      <c r="S32" s="585"/>
      <c r="T32" s="585"/>
      <c r="U32" s="585"/>
      <c r="V32" s="585"/>
      <c r="W32" s="585"/>
      <c r="X32" s="585"/>
      <c r="Y32" s="585"/>
      <c r="Z32" s="585"/>
      <c r="AA32" s="585"/>
      <c r="AB32" s="585"/>
      <c r="AC32" s="585"/>
      <c r="AD32" s="585"/>
      <c r="AE32" s="585"/>
      <c r="AF32" s="585"/>
      <c r="AG32" s="585"/>
      <c r="AH32" s="585"/>
      <c r="AI32" s="585"/>
      <c r="AJ32" s="585"/>
    </row>
    <row r="33" spans="1:36" s="576" customFormat="1">
      <c r="B33" s="591"/>
      <c r="C33" s="591"/>
      <c r="E33" s="591"/>
      <c r="G33" s="591"/>
      <c r="H33" s="591"/>
      <c r="I33" s="593"/>
      <c r="J33" s="584"/>
      <c r="K33" s="585"/>
      <c r="L33" s="585"/>
      <c r="M33" s="585"/>
      <c r="N33" s="585"/>
      <c r="O33" s="585"/>
      <c r="P33" s="585"/>
      <c r="Q33" s="585"/>
      <c r="R33" s="585"/>
      <c r="S33" s="585"/>
      <c r="T33" s="585"/>
      <c r="U33" s="585"/>
      <c r="V33" s="585"/>
      <c r="W33" s="585"/>
      <c r="X33" s="585"/>
      <c r="Y33" s="585"/>
      <c r="Z33" s="585"/>
      <c r="AA33" s="585"/>
      <c r="AB33" s="585"/>
      <c r="AC33" s="585"/>
      <c r="AD33" s="585"/>
      <c r="AE33" s="585"/>
      <c r="AF33" s="585"/>
      <c r="AG33" s="585"/>
      <c r="AH33" s="585"/>
      <c r="AI33" s="585"/>
      <c r="AJ33" s="585"/>
    </row>
    <row r="34" spans="1:36" s="576" customFormat="1">
      <c r="B34" s="591"/>
      <c r="C34" s="591"/>
      <c r="E34" s="591"/>
      <c r="G34" s="591"/>
      <c r="H34" s="591"/>
      <c r="I34" s="593"/>
      <c r="J34" s="584"/>
      <c r="K34" s="585"/>
      <c r="L34" s="585"/>
      <c r="M34" s="585"/>
      <c r="N34" s="585"/>
      <c r="O34" s="585"/>
      <c r="P34" s="585"/>
      <c r="Q34" s="585"/>
      <c r="R34" s="585"/>
      <c r="S34" s="585"/>
      <c r="T34" s="585"/>
      <c r="U34" s="585"/>
      <c r="V34" s="585"/>
      <c r="W34" s="585"/>
      <c r="X34" s="585"/>
      <c r="Y34" s="585"/>
      <c r="Z34" s="585"/>
      <c r="AA34" s="585"/>
      <c r="AB34" s="585"/>
      <c r="AC34" s="585"/>
      <c r="AD34" s="585"/>
      <c r="AE34" s="585"/>
      <c r="AF34" s="585"/>
      <c r="AG34" s="585"/>
      <c r="AH34" s="585"/>
      <c r="AI34" s="585"/>
      <c r="AJ34" s="585"/>
    </row>
    <row r="35" spans="1:36">
      <c r="A35" s="576"/>
      <c r="B35" s="591"/>
      <c r="C35" s="591"/>
      <c r="E35" s="591"/>
      <c r="G35" s="591"/>
      <c r="H35" s="591"/>
      <c r="I35" s="593"/>
    </row>
    <row r="36" spans="1:36">
      <c r="A36" s="576"/>
      <c r="B36" s="591"/>
      <c r="C36" s="591"/>
      <c r="E36" s="591"/>
      <c r="G36" s="591"/>
      <c r="H36" s="591"/>
      <c r="I36" s="593"/>
    </row>
    <row r="37" spans="1:36">
      <c r="A37" s="576"/>
      <c r="B37" s="591"/>
      <c r="C37" s="591"/>
      <c r="E37" s="591"/>
      <c r="G37" s="591"/>
      <c r="H37" s="591"/>
      <c r="I37" s="593"/>
    </row>
    <row r="38" spans="1:36">
      <c r="A38" s="576"/>
      <c r="B38" s="591"/>
      <c r="C38" s="591"/>
      <c r="E38" s="591"/>
      <c r="G38" s="591"/>
      <c r="H38" s="591"/>
      <c r="I38" s="593"/>
    </row>
    <row r="39" spans="1:36">
      <c r="A39" s="576"/>
      <c r="B39" s="591"/>
      <c r="C39" s="591"/>
      <c r="E39" s="591"/>
      <c r="G39" s="591"/>
      <c r="H39" s="591"/>
      <c r="I39" s="593"/>
    </row>
    <row r="40" spans="1:36">
      <c r="A40" s="590"/>
      <c r="B40" s="591"/>
      <c r="C40" s="591"/>
      <c r="D40" s="591"/>
      <c r="E40" s="591"/>
      <c r="F40" s="591"/>
      <c r="H40" s="591"/>
      <c r="I40" s="591"/>
    </row>
    <row r="41" spans="1:36">
      <c r="A41" s="590"/>
      <c r="B41" s="591"/>
      <c r="C41" s="591"/>
      <c r="D41" s="591"/>
      <c r="E41" s="591"/>
      <c r="F41" s="591"/>
      <c r="H41" s="591"/>
      <c r="I41" s="591"/>
    </row>
    <row r="42" spans="1:36">
      <c r="A42" s="590"/>
      <c r="B42" s="591"/>
      <c r="C42" s="591"/>
      <c r="D42" s="591"/>
      <c r="E42" s="591"/>
      <c r="F42" s="591"/>
      <c r="H42" s="591"/>
      <c r="I42" s="591"/>
    </row>
    <row r="43" spans="1:36">
      <c r="A43" s="590"/>
      <c r="B43" s="591"/>
      <c r="C43" s="591"/>
      <c r="D43" s="591"/>
      <c r="E43" s="591"/>
      <c r="F43" s="591"/>
      <c r="H43" s="591"/>
      <c r="I43" s="591"/>
    </row>
    <row r="44" spans="1:36">
      <c r="A44" s="590"/>
      <c r="B44" s="591"/>
      <c r="C44" s="591"/>
      <c r="D44" s="591"/>
      <c r="E44" s="591"/>
      <c r="F44" s="591"/>
      <c r="H44" s="591"/>
      <c r="I44" s="591"/>
    </row>
    <row r="45" spans="1:36">
      <c r="A45" s="590"/>
      <c r="B45" s="591"/>
      <c r="C45" s="591"/>
      <c r="D45" s="591"/>
      <c r="E45" s="591"/>
      <c r="F45" s="591"/>
      <c r="H45" s="591"/>
      <c r="I45" s="591"/>
    </row>
    <row r="46" spans="1:36">
      <c r="A46" s="590"/>
      <c r="B46" s="591"/>
      <c r="C46" s="591"/>
      <c r="D46" s="591"/>
      <c r="E46" s="591"/>
      <c r="F46" s="591"/>
      <c r="H46" s="591"/>
      <c r="I46" s="591"/>
    </row>
    <row r="47" spans="1:36">
      <c r="A47" s="590"/>
      <c r="B47" s="591"/>
      <c r="C47" s="591"/>
      <c r="D47" s="591"/>
      <c r="E47" s="591"/>
      <c r="F47" s="591"/>
      <c r="H47" s="591"/>
      <c r="I47" s="591"/>
    </row>
    <row r="48" spans="1:36">
      <c r="A48" s="590"/>
      <c r="B48" s="591"/>
      <c r="C48" s="591"/>
      <c r="D48" s="591"/>
      <c r="E48" s="591"/>
      <c r="F48" s="591"/>
      <c r="H48" s="591"/>
      <c r="I48" s="591"/>
    </row>
    <row r="49" spans="1:9">
      <c r="A49" s="590"/>
      <c r="B49" s="591"/>
      <c r="C49" s="591"/>
      <c r="D49" s="591"/>
      <c r="E49" s="591"/>
      <c r="F49" s="591"/>
      <c r="H49" s="591"/>
      <c r="I49" s="591"/>
    </row>
    <row r="50" spans="1:9">
      <c r="A50" s="590"/>
      <c r="B50" s="591"/>
      <c r="C50" s="591"/>
      <c r="D50" s="591"/>
      <c r="E50" s="591"/>
      <c r="F50" s="591"/>
      <c r="H50" s="591"/>
      <c r="I50" s="591"/>
    </row>
    <row r="51" spans="1:9">
      <c r="A51" s="590"/>
      <c r="B51" s="591"/>
      <c r="C51" s="591"/>
      <c r="D51" s="591"/>
      <c r="E51" s="591"/>
      <c r="F51" s="591"/>
      <c r="H51" s="591"/>
      <c r="I51" s="591"/>
    </row>
    <row r="52" spans="1:9">
      <c r="A52" s="590"/>
      <c r="B52" s="591"/>
      <c r="C52" s="591"/>
      <c r="D52" s="591"/>
      <c r="E52" s="591"/>
      <c r="F52" s="591"/>
      <c r="H52" s="591"/>
      <c r="I52" s="591"/>
    </row>
    <row r="53" spans="1:9">
      <c r="A53" s="590"/>
      <c r="B53" s="591"/>
      <c r="C53" s="591"/>
      <c r="D53" s="591"/>
      <c r="E53" s="591"/>
      <c r="F53" s="591"/>
      <c r="H53" s="591"/>
      <c r="I53" s="591"/>
    </row>
    <row r="54" spans="1:9">
      <c r="A54" s="590"/>
      <c r="B54" s="591"/>
      <c r="C54" s="591"/>
      <c r="D54" s="591"/>
      <c r="E54" s="591"/>
      <c r="F54" s="591"/>
      <c r="H54" s="591"/>
      <c r="I54" s="591"/>
    </row>
    <row r="55" spans="1:9">
      <c r="A55" s="590"/>
      <c r="B55" s="591"/>
      <c r="C55" s="591"/>
      <c r="D55" s="591"/>
      <c r="E55" s="591"/>
      <c r="F55" s="591"/>
      <c r="H55" s="591"/>
      <c r="I55" s="591"/>
    </row>
    <row r="56" spans="1:9">
      <c r="A56" s="590"/>
      <c r="B56" s="591"/>
      <c r="C56" s="591"/>
      <c r="D56" s="591"/>
      <c r="E56" s="591"/>
      <c r="F56" s="591"/>
      <c r="H56" s="591"/>
      <c r="I56" s="591"/>
    </row>
    <row r="57" spans="1:9">
      <c r="A57" s="590"/>
      <c r="B57" s="591"/>
      <c r="C57" s="591"/>
      <c r="D57" s="591"/>
      <c r="E57" s="591"/>
      <c r="F57" s="591"/>
      <c r="H57" s="591"/>
      <c r="I57" s="591"/>
    </row>
    <row r="58" spans="1:9">
      <c r="A58" s="590"/>
      <c r="B58" s="591"/>
      <c r="C58" s="591"/>
      <c r="D58" s="591"/>
      <c r="E58" s="591"/>
      <c r="F58" s="591"/>
      <c r="H58" s="591"/>
      <c r="I58" s="591"/>
    </row>
    <row r="59" spans="1:9">
      <c r="A59" s="590"/>
      <c r="B59" s="591"/>
      <c r="C59" s="591"/>
      <c r="D59" s="591"/>
      <c r="E59" s="591"/>
      <c r="F59" s="591"/>
      <c r="H59" s="591"/>
      <c r="I59" s="591"/>
    </row>
    <row r="60" spans="1:9">
      <c r="A60" s="590"/>
      <c r="B60" s="591"/>
      <c r="C60" s="591"/>
      <c r="D60" s="591"/>
      <c r="E60" s="591"/>
      <c r="F60" s="591"/>
      <c r="H60" s="591"/>
      <c r="I60" s="591"/>
    </row>
    <row r="61" spans="1:9">
      <c r="A61" s="590"/>
      <c r="B61" s="591"/>
      <c r="C61" s="591"/>
      <c r="D61" s="591"/>
      <c r="E61" s="591"/>
      <c r="F61" s="591"/>
      <c r="H61" s="591"/>
      <c r="I61" s="591"/>
    </row>
    <row r="62" spans="1:9">
      <c r="A62" s="590"/>
      <c r="B62" s="591"/>
      <c r="C62" s="591"/>
      <c r="D62" s="591"/>
      <c r="E62" s="591"/>
      <c r="F62" s="591"/>
      <c r="H62" s="591"/>
      <c r="I62" s="591"/>
    </row>
    <row r="63" spans="1:9">
      <c r="A63" s="590"/>
      <c r="B63" s="591"/>
      <c r="C63" s="591"/>
      <c r="D63" s="591"/>
      <c r="E63" s="591"/>
      <c r="F63" s="591"/>
      <c r="H63" s="591"/>
      <c r="I63" s="591"/>
    </row>
    <row r="64" spans="1:9">
      <c r="A64" s="590"/>
      <c r="B64" s="591"/>
      <c r="C64" s="591"/>
      <c r="D64" s="591"/>
      <c r="E64" s="591"/>
      <c r="F64" s="591"/>
      <c r="H64" s="591"/>
      <c r="I64" s="591"/>
    </row>
    <row r="65" spans="1:9">
      <c r="A65" s="590"/>
      <c r="B65" s="591"/>
      <c r="C65" s="591"/>
      <c r="D65" s="591"/>
      <c r="E65" s="591"/>
      <c r="F65" s="591"/>
      <c r="H65" s="591"/>
      <c r="I65" s="591"/>
    </row>
    <row r="66" spans="1:9">
      <c r="A66" s="590"/>
      <c r="B66" s="591"/>
      <c r="C66" s="591"/>
      <c r="D66" s="591"/>
      <c r="E66" s="591"/>
      <c r="F66" s="591"/>
      <c r="H66" s="591"/>
      <c r="I66" s="591"/>
    </row>
    <row r="67" spans="1:9">
      <c r="A67" s="590"/>
      <c r="B67" s="591"/>
      <c r="C67" s="591"/>
      <c r="D67" s="591"/>
      <c r="E67" s="591"/>
      <c r="F67" s="591"/>
      <c r="H67" s="591"/>
      <c r="I67" s="591"/>
    </row>
    <row r="68" spans="1:9">
      <c r="A68" s="590"/>
      <c r="B68" s="591"/>
      <c r="C68" s="591"/>
      <c r="D68" s="591"/>
      <c r="E68" s="591"/>
      <c r="F68" s="591"/>
      <c r="H68" s="591"/>
      <c r="I68" s="591"/>
    </row>
    <row r="69" spans="1:9">
      <c r="A69" s="590"/>
      <c r="B69" s="591"/>
      <c r="C69" s="591"/>
      <c r="D69" s="591"/>
      <c r="E69" s="591"/>
      <c r="F69" s="591"/>
      <c r="H69" s="591"/>
      <c r="I69" s="591"/>
    </row>
    <row r="70" spans="1:9">
      <c r="A70" s="590"/>
      <c r="B70" s="591"/>
      <c r="C70" s="591"/>
      <c r="D70" s="591"/>
      <c r="E70" s="591"/>
      <c r="F70" s="591"/>
      <c r="H70" s="591"/>
      <c r="I70" s="591"/>
    </row>
    <row r="71" spans="1:9">
      <c r="A71" s="590"/>
      <c r="B71" s="591"/>
      <c r="C71" s="591"/>
      <c r="D71" s="591"/>
      <c r="E71" s="591"/>
      <c r="F71" s="591"/>
      <c r="H71" s="591"/>
      <c r="I71" s="591"/>
    </row>
    <row r="72" spans="1:9">
      <c r="A72" s="590"/>
      <c r="B72" s="591"/>
      <c r="C72" s="591"/>
      <c r="D72" s="591"/>
      <c r="E72" s="591"/>
      <c r="F72" s="591"/>
      <c r="H72" s="591"/>
      <c r="I72" s="591"/>
    </row>
    <row r="73" spans="1:9">
      <c r="A73" s="590"/>
      <c r="B73" s="591"/>
      <c r="C73" s="591"/>
      <c r="D73" s="591"/>
      <c r="E73" s="591"/>
      <c r="F73" s="591"/>
      <c r="H73" s="591"/>
      <c r="I73" s="591"/>
    </row>
    <row r="74" spans="1:9">
      <c r="A74" s="590"/>
      <c r="B74" s="591"/>
      <c r="C74" s="591"/>
      <c r="D74" s="591"/>
      <c r="E74" s="591"/>
      <c r="F74" s="591"/>
      <c r="H74" s="591"/>
      <c r="I74" s="591"/>
    </row>
    <row r="75" spans="1:9">
      <c r="A75" s="590"/>
      <c r="B75" s="591"/>
      <c r="C75" s="591"/>
      <c r="D75" s="591"/>
      <c r="E75" s="591"/>
      <c r="F75" s="591"/>
      <c r="H75" s="591"/>
      <c r="I75" s="591"/>
    </row>
    <row r="76" spans="1:9">
      <c r="A76" s="590"/>
      <c r="B76" s="591"/>
      <c r="C76" s="591"/>
      <c r="D76" s="591"/>
      <c r="E76" s="591"/>
      <c r="F76" s="591"/>
      <c r="H76" s="591"/>
      <c r="I76" s="591"/>
    </row>
    <row r="77" spans="1:9">
      <c r="A77" s="590"/>
      <c r="B77" s="591"/>
      <c r="C77" s="591"/>
      <c r="D77" s="591"/>
      <c r="E77" s="591"/>
      <c r="F77" s="591"/>
      <c r="H77" s="591"/>
      <c r="I77" s="591"/>
    </row>
    <row r="78" spans="1:9">
      <c r="A78" s="590"/>
      <c r="B78" s="591"/>
      <c r="C78" s="591"/>
      <c r="D78" s="591"/>
      <c r="E78" s="591"/>
      <c r="F78" s="591"/>
      <c r="H78" s="591"/>
      <c r="I78" s="591"/>
    </row>
    <row r="79" spans="1:9">
      <c r="A79" s="590"/>
      <c r="B79" s="591"/>
      <c r="C79" s="591"/>
      <c r="D79" s="591"/>
      <c r="E79" s="591"/>
      <c r="F79" s="591"/>
      <c r="H79" s="591"/>
      <c r="I79" s="591"/>
    </row>
    <row r="80" spans="1:9">
      <c r="A80" s="590"/>
      <c r="B80" s="591"/>
      <c r="C80" s="591"/>
      <c r="D80" s="591"/>
      <c r="E80" s="591"/>
      <c r="F80" s="591"/>
      <c r="H80" s="591"/>
      <c r="I80" s="591"/>
    </row>
    <row r="81" spans="1:9">
      <c r="A81" s="590"/>
      <c r="B81" s="591"/>
      <c r="C81" s="591"/>
      <c r="D81" s="591"/>
      <c r="E81" s="591"/>
      <c r="F81" s="591"/>
      <c r="H81" s="591"/>
      <c r="I81" s="591"/>
    </row>
  </sheetData>
  <pageMargins left="0.7" right="0.7" top="0.75" bottom="0.75" header="0.3" footer="0.3"/>
  <pageSetup orientation="portrait" r:id="rId1"/>
  <drawing r:id="rId2"/>
  <legacyDrawing r:id="rId3"/>
  <controls>
    <mc:AlternateContent xmlns:mc="http://schemas.openxmlformats.org/markup-compatibility/2006">
      <mc:Choice Requires="x14">
        <control shapeId="28673" r:id="rId4" name="ck_comp_MobileData">
          <controlPr locked="0" autoLine="0" linkedCell="comp_MobileData" r:id="rId5">
            <anchor moveWithCells="1">
              <from>
                <xdr:col>6</xdr:col>
                <xdr:colOff>742950</xdr:colOff>
                <xdr:row>0</xdr:row>
                <xdr:rowOff>114300</xdr:rowOff>
              </from>
              <to>
                <xdr:col>8</xdr:col>
                <xdr:colOff>977900</xdr:colOff>
                <xdr:row>0</xdr:row>
                <xdr:rowOff>381000</xdr:rowOff>
              </to>
            </anchor>
          </controlPr>
        </control>
      </mc:Choice>
      <mc:Fallback>
        <control shapeId="28673" r:id="rId4" name="ck_comp_MobileData"/>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4">
    <tabColor rgb="FFFFFF00"/>
  </sheetPr>
  <dimension ref="A1:E66"/>
  <sheetViews>
    <sheetView workbookViewId="0"/>
  </sheetViews>
  <sheetFormatPr defaultColWidth="8.81640625" defaultRowHeight="14.5"/>
  <cols>
    <col min="1" max="1" width="37.7265625" style="359" bestFit="1" customWidth="1"/>
    <col min="2" max="2" width="36.7265625" style="56" customWidth="1"/>
    <col min="3" max="3" width="62.453125" customWidth="1"/>
  </cols>
  <sheetData>
    <row r="1" spans="1:4">
      <c r="A1" s="362" t="s">
        <v>358</v>
      </c>
      <c r="B1" s="1041" t="s">
        <v>157</v>
      </c>
      <c r="C1" s="1068"/>
      <c r="D1" s="362"/>
    </row>
    <row r="2" spans="1:4">
      <c r="A2" s="363"/>
      <c r="B2" s="1031" t="s">
        <v>158</v>
      </c>
      <c r="C2" s="1063"/>
    </row>
    <row r="3" spans="1:4">
      <c r="A3" s="363"/>
      <c r="B3" s="1031" t="s">
        <v>159</v>
      </c>
      <c r="C3" s="1063"/>
    </row>
    <row r="4" spans="1:4">
      <c r="A4" s="363"/>
      <c r="B4" s="1031" t="s">
        <v>359</v>
      </c>
      <c r="C4" s="1063"/>
    </row>
    <row r="5" spans="1:4" ht="30" customHeight="1">
      <c r="A5" s="362" t="s">
        <v>149</v>
      </c>
      <c r="B5" s="1041" t="s">
        <v>161</v>
      </c>
      <c r="C5" s="1068"/>
    </row>
    <row r="6" spans="1:4" ht="45" customHeight="1">
      <c r="A6" s="363"/>
      <c r="B6" s="1031" t="s">
        <v>162</v>
      </c>
      <c r="C6" s="1063"/>
    </row>
    <row r="7" spans="1:4">
      <c r="A7" s="363"/>
      <c r="B7" s="1031" t="s">
        <v>163</v>
      </c>
      <c r="C7" s="1063"/>
    </row>
    <row r="8" spans="1:4" ht="30" customHeight="1">
      <c r="A8" s="362" t="s">
        <v>360</v>
      </c>
      <c r="B8" s="1041" t="s">
        <v>361</v>
      </c>
      <c r="C8" s="1068"/>
    </row>
    <row r="9" spans="1:4" ht="30" customHeight="1">
      <c r="A9" s="365" t="s">
        <v>152</v>
      </c>
      <c r="B9" s="1041" t="s">
        <v>165</v>
      </c>
      <c r="C9" s="1068"/>
    </row>
    <row r="10" spans="1:4" ht="30" customHeight="1">
      <c r="A10" s="365" t="s">
        <v>336</v>
      </c>
      <c r="B10" s="1055" t="s">
        <v>362</v>
      </c>
      <c r="C10" s="1064"/>
    </row>
    <row r="11" spans="1:4" ht="30" customHeight="1">
      <c r="A11" s="365" t="s">
        <v>337</v>
      </c>
      <c r="B11" s="1040" t="s">
        <v>363</v>
      </c>
      <c r="C11" s="1065"/>
    </row>
    <row r="12" spans="1:4" ht="7.5" customHeight="1">
      <c r="A12" s="409"/>
      <c r="B12" s="394"/>
      <c r="C12" s="408"/>
    </row>
    <row r="13" spans="1:4" ht="15" customHeight="1">
      <c r="A13" s="409"/>
      <c r="B13" s="393" t="s">
        <v>337</v>
      </c>
      <c r="C13" s="408"/>
    </row>
    <row r="14" spans="1:4" ht="15" customHeight="1">
      <c r="A14" s="409"/>
      <c r="B14" s="360" t="s">
        <v>347</v>
      </c>
      <c r="C14" s="408"/>
    </row>
    <row r="15" spans="1:4" ht="15" customHeight="1">
      <c r="A15" s="409"/>
      <c r="B15" s="360" t="s">
        <v>364</v>
      </c>
      <c r="C15" s="408"/>
    </row>
    <row r="16" spans="1:4" ht="15" customHeight="1">
      <c r="A16" s="409"/>
      <c r="B16" s="360" t="s">
        <v>351</v>
      </c>
      <c r="C16" s="408"/>
    </row>
    <row r="17" spans="1:5" ht="15" customHeight="1">
      <c r="A17" s="409"/>
      <c r="B17" s="360" t="s">
        <v>352</v>
      </c>
      <c r="C17" s="408"/>
    </row>
    <row r="18" spans="1:5" ht="15" customHeight="1">
      <c r="A18" s="409"/>
      <c r="B18" s="360" t="s">
        <v>365</v>
      </c>
      <c r="C18" s="408"/>
    </row>
    <row r="19" spans="1:5" ht="15" customHeight="1">
      <c r="A19" s="409"/>
      <c r="B19" s="360" t="s">
        <v>366</v>
      </c>
      <c r="C19" s="408"/>
    </row>
    <row r="20" spans="1:5" ht="15" customHeight="1">
      <c r="A20" s="409"/>
      <c r="B20" s="360" t="s">
        <v>367</v>
      </c>
      <c r="C20" s="408"/>
    </row>
    <row r="21" spans="1:5" ht="15" customHeight="1">
      <c r="A21" s="409"/>
      <c r="B21" s="360" t="s">
        <v>368</v>
      </c>
      <c r="C21" s="408"/>
    </row>
    <row r="22" spans="1:5" ht="15" customHeight="1">
      <c r="A22" s="409"/>
      <c r="B22" s="360" t="s">
        <v>369</v>
      </c>
      <c r="C22" s="408"/>
    </row>
    <row r="23" spans="1:5" ht="15" customHeight="1">
      <c r="A23" s="409"/>
      <c r="B23" s="360" t="s">
        <v>370</v>
      </c>
      <c r="C23" s="408"/>
    </row>
    <row r="24" spans="1:5" ht="15" customHeight="1">
      <c r="A24" s="410"/>
      <c r="B24" s="405"/>
      <c r="C24" s="406"/>
    </row>
    <row r="25" spans="1:5" ht="15" customHeight="1">
      <c r="A25" s="407" t="s">
        <v>371</v>
      </c>
      <c r="B25" s="1055" t="s">
        <v>372</v>
      </c>
      <c r="C25" s="1064"/>
    </row>
    <row r="26" spans="1:5" ht="30" customHeight="1">
      <c r="A26" s="366" t="s">
        <v>154</v>
      </c>
      <c r="B26" s="1031" t="s">
        <v>373</v>
      </c>
      <c r="C26" s="1063"/>
      <c r="E26" s="5"/>
    </row>
    <row r="27" spans="1:5" ht="15" customHeight="1">
      <c r="A27" s="366"/>
      <c r="B27" s="1066" t="s">
        <v>374</v>
      </c>
      <c r="C27" s="1067"/>
      <c r="E27" s="5"/>
    </row>
    <row r="28" spans="1:5">
      <c r="A28" s="366"/>
      <c r="B28" s="357"/>
      <c r="C28" s="391"/>
      <c r="E28" s="5"/>
    </row>
    <row r="29" spans="1:5">
      <c r="A29" s="418" t="s">
        <v>375</v>
      </c>
      <c r="B29" s="419" t="s">
        <v>154</v>
      </c>
      <c r="C29" s="420" t="s">
        <v>168</v>
      </c>
      <c r="E29" s="5"/>
    </row>
    <row r="30" spans="1:5">
      <c r="A30" s="412" t="s">
        <v>376</v>
      </c>
      <c r="B30" s="360" t="s">
        <v>175</v>
      </c>
      <c r="C30" s="42" t="s">
        <v>173</v>
      </c>
      <c r="E30" s="5"/>
    </row>
    <row r="31" spans="1:5">
      <c r="A31" s="412"/>
      <c r="B31" s="360" t="s">
        <v>172</v>
      </c>
      <c r="C31" s="42" t="s">
        <v>173</v>
      </c>
      <c r="E31" s="5"/>
    </row>
    <row r="32" spans="1:5">
      <c r="A32" s="412"/>
      <c r="B32" s="360" t="s">
        <v>377</v>
      </c>
      <c r="C32" s="42" t="s">
        <v>173</v>
      </c>
      <c r="E32" s="5"/>
    </row>
    <row r="33" spans="1:5">
      <c r="A33" s="412"/>
      <c r="B33" s="360" t="s">
        <v>378</v>
      </c>
      <c r="C33" s="42" t="s">
        <v>173</v>
      </c>
      <c r="E33" s="2"/>
    </row>
    <row r="34" spans="1:5">
      <c r="A34" s="412"/>
      <c r="B34" s="360" t="s">
        <v>379</v>
      </c>
      <c r="C34" s="42" t="s">
        <v>173</v>
      </c>
      <c r="E34" s="2"/>
    </row>
    <row r="35" spans="1:5">
      <c r="A35" s="412"/>
      <c r="B35" s="360" t="s">
        <v>380</v>
      </c>
      <c r="C35" s="42" t="s">
        <v>39</v>
      </c>
    </row>
    <row r="36" spans="1:5">
      <c r="A36" s="412"/>
      <c r="B36" s="360" t="s">
        <v>174</v>
      </c>
      <c r="C36" s="42" t="s">
        <v>173</v>
      </c>
    </row>
    <row r="37" spans="1:5">
      <c r="A37" s="415" t="s">
        <v>381</v>
      </c>
      <c r="B37" s="413" t="s">
        <v>175</v>
      </c>
      <c r="C37" s="414" t="s">
        <v>173</v>
      </c>
    </row>
    <row r="38" spans="1:5">
      <c r="A38" s="412"/>
      <c r="B38" s="360" t="s">
        <v>172</v>
      </c>
      <c r="C38" s="42" t="s">
        <v>173</v>
      </c>
    </row>
    <row r="39" spans="1:5">
      <c r="A39" s="412"/>
      <c r="B39" s="360" t="s">
        <v>377</v>
      </c>
      <c r="C39" s="42" t="s">
        <v>173</v>
      </c>
    </row>
    <row r="40" spans="1:5">
      <c r="A40" s="412"/>
      <c r="B40" s="360" t="s">
        <v>378</v>
      </c>
      <c r="C40" s="42" t="s">
        <v>173</v>
      </c>
    </row>
    <row r="41" spans="1:5">
      <c r="A41" s="412"/>
      <c r="B41" s="360" t="s">
        <v>379</v>
      </c>
      <c r="C41" s="42" t="s">
        <v>173</v>
      </c>
    </row>
    <row r="42" spans="1:5">
      <c r="A42" s="412"/>
      <c r="B42" s="360" t="s">
        <v>380</v>
      </c>
      <c r="C42" s="42" t="s">
        <v>39</v>
      </c>
    </row>
    <row r="43" spans="1:5">
      <c r="A43" s="412"/>
      <c r="B43" s="360" t="s">
        <v>174</v>
      </c>
      <c r="C43" s="42" t="s">
        <v>173</v>
      </c>
    </row>
    <row r="44" spans="1:5">
      <c r="A44" s="415" t="s">
        <v>382</v>
      </c>
      <c r="B44" s="413" t="s">
        <v>175</v>
      </c>
      <c r="C44" s="414" t="s">
        <v>173</v>
      </c>
    </row>
    <row r="45" spans="1:5">
      <c r="A45" s="412"/>
      <c r="B45" s="360" t="s">
        <v>172</v>
      </c>
      <c r="C45" s="42" t="s">
        <v>173</v>
      </c>
    </row>
    <row r="46" spans="1:5">
      <c r="A46" s="412"/>
      <c r="B46" s="360" t="s">
        <v>377</v>
      </c>
      <c r="C46" s="42" t="s">
        <v>173</v>
      </c>
    </row>
    <row r="47" spans="1:5">
      <c r="A47" s="412"/>
      <c r="B47" s="360" t="s">
        <v>378</v>
      </c>
      <c r="C47" s="42" t="s">
        <v>173</v>
      </c>
    </row>
    <row r="48" spans="1:5">
      <c r="A48" s="412"/>
      <c r="B48" s="360" t="s">
        <v>379</v>
      </c>
      <c r="C48" s="42" t="s">
        <v>173</v>
      </c>
    </row>
    <row r="49" spans="1:3">
      <c r="A49" s="412"/>
      <c r="B49" s="360" t="s">
        <v>380</v>
      </c>
      <c r="C49" s="42" t="s">
        <v>39</v>
      </c>
    </row>
    <row r="50" spans="1:3">
      <c r="A50" s="412"/>
      <c r="B50" s="360" t="s">
        <v>383</v>
      </c>
      <c r="C50" s="42" t="s">
        <v>173</v>
      </c>
    </row>
    <row r="51" spans="1:3">
      <c r="A51" s="412"/>
      <c r="B51" s="360" t="s">
        <v>174</v>
      </c>
      <c r="C51" s="42" t="s">
        <v>173</v>
      </c>
    </row>
    <row r="52" spans="1:3">
      <c r="A52" s="415" t="s">
        <v>384</v>
      </c>
      <c r="B52" s="413" t="s">
        <v>175</v>
      </c>
      <c r="C52" s="414" t="s">
        <v>173</v>
      </c>
    </row>
    <row r="53" spans="1:3">
      <c r="A53" s="415" t="s">
        <v>385</v>
      </c>
      <c r="B53" s="413" t="s">
        <v>175</v>
      </c>
      <c r="C53" s="414" t="s">
        <v>173</v>
      </c>
    </row>
    <row r="54" spans="1:3">
      <c r="A54" s="412"/>
      <c r="B54" s="360" t="s">
        <v>172</v>
      </c>
      <c r="C54" s="42" t="s">
        <v>173</v>
      </c>
    </row>
    <row r="55" spans="1:3">
      <c r="A55" s="415" t="s">
        <v>386</v>
      </c>
      <c r="B55" s="413" t="s">
        <v>175</v>
      </c>
      <c r="C55" s="414" t="s">
        <v>173</v>
      </c>
    </row>
    <row r="56" spans="1:3">
      <c r="A56" s="412"/>
      <c r="B56" s="360" t="s">
        <v>172</v>
      </c>
      <c r="C56" s="42" t="s">
        <v>173</v>
      </c>
    </row>
    <row r="57" spans="1:3">
      <c r="A57" s="415" t="s">
        <v>387</v>
      </c>
      <c r="B57" s="413" t="s">
        <v>175</v>
      </c>
      <c r="C57" s="414" t="s">
        <v>173</v>
      </c>
    </row>
    <row r="58" spans="1:3">
      <c r="A58" s="412"/>
      <c r="B58" s="360" t="s">
        <v>172</v>
      </c>
      <c r="C58" s="42" t="s">
        <v>173</v>
      </c>
    </row>
    <row r="59" spans="1:3">
      <c r="A59" s="415" t="s">
        <v>388</v>
      </c>
      <c r="B59" s="413" t="s">
        <v>180</v>
      </c>
      <c r="C59" s="414" t="s">
        <v>173</v>
      </c>
    </row>
    <row r="60" spans="1:3">
      <c r="A60" s="412"/>
      <c r="B60" s="360" t="s">
        <v>389</v>
      </c>
      <c r="C60" s="42" t="s">
        <v>173</v>
      </c>
    </row>
    <row r="61" spans="1:3">
      <c r="A61" s="415" t="s">
        <v>390</v>
      </c>
      <c r="B61" s="413" t="s">
        <v>175</v>
      </c>
      <c r="C61" s="414" t="s">
        <v>173</v>
      </c>
    </row>
    <row r="62" spans="1:3">
      <c r="A62" s="412"/>
      <c r="B62" s="360" t="s">
        <v>172</v>
      </c>
      <c r="C62" s="42" t="s">
        <v>173</v>
      </c>
    </row>
    <row r="63" spans="1:3">
      <c r="A63" s="412"/>
      <c r="B63" s="360" t="s">
        <v>391</v>
      </c>
      <c r="C63" s="42" t="s">
        <v>173</v>
      </c>
    </row>
    <row r="64" spans="1:3">
      <c r="A64" s="417" t="s">
        <v>392</v>
      </c>
      <c r="B64" s="413" t="s">
        <v>172</v>
      </c>
      <c r="C64" s="414" t="s">
        <v>173</v>
      </c>
    </row>
    <row r="65" spans="1:3">
      <c r="A65" s="416" t="s">
        <v>264</v>
      </c>
      <c r="B65" s="1054" t="s">
        <v>184</v>
      </c>
      <c r="C65" s="1069"/>
    </row>
    <row r="66" spans="1:3" ht="15" customHeight="1">
      <c r="A66" s="411" t="s">
        <v>393</v>
      </c>
      <c r="B66" s="1055" t="s">
        <v>394</v>
      </c>
      <c r="C66" s="1064"/>
    </row>
  </sheetData>
  <mergeCells count="16">
    <mergeCell ref="B66:C66"/>
    <mergeCell ref="B7:C7"/>
    <mergeCell ref="B8:C8"/>
    <mergeCell ref="B9:C9"/>
    <mergeCell ref="B26:C26"/>
    <mergeCell ref="B65:C65"/>
    <mergeCell ref="B1:C1"/>
    <mergeCell ref="B2:C2"/>
    <mergeCell ref="B3:C3"/>
    <mergeCell ref="B4:C4"/>
    <mergeCell ref="B5:C5"/>
    <mergeCell ref="B6:C6"/>
    <mergeCell ref="B10:C10"/>
    <mergeCell ref="B11:C11"/>
    <mergeCell ref="B25:C25"/>
    <mergeCell ref="B27:C27"/>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tabColor theme="9"/>
  </sheetPr>
  <dimension ref="A1:AC275"/>
  <sheetViews>
    <sheetView showGridLines="0" topLeftCell="A194" workbookViewId="0">
      <selection activeCell="B209" sqref="B209"/>
    </sheetView>
  </sheetViews>
  <sheetFormatPr defaultColWidth="8.81640625" defaultRowHeight="14.5"/>
  <cols>
    <col min="1" max="1" width="8.81640625" style="265"/>
    <col min="2" max="2" width="28" bestFit="1" customWidth="1"/>
    <col min="3" max="3" width="19.453125" bestFit="1" customWidth="1"/>
    <col min="4" max="4" width="10.7265625" customWidth="1"/>
    <col min="5" max="5" width="10.453125" customWidth="1"/>
    <col min="6" max="6" width="9.7265625" customWidth="1"/>
    <col min="7" max="7" width="9" customWidth="1"/>
    <col min="8" max="8" width="10" customWidth="1"/>
    <col min="9" max="9" width="10.453125" customWidth="1"/>
    <col min="10" max="10" width="15" customWidth="1"/>
    <col min="11" max="11" width="23.453125" customWidth="1"/>
    <col min="12" max="12" width="10.453125" customWidth="1"/>
    <col min="13" max="13" width="12.453125" customWidth="1"/>
    <col min="14" max="14" width="10.7265625" customWidth="1"/>
    <col min="15" max="15" width="10.453125" customWidth="1"/>
    <col min="16" max="16" width="6.7265625" bestFit="1" customWidth="1"/>
    <col min="18" max="18" width="13" customWidth="1"/>
    <col min="19" max="19" width="12" bestFit="1" customWidth="1"/>
    <col min="20" max="20" width="23.7265625" customWidth="1"/>
    <col min="21" max="21" width="10.1796875" customWidth="1"/>
    <col min="22" max="22" width="11" customWidth="1"/>
    <col min="23" max="24" width="9.81640625" customWidth="1"/>
    <col min="26" max="26" width="10.26953125" customWidth="1"/>
    <col min="29" max="29" width="8.81640625" style="308"/>
    <col min="30" max="16384" width="8.81640625" style="109"/>
  </cols>
  <sheetData>
    <row r="1" spans="1:17" s="109" customFormat="1" ht="38.25" customHeight="1" thickBot="1">
      <c r="A1" s="488" t="s">
        <v>395</v>
      </c>
      <c r="B1" s="483"/>
      <c r="C1" s="483"/>
      <c r="D1" s="483"/>
      <c r="E1" s="483"/>
      <c r="F1" s="483"/>
      <c r="G1" s="483"/>
      <c r="H1" s="483"/>
      <c r="I1" s="483"/>
      <c r="J1" s="483"/>
      <c r="K1" s="483"/>
      <c r="L1" s="483"/>
      <c r="M1" s="483"/>
      <c r="N1" s="483"/>
      <c r="O1" s="483"/>
      <c r="P1" s="483"/>
      <c r="Q1" s="308"/>
    </row>
    <row r="2" spans="1:17" s="109" customFormat="1">
      <c r="A2" s="268" t="s">
        <v>235</v>
      </c>
      <c r="B2"/>
      <c r="C2"/>
      <c r="D2"/>
      <c r="E2"/>
      <c r="F2"/>
      <c r="G2"/>
      <c r="H2"/>
      <c r="I2"/>
      <c r="J2"/>
      <c r="K2"/>
      <c r="L2"/>
      <c r="M2"/>
      <c r="N2"/>
      <c r="O2"/>
      <c r="P2"/>
      <c r="Q2" s="308"/>
    </row>
    <row r="3" spans="1:17" s="109" customFormat="1">
      <c r="A3" s="292" t="s">
        <v>396</v>
      </c>
      <c r="B3" s="178"/>
      <c r="C3"/>
      <c r="D3"/>
      <c r="E3"/>
      <c r="F3"/>
      <c r="G3"/>
      <c r="H3"/>
      <c r="I3"/>
      <c r="J3"/>
      <c r="K3"/>
      <c r="L3"/>
      <c r="M3"/>
      <c r="N3"/>
      <c r="O3"/>
      <c r="P3"/>
      <c r="Q3" s="308"/>
    </row>
    <row r="4" spans="1:17" s="109" customFormat="1">
      <c r="A4" s="293" t="s">
        <v>397</v>
      </c>
      <c r="B4" s="178"/>
      <c r="C4"/>
      <c r="D4"/>
      <c r="E4"/>
      <c r="F4"/>
      <c r="G4"/>
      <c r="H4"/>
      <c r="I4"/>
      <c r="J4"/>
      <c r="K4"/>
      <c r="L4"/>
      <c r="M4"/>
      <c r="N4"/>
      <c r="O4"/>
      <c r="P4"/>
      <c r="Q4" s="308"/>
    </row>
    <row r="5" spans="1:17" s="109" customFormat="1">
      <c r="A5" s="293" t="s">
        <v>250</v>
      </c>
      <c r="B5" s="178"/>
      <c r="C5"/>
      <c r="D5"/>
      <c r="E5"/>
      <c r="F5"/>
      <c r="G5"/>
      <c r="H5"/>
      <c r="I5"/>
      <c r="J5"/>
      <c r="K5"/>
      <c r="L5"/>
      <c r="M5"/>
      <c r="N5"/>
      <c r="O5"/>
      <c r="P5"/>
      <c r="Q5" s="308"/>
    </row>
    <row r="6" spans="1:17" s="109" customFormat="1" ht="16.5">
      <c r="A6" s="292" t="s">
        <v>398</v>
      </c>
      <c r="B6" s="178"/>
      <c r="C6"/>
      <c r="D6"/>
      <c r="E6"/>
      <c r="F6"/>
      <c r="G6"/>
      <c r="H6"/>
      <c r="I6"/>
      <c r="J6"/>
      <c r="K6"/>
      <c r="L6"/>
      <c r="M6"/>
      <c r="N6"/>
      <c r="O6"/>
      <c r="P6"/>
      <c r="Q6" s="308"/>
    </row>
    <row r="7" spans="1:17" s="109" customFormat="1" ht="16.5">
      <c r="A7" s="293" t="s">
        <v>399</v>
      </c>
      <c r="B7" s="178"/>
      <c r="C7"/>
      <c r="D7"/>
      <c r="E7"/>
      <c r="F7"/>
      <c r="G7"/>
      <c r="H7"/>
      <c r="I7"/>
      <c r="J7"/>
      <c r="K7"/>
      <c r="L7"/>
      <c r="M7"/>
      <c r="N7"/>
      <c r="O7"/>
      <c r="P7"/>
      <c r="Q7" s="308"/>
    </row>
    <row r="8" spans="1:17" s="109" customFormat="1" ht="16.5">
      <c r="A8" s="293" t="s">
        <v>400</v>
      </c>
      <c r="B8" s="178"/>
      <c r="C8"/>
      <c r="D8"/>
      <c r="E8"/>
      <c r="F8"/>
      <c r="G8"/>
      <c r="H8"/>
      <c r="I8"/>
      <c r="J8"/>
      <c r="K8"/>
      <c r="L8"/>
      <c r="M8"/>
      <c r="N8"/>
      <c r="O8"/>
      <c r="P8"/>
      <c r="Q8" s="308"/>
    </row>
    <row r="9" spans="1:17" s="109" customFormat="1" ht="16.5">
      <c r="A9" s="293" t="s">
        <v>401</v>
      </c>
      <c r="B9" s="178"/>
      <c r="C9"/>
      <c r="D9"/>
      <c r="E9"/>
      <c r="F9"/>
      <c r="G9"/>
      <c r="H9"/>
      <c r="I9"/>
      <c r="J9"/>
      <c r="K9"/>
      <c r="L9"/>
      <c r="M9"/>
      <c r="N9"/>
      <c r="O9"/>
      <c r="P9"/>
      <c r="Q9" s="308"/>
    </row>
    <row r="10" spans="1:17" s="109" customFormat="1" ht="16.5">
      <c r="A10" s="292" t="s">
        <v>402</v>
      </c>
      <c r="B10" s="178"/>
      <c r="C10" s="235"/>
      <c r="D10"/>
      <c r="E10"/>
      <c r="F10"/>
      <c r="G10"/>
      <c r="H10"/>
      <c r="I10"/>
      <c r="J10"/>
      <c r="K10"/>
      <c r="L10"/>
      <c r="M10"/>
      <c r="N10"/>
      <c r="O10"/>
      <c r="P10"/>
      <c r="Q10" s="308"/>
    </row>
    <row r="11" spans="1:17" s="109" customFormat="1">
      <c r="A11" s="293" t="s">
        <v>403</v>
      </c>
      <c r="B11" s="178"/>
      <c r="C11" s="235"/>
      <c r="D11"/>
      <c r="E11"/>
      <c r="F11"/>
      <c r="G11"/>
      <c r="H11"/>
      <c r="I11"/>
      <c r="J11"/>
      <c r="K11"/>
      <c r="L11"/>
      <c r="M11"/>
      <c r="N11"/>
      <c r="O11"/>
      <c r="P11"/>
      <c r="Q11" s="308"/>
    </row>
    <row r="12" spans="1:17" s="109" customFormat="1">
      <c r="A12" s="293" t="s">
        <v>404</v>
      </c>
      <c r="B12" s="178"/>
      <c r="C12" s="235"/>
      <c r="D12"/>
      <c r="E12"/>
      <c r="F12"/>
      <c r="G12"/>
      <c r="H12"/>
      <c r="I12"/>
      <c r="J12"/>
      <c r="K12"/>
      <c r="L12"/>
      <c r="M12"/>
      <c r="N12"/>
      <c r="O12"/>
      <c r="P12"/>
      <c r="Q12" s="308"/>
    </row>
    <row r="13" spans="1:17" s="109" customFormat="1">
      <c r="A13" s="293" t="s">
        <v>405</v>
      </c>
      <c r="B13" s="178"/>
      <c r="C13" s="235"/>
      <c r="D13"/>
      <c r="E13"/>
      <c r="F13"/>
      <c r="G13"/>
      <c r="H13"/>
      <c r="I13"/>
      <c r="J13"/>
      <c r="K13"/>
      <c r="L13"/>
      <c r="M13"/>
      <c r="N13"/>
      <c r="O13"/>
      <c r="P13"/>
      <c r="Q13" s="308"/>
    </row>
    <row r="14" spans="1:17" s="109" customFormat="1" ht="16.5">
      <c r="A14" s="293" t="s">
        <v>1224</v>
      </c>
      <c r="B14"/>
      <c r="C14"/>
      <c r="D14"/>
      <c r="E14"/>
      <c r="F14"/>
      <c r="G14"/>
      <c r="H14"/>
      <c r="I14"/>
      <c r="J14"/>
      <c r="K14"/>
      <c r="L14"/>
      <c r="M14"/>
      <c r="N14"/>
      <c r="O14"/>
      <c r="P14"/>
      <c r="Q14" s="308"/>
    </row>
    <row r="15" spans="1:17" s="109" customFormat="1" ht="17" thickBot="1">
      <c r="A15" s="306" t="s">
        <v>1225</v>
      </c>
      <c r="B15" s="177"/>
      <c r="C15" s="177"/>
      <c r="D15" s="177"/>
      <c r="E15" s="177"/>
      <c r="F15" s="177"/>
      <c r="G15" s="177"/>
      <c r="H15" s="177"/>
      <c r="I15" s="177"/>
      <c r="J15" s="177"/>
      <c r="K15" s="177"/>
      <c r="L15" s="177"/>
      <c r="M15" s="177"/>
      <c r="N15" s="177"/>
      <c r="O15" s="177"/>
      <c r="P15" s="177"/>
      <c r="Q15" s="308"/>
    </row>
    <row r="16" spans="1:17" s="109" customFormat="1" ht="15" thickTop="1">
      <c r="A16" s="286"/>
      <c r="B16"/>
      <c r="C16"/>
      <c r="D16"/>
      <c r="E16"/>
      <c r="F16"/>
      <c r="G16"/>
      <c r="H16"/>
      <c r="I16"/>
      <c r="J16"/>
      <c r="K16"/>
      <c r="L16"/>
      <c r="M16"/>
      <c r="N16"/>
      <c r="O16"/>
      <c r="P16"/>
      <c r="Q16" s="308"/>
    </row>
    <row r="17" spans="1:17" s="109" customFormat="1" ht="18.5">
      <c r="A17" s="283" t="s">
        <v>396</v>
      </c>
      <c r="B17"/>
      <c r="C17"/>
      <c r="D17"/>
      <c r="E17"/>
      <c r="F17"/>
      <c r="G17"/>
      <c r="H17"/>
      <c r="I17"/>
      <c r="J17"/>
      <c r="K17"/>
      <c r="L17"/>
      <c r="M17"/>
      <c r="N17"/>
      <c r="O17"/>
      <c r="P17"/>
      <c r="Q17" s="308"/>
    </row>
    <row r="18" spans="1:17" s="109" customFormat="1">
      <c r="A18" s="265"/>
      <c r="B18"/>
      <c r="C18"/>
      <c r="D18"/>
      <c r="E18"/>
      <c r="F18"/>
      <c r="G18"/>
      <c r="H18"/>
      <c r="I18"/>
      <c r="J18"/>
      <c r="K18"/>
      <c r="L18"/>
      <c r="M18"/>
      <c r="N18"/>
      <c r="O18"/>
      <c r="P18"/>
      <c r="Q18" s="308"/>
    </row>
    <row r="19" spans="1:17" s="109" customFormat="1">
      <c r="A19" s="268" t="s">
        <v>406</v>
      </c>
      <c r="B19"/>
      <c r="C19"/>
      <c r="D19"/>
      <c r="E19"/>
      <c r="F19"/>
      <c r="G19"/>
      <c r="H19"/>
      <c r="I19"/>
      <c r="J19"/>
      <c r="K19"/>
      <c r="L19"/>
      <c r="M19"/>
      <c r="N19"/>
      <c r="O19"/>
      <c r="P19"/>
      <c r="Q19" s="308"/>
    </row>
    <row r="20" spans="1:17" s="109" customFormat="1" ht="16.5">
      <c r="A20" s="286" t="s">
        <v>407</v>
      </c>
      <c r="B20"/>
      <c r="C20"/>
      <c r="D20"/>
      <c r="E20"/>
      <c r="F20"/>
      <c r="G20"/>
      <c r="H20"/>
      <c r="I20"/>
      <c r="J20"/>
      <c r="K20"/>
      <c r="L20"/>
      <c r="M20"/>
      <c r="N20"/>
      <c r="O20"/>
      <c r="P20"/>
      <c r="Q20" s="308"/>
    </row>
    <row r="21" spans="1:17" s="109" customFormat="1" ht="29">
      <c r="A21" s="265"/>
      <c r="B21" s="860"/>
      <c r="C21" s="96" t="s">
        <v>175</v>
      </c>
      <c r="D21" s="96" t="s">
        <v>172</v>
      </c>
      <c r="E21" s="96" t="s">
        <v>377</v>
      </c>
      <c r="F21" s="96" t="s">
        <v>378</v>
      </c>
      <c r="G21" s="96" t="s">
        <v>408</v>
      </c>
      <c r="H21" s="96" t="s">
        <v>380</v>
      </c>
      <c r="I21" s="96" t="s">
        <v>383</v>
      </c>
      <c r="J21" s="96" t="s">
        <v>174</v>
      </c>
      <c r="K21" s="96" t="s">
        <v>391</v>
      </c>
      <c r="L21" s="96" t="s">
        <v>180</v>
      </c>
      <c r="M21" s="103" t="s">
        <v>389</v>
      </c>
      <c r="N21"/>
      <c r="O21"/>
      <c r="P21"/>
      <c r="Q21" s="308"/>
    </row>
    <row r="22" spans="1:17" s="109" customFormat="1">
      <c r="A22" s="265"/>
      <c r="B22" s="860" t="s">
        <v>409</v>
      </c>
      <c r="C22" s="96" t="s">
        <v>410</v>
      </c>
      <c r="D22" s="96" t="s">
        <v>410</v>
      </c>
      <c r="E22" s="96" t="s">
        <v>410</v>
      </c>
      <c r="F22" s="96" t="s">
        <v>410</v>
      </c>
      <c r="G22" s="96" t="s">
        <v>410</v>
      </c>
      <c r="H22" s="96" t="s">
        <v>39</v>
      </c>
      <c r="I22" s="96" t="s">
        <v>410</v>
      </c>
      <c r="J22" s="96" t="s">
        <v>410</v>
      </c>
      <c r="K22" s="96" t="s">
        <v>410</v>
      </c>
      <c r="L22" s="96" t="s">
        <v>410</v>
      </c>
      <c r="M22" s="103" t="s">
        <v>410</v>
      </c>
      <c r="N22"/>
      <c r="O22"/>
      <c r="P22"/>
      <c r="Q22" s="308"/>
    </row>
    <row r="23" spans="1:17" s="109" customFormat="1">
      <c r="A23" s="284" t="s">
        <v>101</v>
      </c>
      <c r="B23" s="99" t="str">
        <f>'Background Controls'!I5</f>
        <v>Residential</v>
      </c>
      <c r="C23" s="137">
        <f>SUMIFS('Mobile-Data'!$H$9:$H$1048576,'Mobile-Data'!$C$9:$C$1048576,'Mobile-Detail Calcs'!$B23,'Mobile-Data'!$G$9:$G$1048576,'Mobile-Detail Calcs'!C$21)</f>
        <v>0</v>
      </c>
      <c r="D23" s="137">
        <f>SUMIFS('Mobile-Data'!$H$9:$H$1048576,'Mobile-Data'!$C$9:$C$1048576,'Mobile-Detail Calcs'!$B23,'Mobile-Data'!$G$9:$G$1048576,'Mobile-Detail Calcs'!D$21)</f>
        <v>0</v>
      </c>
      <c r="E23" s="137">
        <f>SUMIFS('Mobile-Data'!$H$9:$H$1048576,'Mobile-Data'!$C$9:$C$1048576,'Mobile-Detail Calcs'!$B23,'Mobile-Data'!$G$9:$G$1048576,'Mobile-Detail Calcs'!E$21)</f>
        <v>0</v>
      </c>
      <c r="F23" s="137">
        <f>SUMIFS('Mobile-Data'!$H$9:$H$1048576,'Mobile-Data'!$C$9:$C$1048576,'Mobile-Detail Calcs'!$B23,'Mobile-Data'!$G$9:$G$1048576,'Mobile-Detail Calcs'!F$21)</f>
        <v>0</v>
      </c>
      <c r="G23" s="137">
        <f>SUMIFS('Mobile-Data'!$H$9:$H$1048576,'Mobile-Data'!$C$9:$C$1048576,'Mobile-Detail Calcs'!$B23,'Mobile-Data'!$G$9:$G$1048576,'Mobile-Detail Calcs'!G$21)</f>
        <v>0</v>
      </c>
      <c r="H23" s="137">
        <f>SUMIFS('Mobile-Data'!$H$9:$H$1048576,'Mobile-Data'!$C$9:$C$1048576,'Mobile-Detail Calcs'!$B23,'Mobile-Data'!$G$9:$G$1048576,'Mobile-Detail Calcs'!H$21)</f>
        <v>0</v>
      </c>
      <c r="I23" s="137">
        <f>SUMIFS('Mobile-Data'!$H$9:$H$1048576,'Mobile-Data'!$C$9:$C$1048576,'Mobile-Detail Calcs'!$B23,'Mobile-Data'!$G$9:$G$1048576,'Mobile-Detail Calcs'!I$21)</f>
        <v>0</v>
      </c>
      <c r="J23" s="137">
        <f>SUMIFS('Mobile-Data'!$H$9:$H$1048576,'Mobile-Data'!$C$9:$C$1048576,'Mobile-Detail Calcs'!$B23,'Mobile-Data'!$G$9:$G$1048576,'Mobile-Detail Calcs'!J$21)</f>
        <v>0</v>
      </c>
      <c r="K23" s="137">
        <f>SUMIFS('Mobile-Data'!$H$9:$H$1048576,'Mobile-Data'!$C$9:$C$1048576,'Mobile-Detail Calcs'!$B23,'Mobile-Data'!$G$9:$G$1048576,'Mobile-Detail Calcs'!K$21)</f>
        <v>0</v>
      </c>
      <c r="L23" s="137">
        <f>SUMIFS('Mobile-Data'!$H$9:$H$1048576,'Mobile-Data'!$C$9:$C$1048576,'Mobile-Detail Calcs'!$B23,'Mobile-Data'!$G$9:$G$1048576,'Mobile-Detail Calcs'!L$21)</f>
        <v>0</v>
      </c>
      <c r="M23" s="172">
        <f>SUMIFS('Mobile-Data'!$H$9:$H$1048576,'Mobile-Data'!$C$9:$C$1048576,'Mobile-Detail Calcs'!$B23,'Mobile-Data'!$G$9:$G$1048576,'Mobile-Detail Calcs'!M$21)</f>
        <v>0</v>
      </c>
      <c r="N23"/>
      <c r="O23"/>
      <c r="P23"/>
      <c r="Q23" s="308"/>
    </row>
    <row r="24" spans="1:17" s="109" customFormat="1">
      <c r="A24" s="265"/>
      <c r="B24" s="99" t="str">
        <f>'Background Controls'!I6</f>
        <v>Commercial/Institutional</v>
      </c>
      <c r="C24" s="137">
        <f>SUMIFS('Mobile-Data'!$H$9:$H$1048576,'Mobile-Data'!$C$9:$C$1048576,'Mobile-Detail Calcs'!$B24,'Mobile-Data'!$G$9:$G$1048576,'Mobile-Detail Calcs'!C$21)</f>
        <v>0</v>
      </c>
      <c r="D24" s="137">
        <f>SUMIFS('Mobile-Data'!$H$9:$H$1048576,'Mobile-Data'!$C$9:$C$1048576,'Mobile-Detail Calcs'!$B24,'Mobile-Data'!$G$9:$G$1048576,'Mobile-Detail Calcs'!D$21)</f>
        <v>0</v>
      </c>
      <c r="E24" s="137">
        <f>SUMIFS('Mobile-Data'!$H$9:$H$1048576,'Mobile-Data'!$C$9:$C$1048576,'Mobile-Detail Calcs'!$B24,'Mobile-Data'!$G$9:$G$1048576,'Mobile-Detail Calcs'!E$21)</f>
        <v>0</v>
      </c>
      <c r="F24" s="137">
        <f>SUMIFS('Mobile-Data'!$H$9:$H$1048576,'Mobile-Data'!$C$9:$C$1048576,'Mobile-Detail Calcs'!$B24,'Mobile-Data'!$G$9:$G$1048576,'Mobile-Detail Calcs'!F$21)</f>
        <v>0</v>
      </c>
      <c r="G24" s="137">
        <f>SUMIFS('Mobile-Data'!$H$9:$H$1048576,'Mobile-Data'!$C$9:$C$1048576,'Mobile-Detail Calcs'!$B24,'Mobile-Data'!$G$9:$G$1048576,'Mobile-Detail Calcs'!G$21)</f>
        <v>0</v>
      </c>
      <c r="H24" s="137">
        <f>SUMIFS('Mobile-Data'!$H$9:$H$1048576,'Mobile-Data'!$C$9:$C$1048576,'Mobile-Detail Calcs'!$B24,'Mobile-Data'!$G$9:$G$1048576,'Mobile-Detail Calcs'!H$21)</f>
        <v>0</v>
      </c>
      <c r="I24" s="137">
        <f>SUMIFS('Mobile-Data'!$H$9:$H$1048576,'Mobile-Data'!$C$9:$C$1048576,'Mobile-Detail Calcs'!$B24,'Mobile-Data'!$G$9:$G$1048576,'Mobile-Detail Calcs'!I$21)</f>
        <v>0</v>
      </c>
      <c r="J24" s="137">
        <f>SUMIFS('Mobile-Data'!$H$9:$H$1048576,'Mobile-Data'!$C$9:$C$1048576,'Mobile-Detail Calcs'!$B24,'Mobile-Data'!$G$9:$G$1048576,'Mobile-Detail Calcs'!J$21)</f>
        <v>0</v>
      </c>
      <c r="K24" s="137">
        <f>SUMIFS('Mobile-Data'!$H$9:$H$1048576,'Mobile-Data'!$C$9:$C$1048576,'Mobile-Detail Calcs'!$B24,'Mobile-Data'!$G$9:$G$1048576,'Mobile-Detail Calcs'!K$21)</f>
        <v>0</v>
      </c>
      <c r="L24" s="137">
        <f>SUMIFS('Mobile-Data'!$H$9:$H$1048576,'Mobile-Data'!$C$9:$C$1048576,'Mobile-Detail Calcs'!$B24,'Mobile-Data'!$G$9:$G$1048576,'Mobile-Detail Calcs'!L$21)</f>
        <v>0</v>
      </c>
      <c r="M24" s="172">
        <f>SUMIFS('Mobile-Data'!$H$9:$H$1048576,'Mobile-Data'!$C$9:$C$1048576,'Mobile-Detail Calcs'!$B24,'Mobile-Data'!$G$9:$G$1048576,'Mobile-Detail Calcs'!M$21)</f>
        <v>0</v>
      </c>
      <c r="N24"/>
      <c r="O24"/>
      <c r="P24"/>
      <c r="Q24" s="308"/>
    </row>
    <row r="25" spans="1:17" s="109" customFormat="1">
      <c r="A25" s="265"/>
      <c r="B25" s="99" t="str">
        <f>'Background Controls'!I7</f>
        <v>Industrial</v>
      </c>
      <c r="C25" s="137">
        <f>SUMIFS('Mobile-Data'!$H$9:$H$1048576,'Mobile-Data'!$C$9:$C$1048576,'Mobile-Detail Calcs'!$B25,'Mobile-Data'!$G$9:$G$1048576,'Mobile-Detail Calcs'!C$21)</f>
        <v>0</v>
      </c>
      <c r="D25" s="137">
        <f>SUMIFS('Mobile-Data'!$H$9:$H$1048576,'Mobile-Data'!$C$9:$C$1048576,'Mobile-Detail Calcs'!$B25,'Mobile-Data'!$G$9:$G$1048576,'Mobile-Detail Calcs'!D$21)</f>
        <v>0</v>
      </c>
      <c r="E25" s="137">
        <f>SUMIFS('Mobile-Data'!$H$9:$H$1048576,'Mobile-Data'!$C$9:$C$1048576,'Mobile-Detail Calcs'!$B25,'Mobile-Data'!$G$9:$G$1048576,'Mobile-Detail Calcs'!E$21)</f>
        <v>0</v>
      </c>
      <c r="F25" s="137">
        <f>SUMIFS('Mobile-Data'!$H$9:$H$1048576,'Mobile-Data'!$C$9:$C$1048576,'Mobile-Detail Calcs'!$B25,'Mobile-Data'!$G$9:$G$1048576,'Mobile-Detail Calcs'!F$21)</f>
        <v>0</v>
      </c>
      <c r="G25" s="137">
        <f>SUMIFS('Mobile-Data'!$H$9:$H$1048576,'Mobile-Data'!$C$9:$C$1048576,'Mobile-Detail Calcs'!$B25,'Mobile-Data'!$G$9:$G$1048576,'Mobile-Detail Calcs'!G$21)</f>
        <v>0</v>
      </c>
      <c r="H25" s="137">
        <f>SUMIFS('Mobile-Data'!$H$9:$H$1048576,'Mobile-Data'!$C$9:$C$1048576,'Mobile-Detail Calcs'!$B25,'Mobile-Data'!$G$9:$G$1048576,'Mobile-Detail Calcs'!H$21)</f>
        <v>0</v>
      </c>
      <c r="I25" s="137">
        <f>SUMIFS('Mobile-Data'!$H$9:$H$1048576,'Mobile-Data'!$C$9:$C$1048576,'Mobile-Detail Calcs'!$B25,'Mobile-Data'!$G$9:$G$1048576,'Mobile-Detail Calcs'!I$21)</f>
        <v>0</v>
      </c>
      <c r="J25" s="137">
        <f>SUMIFS('Mobile-Data'!$H$9:$H$1048576,'Mobile-Data'!$C$9:$C$1048576,'Mobile-Detail Calcs'!$B25,'Mobile-Data'!$G$9:$G$1048576,'Mobile-Detail Calcs'!J$21)</f>
        <v>0</v>
      </c>
      <c r="K25" s="137">
        <f>SUMIFS('Mobile-Data'!$H$9:$H$1048576,'Mobile-Data'!$C$9:$C$1048576,'Mobile-Detail Calcs'!$B25,'Mobile-Data'!$G$9:$G$1048576,'Mobile-Detail Calcs'!K$21)</f>
        <v>0</v>
      </c>
      <c r="L25" s="137">
        <f>SUMIFS('Mobile-Data'!$H$9:$H$1048576,'Mobile-Data'!$C$9:$C$1048576,'Mobile-Detail Calcs'!$B25,'Mobile-Data'!$G$9:$G$1048576,'Mobile-Detail Calcs'!L$21)</f>
        <v>0</v>
      </c>
      <c r="M25" s="172">
        <f>SUMIFS('Mobile-Data'!$H$9:$H$1048576,'Mobile-Data'!$C$9:$C$1048576,'Mobile-Detail Calcs'!$B25,'Mobile-Data'!$G$9:$G$1048576,'Mobile-Detail Calcs'!M$21)</f>
        <v>0</v>
      </c>
      <c r="N25"/>
      <c r="O25"/>
      <c r="P25"/>
      <c r="Q25" s="308"/>
    </row>
    <row r="26" spans="1:17" s="109" customFormat="1">
      <c r="A26" s="265"/>
      <c r="B26" s="99" t="str">
        <f>'Background Controls'!I8</f>
        <v>Energy Generation</v>
      </c>
      <c r="C26" s="137">
        <f>SUMIFS('Mobile-Data'!$H$9:$H$1048576,'Mobile-Data'!$C$9:$C$1048576,'Mobile-Detail Calcs'!$B26,'Mobile-Data'!$G$9:$G$1048576,'Mobile-Detail Calcs'!C$21)</f>
        <v>0</v>
      </c>
      <c r="D26" s="137">
        <f>SUMIFS('Mobile-Data'!$H$9:$H$1048576,'Mobile-Data'!$C$9:$C$1048576,'Mobile-Detail Calcs'!$B26,'Mobile-Data'!$G$9:$G$1048576,'Mobile-Detail Calcs'!D$21)</f>
        <v>0</v>
      </c>
      <c r="E26" s="137">
        <f>SUMIFS('Mobile-Data'!$H$9:$H$1048576,'Mobile-Data'!$C$9:$C$1048576,'Mobile-Detail Calcs'!$B26,'Mobile-Data'!$G$9:$G$1048576,'Mobile-Detail Calcs'!E$21)</f>
        <v>0</v>
      </c>
      <c r="F26" s="137">
        <f>SUMIFS('Mobile-Data'!$H$9:$H$1048576,'Mobile-Data'!$C$9:$C$1048576,'Mobile-Detail Calcs'!$B26,'Mobile-Data'!$G$9:$G$1048576,'Mobile-Detail Calcs'!F$21)</f>
        <v>0</v>
      </c>
      <c r="G26" s="137">
        <f>SUMIFS('Mobile-Data'!$H$9:$H$1048576,'Mobile-Data'!$C$9:$C$1048576,'Mobile-Detail Calcs'!$B26,'Mobile-Data'!$G$9:$G$1048576,'Mobile-Detail Calcs'!G$21)</f>
        <v>0</v>
      </c>
      <c r="H26" s="137">
        <f>SUMIFS('Mobile-Data'!$H$9:$H$1048576,'Mobile-Data'!$C$9:$C$1048576,'Mobile-Detail Calcs'!$B26,'Mobile-Data'!$G$9:$G$1048576,'Mobile-Detail Calcs'!H$21)</f>
        <v>0</v>
      </c>
      <c r="I26" s="137">
        <f>SUMIFS('Mobile-Data'!$H$9:$H$1048576,'Mobile-Data'!$C$9:$C$1048576,'Mobile-Detail Calcs'!$B26,'Mobile-Data'!$G$9:$G$1048576,'Mobile-Detail Calcs'!I$21)</f>
        <v>0</v>
      </c>
      <c r="J26" s="137">
        <f>SUMIFS('Mobile-Data'!$H$9:$H$1048576,'Mobile-Data'!$C$9:$C$1048576,'Mobile-Detail Calcs'!$B26,'Mobile-Data'!$G$9:$G$1048576,'Mobile-Detail Calcs'!J$21)</f>
        <v>0</v>
      </c>
      <c r="K26" s="137">
        <f>SUMIFS('Mobile-Data'!$H$9:$H$1048576,'Mobile-Data'!$C$9:$C$1048576,'Mobile-Detail Calcs'!$B26,'Mobile-Data'!$G$9:$G$1048576,'Mobile-Detail Calcs'!K$21)</f>
        <v>0</v>
      </c>
      <c r="L26" s="137">
        <f>SUMIFS('Mobile-Data'!$H$9:$H$1048576,'Mobile-Data'!$C$9:$C$1048576,'Mobile-Detail Calcs'!$B26,'Mobile-Data'!$G$9:$G$1048576,'Mobile-Detail Calcs'!L$21)</f>
        <v>0</v>
      </c>
      <c r="M26" s="172">
        <f>SUMIFS('Mobile-Data'!$H$9:$H$1048576,'Mobile-Data'!$C$9:$C$1048576,'Mobile-Detail Calcs'!$B26,'Mobile-Data'!$G$9:$G$1048576,'Mobile-Detail Calcs'!M$21)</f>
        <v>0</v>
      </c>
      <c r="N26"/>
      <c r="O26"/>
      <c r="P26"/>
      <c r="Q26" s="308"/>
    </row>
    <row r="27" spans="1:17" s="109" customFormat="1" hidden="1">
      <c r="A27" s="265"/>
      <c r="B27" s="99">
        <f>'Background Controls'!I9</f>
        <v>0</v>
      </c>
      <c r="C27" s="137">
        <f>SUMIFS('Mobile-Data'!$H$9:$H$1048576,'Mobile-Data'!$C$9:$C$1048576,'Mobile-Detail Calcs'!$B27,'Mobile-Data'!$G$9:$G$1048576,'Mobile-Detail Calcs'!C$21)</f>
        <v>0</v>
      </c>
      <c r="D27" s="137">
        <f>SUMIFS('Mobile-Data'!$H$9:$H$1048576,'Mobile-Data'!$C$9:$C$1048576,'Mobile-Detail Calcs'!$B27,'Mobile-Data'!$G$9:$G$1048576,'Mobile-Detail Calcs'!D$21)</f>
        <v>0</v>
      </c>
      <c r="E27" s="137">
        <f>SUMIFS('Mobile-Data'!$H$9:$H$1048576,'Mobile-Data'!$C$9:$C$1048576,'Mobile-Detail Calcs'!$B27,'Mobile-Data'!$G$9:$G$1048576,'Mobile-Detail Calcs'!E$21)</f>
        <v>0</v>
      </c>
      <c r="F27" s="137">
        <f>SUMIFS('Mobile-Data'!$H$9:$H$1048576,'Mobile-Data'!$C$9:$C$1048576,'Mobile-Detail Calcs'!$B27,'Mobile-Data'!$G$9:$G$1048576,'Mobile-Detail Calcs'!F$21)</f>
        <v>0</v>
      </c>
      <c r="G27" s="137">
        <f>SUMIFS('Mobile-Data'!$H$9:$H$1048576,'Mobile-Data'!$C$9:$C$1048576,'Mobile-Detail Calcs'!$B27,'Mobile-Data'!$G$9:$G$1048576,'Mobile-Detail Calcs'!G$21)</f>
        <v>0</v>
      </c>
      <c r="H27" s="137">
        <f>SUMIFS('Mobile-Data'!$H$9:$H$1048576,'Mobile-Data'!$C$9:$C$1048576,'Mobile-Detail Calcs'!$B27,'Mobile-Data'!$G$9:$G$1048576,'Mobile-Detail Calcs'!H$21)</f>
        <v>0</v>
      </c>
      <c r="I27" s="137">
        <f>SUMIFS('Mobile-Data'!$H$9:$H$1048576,'Mobile-Data'!$C$9:$C$1048576,'Mobile-Detail Calcs'!$B27,'Mobile-Data'!$G$9:$G$1048576,'Mobile-Detail Calcs'!I$21)</f>
        <v>0</v>
      </c>
      <c r="J27" s="137">
        <f>SUMIFS('Mobile-Data'!$H$9:$H$1048576,'Mobile-Data'!$C$9:$C$1048576,'Mobile-Detail Calcs'!$B27,'Mobile-Data'!$G$9:$G$1048576,'Mobile-Detail Calcs'!J$21)</f>
        <v>0</v>
      </c>
      <c r="K27" s="137">
        <f>SUMIFS('Mobile-Data'!$H$9:$H$1048576,'Mobile-Data'!$C$9:$C$1048576,'Mobile-Detail Calcs'!$B27,'Mobile-Data'!$G$9:$G$1048576,'Mobile-Detail Calcs'!K$21)</f>
        <v>0</v>
      </c>
      <c r="L27" s="137">
        <f>SUMIFS('Mobile-Data'!$H$9:$H$1048576,'Mobile-Data'!$C$9:$C$1048576,'Mobile-Detail Calcs'!$B27,'Mobile-Data'!$G$9:$G$1048576,'Mobile-Detail Calcs'!L$21)</f>
        <v>0</v>
      </c>
      <c r="M27" s="172">
        <f>SUMIFS('Mobile-Data'!$H$9:$H$1048576,'Mobile-Data'!$C$9:$C$1048576,'Mobile-Detail Calcs'!$B27,'Mobile-Data'!$G$9:$G$1048576,'Mobile-Detail Calcs'!M$21)</f>
        <v>0</v>
      </c>
      <c r="N27"/>
      <c r="O27"/>
      <c r="P27"/>
      <c r="Q27" s="308"/>
    </row>
    <row r="28" spans="1:17" s="109" customFormat="1" hidden="1">
      <c r="A28" s="265"/>
      <c r="B28" s="99">
        <f>'Background Controls'!I10</f>
        <v>0</v>
      </c>
      <c r="C28" s="137">
        <f>SUMIFS('Mobile-Data'!$H$9:$H$1048576,'Mobile-Data'!$C$9:$C$1048576,'Mobile-Detail Calcs'!$B28,'Mobile-Data'!$G$9:$G$1048576,'Mobile-Detail Calcs'!C$21)</f>
        <v>0</v>
      </c>
      <c r="D28" s="137">
        <f>SUMIFS('Mobile-Data'!$H$9:$H$1048576,'Mobile-Data'!$C$9:$C$1048576,'Mobile-Detail Calcs'!$B28,'Mobile-Data'!$G$9:$G$1048576,'Mobile-Detail Calcs'!D$21)</f>
        <v>0</v>
      </c>
      <c r="E28" s="137">
        <f>SUMIFS('Mobile-Data'!$H$9:$H$1048576,'Mobile-Data'!$C$9:$C$1048576,'Mobile-Detail Calcs'!$B28,'Mobile-Data'!$G$9:$G$1048576,'Mobile-Detail Calcs'!E$21)</f>
        <v>0</v>
      </c>
      <c r="F28" s="137">
        <f>SUMIFS('Mobile-Data'!$H$9:$H$1048576,'Mobile-Data'!$C$9:$C$1048576,'Mobile-Detail Calcs'!$B28,'Mobile-Data'!$G$9:$G$1048576,'Mobile-Detail Calcs'!F$21)</f>
        <v>0</v>
      </c>
      <c r="G28" s="137">
        <f>SUMIFS('Mobile-Data'!$H$9:$H$1048576,'Mobile-Data'!$C$9:$C$1048576,'Mobile-Detail Calcs'!$B28,'Mobile-Data'!$G$9:$G$1048576,'Mobile-Detail Calcs'!G$21)</f>
        <v>0</v>
      </c>
      <c r="H28" s="137">
        <f>SUMIFS('Mobile-Data'!$H$9:$H$1048576,'Mobile-Data'!$C$9:$C$1048576,'Mobile-Detail Calcs'!$B28,'Mobile-Data'!$G$9:$G$1048576,'Mobile-Detail Calcs'!H$21)</f>
        <v>0</v>
      </c>
      <c r="I28" s="137">
        <f>SUMIFS('Mobile-Data'!$H$9:$H$1048576,'Mobile-Data'!$C$9:$C$1048576,'Mobile-Detail Calcs'!$B28,'Mobile-Data'!$G$9:$G$1048576,'Mobile-Detail Calcs'!I$21)</f>
        <v>0</v>
      </c>
      <c r="J28" s="137">
        <f>SUMIFS('Mobile-Data'!$H$9:$H$1048576,'Mobile-Data'!$C$9:$C$1048576,'Mobile-Detail Calcs'!$B28,'Mobile-Data'!$G$9:$G$1048576,'Mobile-Detail Calcs'!J$21)</f>
        <v>0</v>
      </c>
      <c r="K28" s="137">
        <f>SUMIFS('Mobile-Data'!$H$9:$H$1048576,'Mobile-Data'!$C$9:$C$1048576,'Mobile-Detail Calcs'!$B28,'Mobile-Data'!$G$9:$G$1048576,'Mobile-Detail Calcs'!K$21)</f>
        <v>0</v>
      </c>
      <c r="L28" s="137">
        <f>SUMIFS('Mobile-Data'!$H$9:$H$1048576,'Mobile-Data'!$C$9:$C$1048576,'Mobile-Detail Calcs'!$B28,'Mobile-Data'!$G$9:$G$1048576,'Mobile-Detail Calcs'!L$21)</f>
        <v>0</v>
      </c>
      <c r="M28" s="172">
        <f>SUMIFS('Mobile-Data'!$H$9:$H$1048576,'Mobile-Data'!$C$9:$C$1048576,'Mobile-Detail Calcs'!$B28,'Mobile-Data'!$G$9:$G$1048576,'Mobile-Detail Calcs'!M$21)</f>
        <v>0</v>
      </c>
      <c r="N28"/>
      <c r="O28"/>
      <c r="P28"/>
      <c r="Q28" s="308"/>
    </row>
    <row r="29" spans="1:17" s="109" customFormat="1" hidden="1">
      <c r="A29" s="265"/>
      <c r="B29" s="99">
        <f>'Background Controls'!I11</f>
        <v>0</v>
      </c>
      <c r="C29" s="137">
        <f>SUMIFS('Mobile-Data'!$H$9:$H$1048576,'Mobile-Data'!$C$9:$C$1048576,'Mobile-Detail Calcs'!$B29,'Mobile-Data'!$G$9:$G$1048576,'Mobile-Detail Calcs'!C$21)</f>
        <v>0</v>
      </c>
      <c r="D29" s="137">
        <f>SUMIFS('Mobile-Data'!$H$9:$H$1048576,'Mobile-Data'!$C$9:$C$1048576,'Mobile-Detail Calcs'!$B29,'Mobile-Data'!$G$9:$G$1048576,'Mobile-Detail Calcs'!D$21)</f>
        <v>0</v>
      </c>
      <c r="E29" s="137">
        <f>SUMIFS('Mobile-Data'!$H$9:$H$1048576,'Mobile-Data'!$C$9:$C$1048576,'Mobile-Detail Calcs'!$B29,'Mobile-Data'!$G$9:$G$1048576,'Mobile-Detail Calcs'!E$21)</f>
        <v>0</v>
      </c>
      <c r="F29" s="137">
        <f>SUMIFS('Mobile-Data'!$H$9:$H$1048576,'Mobile-Data'!$C$9:$C$1048576,'Mobile-Detail Calcs'!$B29,'Mobile-Data'!$G$9:$G$1048576,'Mobile-Detail Calcs'!F$21)</f>
        <v>0</v>
      </c>
      <c r="G29" s="137">
        <f>SUMIFS('Mobile-Data'!$H$9:$H$1048576,'Mobile-Data'!$C$9:$C$1048576,'Mobile-Detail Calcs'!$B29,'Mobile-Data'!$G$9:$G$1048576,'Mobile-Detail Calcs'!G$21)</f>
        <v>0</v>
      </c>
      <c r="H29" s="137">
        <f>SUMIFS('Mobile-Data'!$H$9:$H$1048576,'Mobile-Data'!$C$9:$C$1048576,'Mobile-Detail Calcs'!$B29,'Mobile-Data'!$G$9:$G$1048576,'Mobile-Detail Calcs'!H$21)</f>
        <v>0</v>
      </c>
      <c r="I29" s="137">
        <f>SUMIFS('Mobile-Data'!$H$9:$H$1048576,'Mobile-Data'!$C$9:$C$1048576,'Mobile-Detail Calcs'!$B29,'Mobile-Data'!$G$9:$G$1048576,'Mobile-Detail Calcs'!I$21)</f>
        <v>0</v>
      </c>
      <c r="J29" s="137">
        <f>SUMIFS('Mobile-Data'!$H$9:$H$1048576,'Mobile-Data'!$C$9:$C$1048576,'Mobile-Detail Calcs'!$B29,'Mobile-Data'!$G$9:$G$1048576,'Mobile-Detail Calcs'!J$21)</f>
        <v>0</v>
      </c>
      <c r="K29" s="137">
        <f>SUMIFS('Mobile-Data'!$H$9:$H$1048576,'Mobile-Data'!$C$9:$C$1048576,'Mobile-Detail Calcs'!$B29,'Mobile-Data'!$G$9:$G$1048576,'Mobile-Detail Calcs'!K$21)</f>
        <v>0</v>
      </c>
      <c r="L29" s="137">
        <f>SUMIFS('Mobile-Data'!$H$9:$H$1048576,'Mobile-Data'!$C$9:$C$1048576,'Mobile-Detail Calcs'!$B29,'Mobile-Data'!$G$9:$G$1048576,'Mobile-Detail Calcs'!L$21)</f>
        <v>0</v>
      </c>
      <c r="M29" s="172">
        <f>SUMIFS('Mobile-Data'!$H$9:$H$1048576,'Mobile-Data'!$C$9:$C$1048576,'Mobile-Detail Calcs'!$B29,'Mobile-Data'!$G$9:$G$1048576,'Mobile-Detail Calcs'!M$21)</f>
        <v>0</v>
      </c>
      <c r="N29"/>
      <c r="O29"/>
      <c r="P29"/>
      <c r="Q29" s="308"/>
    </row>
    <row r="30" spans="1:17" s="109" customFormat="1" hidden="1">
      <c r="A30" s="265"/>
      <c r="B30" s="99">
        <f>'Background Controls'!I12</f>
        <v>0</v>
      </c>
      <c r="C30" s="137">
        <f>SUMIFS('Mobile-Data'!$H$9:$H$1048576,'Mobile-Data'!$C$9:$C$1048576,'Mobile-Detail Calcs'!$B30,'Mobile-Data'!$G$9:$G$1048576,'Mobile-Detail Calcs'!C$21)</f>
        <v>0</v>
      </c>
      <c r="D30" s="137">
        <f>SUMIFS('Mobile-Data'!$H$9:$H$1048576,'Mobile-Data'!$C$9:$C$1048576,'Mobile-Detail Calcs'!$B30,'Mobile-Data'!$G$9:$G$1048576,'Mobile-Detail Calcs'!D$21)</f>
        <v>0</v>
      </c>
      <c r="E30" s="137">
        <f>SUMIFS('Mobile-Data'!$H$9:$H$1048576,'Mobile-Data'!$C$9:$C$1048576,'Mobile-Detail Calcs'!$B30,'Mobile-Data'!$G$9:$G$1048576,'Mobile-Detail Calcs'!E$21)</f>
        <v>0</v>
      </c>
      <c r="F30" s="137">
        <f>SUMIFS('Mobile-Data'!$H$9:$H$1048576,'Mobile-Data'!$C$9:$C$1048576,'Mobile-Detail Calcs'!$B30,'Mobile-Data'!$G$9:$G$1048576,'Mobile-Detail Calcs'!F$21)</f>
        <v>0</v>
      </c>
      <c r="G30" s="137">
        <f>SUMIFS('Mobile-Data'!$H$9:$H$1048576,'Mobile-Data'!$C$9:$C$1048576,'Mobile-Detail Calcs'!$B30,'Mobile-Data'!$G$9:$G$1048576,'Mobile-Detail Calcs'!G$21)</f>
        <v>0</v>
      </c>
      <c r="H30" s="137">
        <f>SUMIFS('Mobile-Data'!$H$9:$H$1048576,'Mobile-Data'!$C$9:$C$1048576,'Mobile-Detail Calcs'!$B30,'Mobile-Data'!$G$9:$G$1048576,'Mobile-Detail Calcs'!H$21)</f>
        <v>0</v>
      </c>
      <c r="I30" s="137">
        <f>SUMIFS('Mobile-Data'!$H$9:$H$1048576,'Mobile-Data'!$C$9:$C$1048576,'Mobile-Detail Calcs'!$B30,'Mobile-Data'!$G$9:$G$1048576,'Mobile-Detail Calcs'!I$21)</f>
        <v>0</v>
      </c>
      <c r="J30" s="137">
        <f>SUMIFS('Mobile-Data'!$H$9:$H$1048576,'Mobile-Data'!$C$9:$C$1048576,'Mobile-Detail Calcs'!$B30,'Mobile-Data'!$G$9:$G$1048576,'Mobile-Detail Calcs'!J$21)</f>
        <v>0</v>
      </c>
      <c r="K30" s="137">
        <f>SUMIFS('Mobile-Data'!$H$9:$H$1048576,'Mobile-Data'!$C$9:$C$1048576,'Mobile-Detail Calcs'!$B30,'Mobile-Data'!$G$9:$G$1048576,'Mobile-Detail Calcs'!K$21)</f>
        <v>0</v>
      </c>
      <c r="L30" s="137">
        <f>SUMIFS('Mobile-Data'!$H$9:$H$1048576,'Mobile-Data'!$C$9:$C$1048576,'Mobile-Detail Calcs'!$B30,'Mobile-Data'!$G$9:$G$1048576,'Mobile-Detail Calcs'!L$21)</f>
        <v>0</v>
      </c>
      <c r="M30" s="172">
        <f>SUMIFS('Mobile-Data'!$H$9:$H$1048576,'Mobile-Data'!$C$9:$C$1048576,'Mobile-Detail Calcs'!$B30,'Mobile-Data'!$G$9:$G$1048576,'Mobile-Detail Calcs'!M$21)</f>
        <v>0</v>
      </c>
      <c r="N30"/>
      <c r="O30"/>
      <c r="P30"/>
      <c r="Q30" s="308"/>
    </row>
    <row r="31" spans="1:17" s="109" customFormat="1" hidden="1">
      <c r="A31" s="265"/>
      <c r="B31" s="99">
        <f>'Background Controls'!I13</f>
        <v>0</v>
      </c>
      <c r="C31" s="137">
        <f>SUMIFS('Mobile-Data'!$H$9:$H$1048576,'Mobile-Data'!$C$9:$C$1048576,'Mobile-Detail Calcs'!$B31,'Mobile-Data'!$G$9:$G$1048576,'Mobile-Detail Calcs'!C$21)</f>
        <v>0</v>
      </c>
      <c r="D31" s="137">
        <f>SUMIFS('Mobile-Data'!$H$9:$H$1048576,'Mobile-Data'!$C$9:$C$1048576,'Mobile-Detail Calcs'!$B31,'Mobile-Data'!$G$9:$G$1048576,'Mobile-Detail Calcs'!D$21)</f>
        <v>0</v>
      </c>
      <c r="E31" s="137">
        <f>SUMIFS('Mobile-Data'!$H$9:$H$1048576,'Mobile-Data'!$C$9:$C$1048576,'Mobile-Detail Calcs'!$B31,'Mobile-Data'!$G$9:$G$1048576,'Mobile-Detail Calcs'!E$21)</f>
        <v>0</v>
      </c>
      <c r="F31" s="137">
        <f>SUMIFS('Mobile-Data'!$H$9:$H$1048576,'Mobile-Data'!$C$9:$C$1048576,'Mobile-Detail Calcs'!$B31,'Mobile-Data'!$G$9:$G$1048576,'Mobile-Detail Calcs'!F$21)</f>
        <v>0</v>
      </c>
      <c r="G31" s="137">
        <f>SUMIFS('Mobile-Data'!$H$9:$H$1048576,'Mobile-Data'!$C$9:$C$1048576,'Mobile-Detail Calcs'!$B31,'Mobile-Data'!$G$9:$G$1048576,'Mobile-Detail Calcs'!G$21)</f>
        <v>0</v>
      </c>
      <c r="H31" s="137">
        <f>SUMIFS('Mobile-Data'!$H$9:$H$1048576,'Mobile-Data'!$C$9:$C$1048576,'Mobile-Detail Calcs'!$B31,'Mobile-Data'!$G$9:$G$1048576,'Mobile-Detail Calcs'!H$21)</f>
        <v>0</v>
      </c>
      <c r="I31" s="137">
        <f>SUMIFS('Mobile-Data'!$H$9:$H$1048576,'Mobile-Data'!$C$9:$C$1048576,'Mobile-Detail Calcs'!$B31,'Mobile-Data'!$G$9:$G$1048576,'Mobile-Detail Calcs'!I$21)</f>
        <v>0</v>
      </c>
      <c r="J31" s="137">
        <f>SUMIFS('Mobile-Data'!$H$9:$H$1048576,'Mobile-Data'!$C$9:$C$1048576,'Mobile-Detail Calcs'!$B31,'Mobile-Data'!$G$9:$G$1048576,'Mobile-Detail Calcs'!J$21)</f>
        <v>0</v>
      </c>
      <c r="K31" s="137">
        <f>SUMIFS('Mobile-Data'!$H$9:$H$1048576,'Mobile-Data'!$C$9:$C$1048576,'Mobile-Detail Calcs'!$B31,'Mobile-Data'!$G$9:$G$1048576,'Mobile-Detail Calcs'!K$21)</f>
        <v>0</v>
      </c>
      <c r="L31" s="137">
        <f>SUMIFS('Mobile-Data'!$H$9:$H$1048576,'Mobile-Data'!$C$9:$C$1048576,'Mobile-Detail Calcs'!$B31,'Mobile-Data'!$G$9:$G$1048576,'Mobile-Detail Calcs'!L$21)</f>
        <v>0</v>
      </c>
      <c r="M31" s="172">
        <f>SUMIFS('Mobile-Data'!$H$9:$H$1048576,'Mobile-Data'!$C$9:$C$1048576,'Mobile-Detail Calcs'!$B31,'Mobile-Data'!$G$9:$G$1048576,'Mobile-Detail Calcs'!M$21)</f>
        <v>0</v>
      </c>
      <c r="N31"/>
      <c r="O31"/>
      <c r="P31"/>
      <c r="Q31" s="308"/>
    </row>
    <row r="32" spans="1:17" s="109" customFormat="1" hidden="1">
      <c r="A32" s="265"/>
      <c r="B32" s="99">
        <f>'Background Controls'!I14</f>
        <v>0</v>
      </c>
      <c r="C32" s="137">
        <f>SUMIFS('Mobile-Data'!$H$9:$H$1048576,'Mobile-Data'!$C$9:$C$1048576,'Mobile-Detail Calcs'!$B32,'Mobile-Data'!$G$9:$G$1048576,'Mobile-Detail Calcs'!C$21)</f>
        <v>0</v>
      </c>
      <c r="D32" s="137">
        <f>SUMIFS('Mobile-Data'!$H$9:$H$1048576,'Mobile-Data'!$C$9:$C$1048576,'Mobile-Detail Calcs'!$B32,'Mobile-Data'!$G$9:$G$1048576,'Mobile-Detail Calcs'!D$21)</f>
        <v>0</v>
      </c>
      <c r="E32" s="137">
        <f>SUMIFS('Mobile-Data'!$H$9:$H$1048576,'Mobile-Data'!$C$9:$C$1048576,'Mobile-Detail Calcs'!$B32,'Mobile-Data'!$G$9:$G$1048576,'Mobile-Detail Calcs'!E$21)</f>
        <v>0</v>
      </c>
      <c r="F32" s="137">
        <f>SUMIFS('Mobile-Data'!$H$9:$H$1048576,'Mobile-Data'!$C$9:$C$1048576,'Mobile-Detail Calcs'!$B32,'Mobile-Data'!$G$9:$G$1048576,'Mobile-Detail Calcs'!F$21)</f>
        <v>0</v>
      </c>
      <c r="G32" s="137">
        <f>SUMIFS('Mobile-Data'!$H$9:$H$1048576,'Mobile-Data'!$C$9:$C$1048576,'Mobile-Detail Calcs'!$B32,'Mobile-Data'!$G$9:$G$1048576,'Mobile-Detail Calcs'!G$21)</f>
        <v>0</v>
      </c>
      <c r="H32" s="137">
        <f>SUMIFS('Mobile-Data'!$H$9:$H$1048576,'Mobile-Data'!$C$9:$C$1048576,'Mobile-Detail Calcs'!$B32,'Mobile-Data'!$G$9:$G$1048576,'Mobile-Detail Calcs'!H$21)</f>
        <v>0</v>
      </c>
      <c r="I32" s="137">
        <f>SUMIFS('Mobile-Data'!$H$9:$H$1048576,'Mobile-Data'!$C$9:$C$1048576,'Mobile-Detail Calcs'!$B32,'Mobile-Data'!$G$9:$G$1048576,'Mobile-Detail Calcs'!I$21)</f>
        <v>0</v>
      </c>
      <c r="J32" s="137">
        <f>SUMIFS('Mobile-Data'!$H$9:$H$1048576,'Mobile-Data'!$C$9:$C$1048576,'Mobile-Detail Calcs'!$B32,'Mobile-Data'!$G$9:$G$1048576,'Mobile-Detail Calcs'!J$21)</f>
        <v>0</v>
      </c>
      <c r="K32" s="137">
        <f>SUMIFS('Mobile-Data'!$H$9:$H$1048576,'Mobile-Data'!$C$9:$C$1048576,'Mobile-Detail Calcs'!$B32,'Mobile-Data'!$G$9:$G$1048576,'Mobile-Detail Calcs'!K$21)</f>
        <v>0</v>
      </c>
      <c r="L32" s="137">
        <f>SUMIFS('Mobile-Data'!$H$9:$H$1048576,'Mobile-Data'!$C$9:$C$1048576,'Mobile-Detail Calcs'!$B32,'Mobile-Data'!$G$9:$G$1048576,'Mobile-Detail Calcs'!L$21)</f>
        <v>0</v>
      </c>
      <c r="M32" s="172">
        <f>SUMIFS('Mobile-Data'!$H$9:$H$1048576,'Mobile-Data'!$C$9:$C$1048576,'Mobile-Detail Calcs'!$B32,'Mobile-Data'!$G$9:$G$1048576,'Mobile-Detail Calcs'!M$21)</f>
        <v>0</v>
      </c>
      <c r="N32"/>
      <c r="O32"/>
      <c r="P32"/>
      <c r="Q32" s="308"/>
    </row>
    <row r="33" spans="1:17" s="109" customFormat="1" hidden="1">
      <c r="A33" s="265"/>
      <c r="B33" s="99">
        <f>'Background Controls'!I15</f>
        <v>0</v>
      </c>
      <c r="C33" s="137">
        <f>SUMIFS('Mobile-Data'!$H$9:$H$1048576,'Mobile-Data'!$C$9:$C$1048576,'Mobile-Detail Calcs'!$B33,'Mobile-Data'!$G$9:$G$1048576,'Mobile-Detail Calcs'!C$21)</f>
        <v>0</v>
      </c>
      <c r="D33" s="137">
        <f>SUMIFS('Mobile-Data'!$H$9:$H$1048576,'Mobile-Data'!$C$9:$C$1048576,'Mobile-Detail Calcs'!$B33,'Mobile-Data'!$G$9:$G$1048576,'Mobile-Detail Calcs'!D$21)</f>
        <v>0</v>
      </c>
      <c r="E33" s="137">
        <f>SUMIFS('Mobile-Data'!$H$9:$H$1048576,'Mobile-Data'!$C$9:$C$1048576,'Mobile-Detail Calcs'!$B33,'Mobile-Data'!$G$9:$G$1048576,'Mobile-Detail Calcs'!E$21)</f>
        <v>0</v>
      </c>
      <c r="F33" s="137">
        <f>SUMIFS('Mobile-Data'!$H$9:$H$1048576,'Mobile-Data'!$C$9:$C$1048576,'Mobile-Detail Calcs'!$B33,'Mobile-Data'!$G$9:$G$1048576,'Mobile-Detail Calcs'!F$21)</f>
        <v>0</v>
      </c>
      <c r="G33" s="137">
        <f>SUMIFS('Mobile-Data'!$H$9:$H$1048576,'Mobile-Data'!$C$9:$C$1048576,'Mobile-Detail Calcs'!$B33,'Mobile-Data'!$G$9:$G$1048576,'Mobile-Detail Calcs'!G$21)</f>
        <v>0</v>
      </c>
      <c r="H33" s="137">
        <f>SUMIFS('Mobile-Data'!$H$9:$H$1048576,'Mobile-Data'!$C$9:$C$1048576,'Mobile-Detail Calcs'!$B33,'Mobile-Data'!$G$9:$G$1048576,'Mobile-Detail Calcs'!H$21)</f>
        <v>0</v>
      </c>
      <c r="I33" s="137">
        <f>SUMIFS('Mobile-Data'!$H$9:$H$1048576,'Mobile-Data'!$C$9:$C$1048576,'Mobile-Detail Calcs'!$B33,'Mobile-Data'!$G$9:$G$1048576,'Mobile-Detail Calcs'!I$21)</f>
        <v>0</v>
      </c>
      <c r="J33" s="137">
        <f>SUMIFS('Mobile-Data'!$H$9:$H$1048576,'Mobile-Data'!$C$9:$C$1048576,'Mobile-Detail Calcs'!$B33,'Mobile-Data'!$G$9:$G$1048576,'Mobile-Detail Calcs'!J$21)</f>
        <v>0</v>
      </c>
      <c r="K33" s="137">
        <f>SUMIFS('Mobile-Data'!$H$9:$H$1048576,'Mobile-Data'!$C$9:$C$1048576,'Mobile-Detail Calcs'!$B33,'Mobile-Data'!$G$9:$G$1048576,'Mobile-Detail Calcs'!K$21)</f>
        <v>0</v>
      </c>
      <c r="L33" s="137">
        <f>SUMIFS('Mobile-Data'!$H$9:$H$1048576,'Mobile-Data'!$C$9:$C$1048576,'Mobile-Detail Calcs'!$B33,'Mobile-Data'!$G$9:$G$1048576,'Mobile-Detail Calcs'!L$21)</f>
        <v>0</v>
      </c>
      <c r="M33" s="172">
        <f>SUMIFS('Mobile-Data'!$H$9:$H$1048576,'Mobile-Data'!$C$9:$C$1048576,'Mobile-Detail Calcs'!$B33,'Mobile-Data'!$G$9:$G$1048576,'Mobile-Detail Calcs'!M$21)</f>
        <v>0</v>
      </c>
      <c r="N33"/>
      <c r="O33"/>
      <c r="P33"/>
      <c r="Q33" s="308"/>
    </row>
    <row r="34" spans="1:17" s="109" customFormat="1" hidden="1">
      <c r="A34" s="265"/>
      <c r="B34" s="99">
        <f>'Background Controls'!I16</f>
        <v>0</v>
      </c>
      <c r="C34" s="137">
        <f>SUMIFS('Mobile-Data'!$H$9:$H$1048576,'Mobile-Data'!$C$9:$C$1048576,'Mobile-Detail Calcs'!$B34,'Mobile-Data'!$G$9:$G$1048576,'Mobile-Detail Calcs'!C$21)</f>
        <v>0</v>
      </c>
      <c r="D34" s="137">
        <f>SUMIFS('Mobile-Data'!$H$9:$H$1048576,'Mobile-Data'!$C$9:$C$1048576,'Mobile-Detail Calcs'!$B34,'Mobile-Data'!$G$9:$G$1048576,'Mobile-Detail Calcs'!D$21)</f>
        <v>0</v>
      </c>
      <c r="E34" s="137">
        <f>SUMIFS('Mobile-Data'!$H$9:$H$1048576,'Mobile-Data'!$C$9:$C$1048576,'Mobile-Detail Calcs'!$B34,'Mobile-Data'!$G$9:$G$1048576,'Mobile-Detail Calcs'!E$21)</f>
        <v>0</v>
      </c>
      <c r="F34" s="137">
        <f>SUMIFS('Mobile-Data'!$H$9:$H$1048576,'Mobile-Data'!$C$9:$C$1048576,'Mobile-Detail Calcs'!$B34,'Mobile-Data'!$G$9:$G$1048576,'Mobile-Detail Calcs'!F$21)</f>
        <v>0</v>
      </c>
      <c r="G34" s="137">
        <f>SUMIFS('Mobile-Data'!$H$9:$H$1048576,'Mobile-Data'!$C$9:$C$1048576,'Mobile-Detail Calcs'!$B34,'Mobile-Data'!$G$9:$G$1048576,'Mobile-Detail Calcs'!G$21)</f>
        <v>0</v>
      </c>
      <c r="H34" s="137">
        <f>SUMIFS('Mobile-Data'!$H$9:$H$1048576,'Mobile-Data'!$C$9:$C$1048576,'Mobile-Detail Calcs'!$B34,'Mobile-Data'!$G$9:$G$1048576,'Mobile-Detail Calcs'!H$21)</f>
        <v>0</v>
      </c>
      <c r="I34" s="137">
        <f>SUMIFS('Mobile-Data'!$H$9:$H$1048576,'Mobile-Data'!$C$9:$C$1048576,'Mobile-Detail Calcs'!$B34,'Mobile-Data'!$G$9:$G$1048576,'Mobile-Detail Calcs'!I$21)</f>
        <v>0</v>
      </c>
      <c r="J34" s="137">
        <f>SUMIFS('Mobile-Data'!$H$9:$H$1048576,'Mobile-Data'!$C$9:$C$1048576,'Mobile-Detail Calcs'!$B34,'Mobile-Data'!$G$9:$G$1048576,'Mobile-Detail Calcs'!J$21)</f>
        <v>0</v>
      </c>
      <c r="K34" s="137">
        <f>SUMIFS('Mobile-Data'!$H$9:$H$1048576,'Mobile-Data'!$C$9:$C$1048576,'Mobile-Detail Calcs'!$B34,'Mobile-Data'!$G$9:$G$1048576,'Mobile-Detail Calcs'!K$21)</f>
        <v>0</v>
      </c>
      <c r="L34" s="137">
        <f>SUMIFS('Mobile-Data'!$H$9:$H$1048576,'Mobile-Data'!$C$9:$C$1048576,'Mobile-Detail Calcs'!$B34,'Mobile-Data'!$G$9:$G$1048576,'Mobile-Detail Calcs'!L$21)</f>
        <v>0</v>
      </c>
      <c r="M34" s="172">
        <f>SUMIFS('Mobile-Data'!$H$9:$H$1048576,'Mobile-Data'!$C$9:$C$1048576,'Mobile-Detail Calcs'!$B34,'Mobile-Data'!$G$9:$G$1048576,'Mobile-Detail Calcs'!M$21)</f>
        <v>0</v>
      </c>
      <c r="N34"/>
      <c r="O34"/>
      <c r="P34"/>
      <c r="Q34" s="308"/>
    </row>
    <row r="35" spans="1:17" s="109" customFormat="1" hidden="1">
      <c r="A35" s="265"/>
      <c r="B35" s="99">
        <f>'Background Controls'!I17</f>
        <v>0</v>
      </c>
      <c r="C35" s="137">
        <f>SUMIFS('Mobile-Data'!$H$9:$H$1048576,'Mobile-Data'!$C$9:$C$1048576,'Mobile-Detail Calcs'!$B35,'Mobile-Data'!$G$9:$G$1048576,'Mobile-Detail Calcs'!C$21)</f>
        <v>0</v>
      </c>
      <c r="D35" s="137">
        <f>SUMIFS('Mobile-Data'!$H$9:$H$1048576,'Mobile-Data'!$C$9:$C$1048576,'Mobile-Detail Calcs'!$B35,'Mobile-Data'!$G$9:$G$1048576,'Mobile-Detail Calcs'!D$21)</f>
        <v>0</v>
      </c>
      <c r="E35" s="137">
        <f>SUMIFS('Mobile-Data'!$H$9:$H$1048576,'Mobile-Data'!$C$9:$C$1048576,'Mobile-Detail Calcs'!$B35,'Mobile-Data'!$G$9:$G$1048576,'Mobile-Detail Calcs'!E$21)</f>
        <v>0</v>
      </c>
      <c r="F35" s="137">
        <f>SUMIFS('Mobile-Data'!$H$9:$H$1048576,'Mobile-Data'!$C$9:$C$1048576,'Mobile-Detail Calcs'!$B35,'Mobile-Data'!$G$9:$G$1048576,'Mobile-Detail Calcs'!F$21)</f>
        <v>0</v>
      </c>
      <c r="G35" s="137">
        <f>SUMIFS('Mobile-Data'!$H$9:$H$1048576,'Mobile-Data'!$C$9:$C$1048576,'Mobile-Detail Calcs'!$B35,'Mobile-Data'!$G$9:$G$1048576,'Mobile-Detail Calcs'!G$21)</f>
        <v>0</v>
      </c>
      <c r="H35" s="137">
        <f>SUMIFS('Mobile-Data'!$H$9:$H$1048576,'Mobile-Data'!$C$9:$C$1048576,'Mobile-Detail Calcs'!$B35,'Mobile-Data'!$G$9:$G$1048576,'Mobile-Detail Calcs'!H$21)</f>
        <v>0</v>
      </c>
      <c r="I35" s="137">
        <f>SUMIFS('Mobile-Data'!$H$9:$H$1048576,'Mobile-Data'!$C$9:$C$1048576,'Mobile-Detail Calcs'!$B35,'Mobile-Data'!$G$9:$G$1048576,'Mobile-Detail Calcs'!I$21)</f>
        <v>0</v>
      </c>
      <c r="J35" s="137">
        <f>SUMIFS('Mobile-Data'!$H$9:$H$1048576,'Mobile-Data'!$C$9:$C$1048576,'Mobile-Detail Calcs'!$B35,'Mobile-Data'!$G$9:$G$1048576,'Mobile-Detail Calcs'!J$21)</f>
        <v>0</v>
      </c>
      <c r="K35" s="137">
        <f>SUMIFS('Mobile-Data'!$H$9:$H$1048576,'Mobile-Data'!$C$9:$C$1048576,'Mobile-Detail Calcs'!$B35,'Mobile-Data'!$G$9:$G$1048576,'Mobile-Detail Calcs'!K$21)</f>
        <v>0</v>
      </c>
      <c r="L35" s="137">
        <f>SUMIFS('Mobile-Data'!$H$9:$H$1048576,'Mobile-Data'!$C$9:$C$1048576,'Mobile-Detail Calcs'!$B35,'Mobile-Data'!$G$9:$G$1048576,'Mobile-Detail Calcs'!L$21)</f>
        <v>0</v>
      </c>
      <c r="M35" s="172">
        <f>SUMIFS('Mobile-Data'!$H$9:$H$1048576,'Mobile-Data'!$C$9:$C$1048576,'Mobile-Detail Calcs'!$B35,'Mobile-Data'!$G$9:$G$1048576,'Mobile-Detail Calcs'!M$21)</f>
        <v>0</v>
      </c>
      <c r="N35"/>
      <c r="O35"/>
      <c r="P35"/>
      <c r="Q35" s="308"/>
    </row>
    <row r="36" spans="1:17" s="109" customFormat="1" hidden="1">
      <c r="A36" s="265"/>
      <c r="B36" s="99">
        <f>'Background Controls'!I18</f>
        <v>0</v>
      </c>
      <c r="C36" s="137">
        <f>SUMIFS('Mobile-Data'!$H$9:$H$1048576,'Mobile-Data'!$C$9:$C$1048576,'Mobile-Detail Calcs'!$B36,'Mobile-Data'!$G$9:$G$1048576,'Mobile-Detail Calcs'!C$21)</f>
        <v>0</v>
      </c>
      <c r="D36" s="137">
        <f>SUMIFS('Mobile-Data'!$H$9:$H$1048576,'Mobile-Data'!$C$9:$C$1048576,'Mobile-Detail Calcs'!$B36,'Mobile-Data'!$G$9:$G$1048576,'Mobile-Detail Calcs'!D$21)</f>
        <v>0</v>
      </c>
      <c r="E36" s="137">
        <f>SUMIFS('Mobile-Data'!$H$9:$H$1048576,'Mobile-Data'!$C$9:$C$1048576,'Mobile-Detail Calcs'!$B36,'Mobile-Data'!$G$9:$G$1048576,'Mobile-Detail Calcs'!E$21)</f>
        <v>0</v>
      </c>
      <c r="F36" s="137">
        <f>SUMIFS('Mobile-Data'!$H$9:$H$1048576,'Mobile-Data'!$C$9:$C$1048576,'Mobile-Detail Calcs'!$B36,'Mobile-Data'!$G$9:$G$1048576,'Mobile-Detail Calcs'!F$21)</f>
        <v>0</v>
      </c>
      <c r="G36" s="137">
        <f>SUMIFS('Mobile-Data'!$H$9:$H$1048576,'Mobile-Data'!$C$9:$C$1048576,'Mobile-Detail Calcs'!$B36,'Mobile-Data'!$G$9:$G$1048576,'Mobile-Detail Calcs'!G$21)</f>
        <v>0</v>
      </c>
      <c r="H36" s="137">
        <f>SUMIFS('Mobile-Data'!$H$9:$H$1048576,'Mobile-Data'!$C$9:$C$1048576,'Mobile-Detail Calcs'!$B36,'Mobile-Data'!$G$9:$G$1048576,'Mobile-Detail Calcs'!H$21)</f>
        <v>0</v>
      </c>
      <c r="I36" s="137">
        <f>SUMIFS('Mobile-Data'!$H$9:$H$1048576,'Mobile-Data'!$C$9:$C$1048576,'Mobile-Detail Calcs'!$B36,'Mobile-Data'!$G$9:$G$1048576,'Mobile-Detail Calcs'!I$21)</f>
        <v>0</v>
      </c>
      <c r="J36" s="137">
        <f>SUMIFS('Mobile-Data'!$H$9:$H$1048576,'Mobile-Data'!$C$9:$C$1048576,'Mobile-Detail Calcs'!$B36,'Mobile-Data'!$G$9:$G$1048576,'Mobile-Detail Calcs'!J$21)</f>
        <v>0</v>
      </c>
      <c r="K36" s="137">
        <f>SUMIFS('Mobile-Data'!$H$9:$H$1048576,'Mobile-Data'!$C$9:$C$1048576,'Mobile-Detail Calcs'!$B36,'Mobile-Data'!$G$9:$G$1048576,'Mobile-Detail Calcs'!K$21)</f>
        <v>0</v>
      </c>
      <c r="L36" s="137">
        <f>SUMIFS('Mobile-Data'!$H$9:$H$1048576,'Mobile-Data'!$C$9:$C$1048576,'Mobile-Detail Calcs'!$B36,'Mobile-Data'!$G$9:$G$1048576,'Mobile-Detail Calcs'!L$21)</f>
        <v>0</v>
      </c>
      <c r="M36" s="172">
        <f>SUMIFS('Mobile-Data'!$H$9:$H$1048576,'Mobile-Data'!$C$9:$C$1048576,'Mobile-Detail Calcs'!$B36,'Mobile-Data'!$G$9:$G$1048576,'Mobile-Detail Calcs'!M$21)</f>
        <v>0</v>
      </c>
      <c r="N36"/>
      <c r="O36"/>
      <c r="P36"/>
      <c r="Q36" s="308"/>
    </row>
    <row r="37" spans="1:17" s="109" customFormat="1" hidden="1">
      <c r="A37" s="265"/>
      <c r="B37" s="99">
        <f>'Background Controls'!I19</f>
        <v>0</v>
      </c>
      <c r="C37" s="137">
        <f>SUMIFS('Mobile-Data'!$H$9:$H$1048576,'Mobile-Data'!$C$9:$C$1048576,'Mobile-Detail Calcs'!$B37,'Mobile-Data'!$G$9:$G$1048576,'Mobile-Detail Calcs'!C$21)</f>
        <v>0</v>
      </c>
      <c r="D37" s="137">
        <f>SUMIFS('Mobile-Data'!$H$9:$H$1048576,'Mobile-Data'!$C$9:$C$1048576,'Mobile-Detail Calcs'!$B37,'Mobile-Data'!$G$9:$G$1048576,'Mobile-Detail Calcs'!D$21)</f>
        <v>0</v>
      </c>
      <c r="E37" s="137">
        <f>SUMIFS('Mobile-Data'!$H$9:$H$1048576,'Mobile-Data'!$C$9:$C$1048576,'Mobile-Detail Calcs'!$B37,'Mobile-Data'!$G$9:$G$1048576,'Mobile-Detail Calcs'!E$21)</f>
        <v>0</v>
      </c>
      <c r="F37" s="137">
        <f>SUMIFS('Mobile-Data'!$H$9:$H$1048576,'Mobile-Data'!$C$9:$C$1048576,'Mobile-Detail Calcs'!$B37,'Mobile-Data'!$G$9:$G$1048576,'Mobile-Detail Calcs'!F$21)</f>
        <v>0</v>
      </c>
      <c r="G37" s="137">
        <f>SUMIFS('Mobile-Data'!$H$9:$H$1048576,'Mobile-Data'!$C$9:$C$1048576,'Mobile-Detail Calcs'!$B37,'Mobile-Data'!$G$9:$G$1048576,'Mobile-Detail Calcs'!G$21)</f>
        <v>0</v>
      </c>
      <c r="H37" s="137">
        <f>SUMIFS('Mobile-Data'!$H$9:$H$1048576,'Mobile-Data'!$C$9:$C$1048576,'Mobile-Detail Calcs'!$B37,'Mobile-Data'!$G$9:$G$1048576,'Mobile-Detail Calcs'!H$21)</f>
        <v>0</v>
      </c>
      <c r="I37" s="137">
        <f>SUMIFS('Mobile-Data'!$H$9:$H$1048576,'Mobile-Data'!$C$9:$C$1048576,'Mobile-Detail Calcs'!$B37,'Mobile-Data'!$G$9:$G$1048576,'Mobile-Detail Calcs'!I$21)</f>
        <v>0</v>
      </c>
      <c r="J37" s="137">
        <f>SUMIFS('Mobile-Data'!$H$9:$H$1048576,'Mobile-Data'!$C$9:$C$1048576,'Mobile-Detail Calcs'!$B37,'Mobile-Data'!$G$9:$G$1048576,'Mobile-Detail Calcs'!J$21)</f>
        <v>0</v>
      </c>
      <c r="K37" s="137">
        <f>SUMIFS('Mobile-Data'!$H$9:$H$1048576,'Mobile-Data'!$C$9:$C$1048576,'Mobile-Detail Calcs'!$B37,'Mobile-Data'!$G$9:$G$1048576,'Mobile-Detail Calcs'!K$21)</f>
        <v>0</v>
      </c>
      <c r="L37" s="137">
        <f>SUMIFS('Mobile-Data'!$H$9:$H$1048576,'Mobile-Data'!$C$9:$C$1048576,'Mobile-Detail Calcs'!$B37,'Mobile-Data'!$G$9:$G$1048576,'Mobile-Detail Calcs'!L$21)</f>
        <v>0</v>
      </c>
      <c r="M37" s="172">
        <f>SUMIFS('Mobile-Data'!$H$9:$H$1048576,'Mobile-Data'!$C$9:$C$1048576,'Mobile-Detail Calcs'!$B37,'Mobile-Data'!$G$9:$G$1048576,'Mobile-Detail Calcs'!M$21)</f>
        <v>0</v>
      </c>
      <c r="N37"/>
      <c r="O37"/>
      <c r="P37"/>
      <c r="Q37" s="308"/>
    </row>
    <row r="38" spans="1:17" s="109" customFormat="1" hidden="1">
      <c r="A38" s="265"/>
      <c r="B38" s="99">
        <f>'Background Controls'!I20</f>
        <v>0</v>
      </c>
      <c r="C38" s="137">
        <f>SUMIFS('Mobile-Data'!$H$9:$H$1048576,'Mobile-Data'!$C$9:$C$1048576,'Mobile-Detail Calcs'!$B38,'Mobile-Data'!$G$9:$G$1048576,'Mobile-Detail Calcs'!C$21)</f>
        <v>0</v>
      </c>
      <c r="D38" s="137">
        <f>SUMIFS('Mobile-Data'!$H$9:$H$1048576,'Mobile-Data'!$C$9:$C$1048576,'Mobile-Detail Calcs'!$B38,'Mobile-Data'!$G$9:$G$1048576,'Mobile-Detail Calcs'!D$21)</f>
        <v>0</v>
      </c>
      <c r="E38" s="137">
        <f>SUMIFS('Mobile-Data'!$H$9:$H$1048576,'Mobile-Data'!$C$9:$C$1048576,'Mobile-Detail Calcs'!$B38,'Mobile-Data'!$G$9:$G$1048576,'Mobile-Detail Calcs'!E$21)</f>
        <v>0</v>
      </c>
      <c r="F38" s="137">
        <f>SUMIFS('Mobile-Data'!$H$9:$H$1048576,'Mobile-Data'!$C$9:$C$1048576,'Mobile-Detail Calcs'!$B38,'Mobile-Data'!$G$9:$G$1048576,'Mobile-Detail Calcs'!F$21)</f>
        <v>0</v>
      </c>
      <c r="G38" s="137">
        <f>SUMIFS('Mobile-Data'!$H$9:$H$1048576,'Mobile-Data'!$C$9:$C$1048576,'Mobile-Detail Calcs'!$B38,'Mobile-Data'!$G$9:$G$1048576,'Mobile-Detail Calcs'!G$21)</f>
        <v>0</v>
      </c>
      <c r="H38" s="137">
        <f>SUMIFS('Mobile-Data'!$H$9:$H$1048576,'Mobile-Data'!$C$9:$C$1048576,'Mobile-Detail Calcs'!$B38,'Mobile-Data'!$G$9:$G$1048576,'Mobile-Detail Calcs'!H$21)</f>
        <v>0</v>
      </c>
      <c r="I38" s="137">
        <f>SUMIFS('Mobile-Data'!$H$9:$H$1048576,'Mobile-Data'!$C$9:$C$1048576,'Mobile-Detail Calcs'!$B38,'Mobile-Data'!$G$9:$G$1048576,'Mobile-Detail Calcs'!I$21)</f>
        <v>0</v>
      </c>
      <c r="J38" s="137">
        <f>SUMIFS('Mobile-Data'!$H$9:$H$1048576,'Mobile-Data'!$C$9:$C$1048576,'Mobile-Detail Calcs'!$B38,'Mobile-Data'!$G$9:$G$1048576,'Mobile-Detail Calcs'!J$21)</f>
        <v>0</v>
      </c>
      <c r="K38" s="137">
        <f>SUMIFS('Mobile-Data'!$H$9:$H$1048576,'Mobile-Data'!$C$9:$C$1048576,'Mobile-Detail Calcs'!$B38,'Mobile-Data'!$G$9:$G$1048576,'Mobile-Detail Calcs'!K$21)</f>
        <v>0</v>
      </c>
      <c r="L38" s="137">
        <f>SUMIFS('Mobile-Data'!$H$9:$H$1048576,'Mobile-Data'!$C$9:$C$1048576,'Mobile-Detail Calcs'!$B38,'Mobile-Data'!$G$9:$G$1048576,'Mobile-Detail Calcs'!L$21)</f>
        <v>0</v>
      </c>
      <c r="M38" s="172">
        <f>SUMIFS('Mobile-Data'!$H$9:$H$1048576,'Mobile-Data'!$C$9:$C$1048576,'Mobile-Detail Calcs'!$B38,'Mobile-Data'!$G$9:$G$1048576,'Mobile-Detail Calcs'!M$21)</f>
        <v>0</v>
      </c>
      <c r="N38"/>
      <c r="O38"/>
      <c r="P38"/>
      <c r="Q38" s="308"/>
    </row>
    <row r="39" spans="1:17" s="109" customFormat="1" hidden="1">
      <c r="A39" s="265"/>
      <c r="B39" s="99">
        <f>'Background Controls'!I21</f>
        <v>0</v>
      </c>
      <c r="C39" s="137">
        <f>SUMIFS('Mobile-Data'!$H$9:$H$1048576,'Mobile-Data'!$C$9:$C$1048576,'Mobile-Detail Calcs'!$B39,'Mobile-Data'!$G$9:$G$1048576,'Mobile-Detail Calcs'!C$21)</f>
        <v>0</v>
      </c>
      <c r="D39" s="137">
        <f>SUMIFS('Mobile-Data'!$H$9:$H$1048576,'Mobile-Data'!$C$9:$C$1048576,'Mobile-Detail Calcs'!$B39,'Mobile-Data'!$G$9:$G$1048576,'Mobile-Detail Calcs'!D$21)</f>
        <v>0</v>
      </c>
      <c r="E39" s="137">
        <f>SUMIFS('Mobile-Data'!$H$9:$H$1048576,'Mobile-Data'!$C$9:$C$1048576,'Mobile-Detail Calcs'!$B39,'Mobile-Data'!$G$9:$G$1048576,'Mobile-Detail Calcs'!E$21)</f>
        <v>0</v>
      </c>
      <c r="F39" s="137">
        <f>SUMIFS('Mobile-Data'!$H$9:$H$1048576,'Mobile-Data'!$C$9:$C$1048576,'Mobile-Detail Calcs'!$B39,'Mobile-Data'!$G$9:$G$1048576,'Mobile-Detail Calcs'!F$21)</f>
        <v>0</v>
      </c>
      <c r="G39" s="137">
        <f>SUMIFS('Mobile-Data'!$H$9:$H$1048576,'Mobile-Data'!$C$9:$C$1048576,'Mobile-Detail Calcs'!$B39,'Mobile-Data'!$G$9:$G$1048576,'Mobile-Detail Calcs'!G$21)</f>
        <v>0</v>
      </c>
      <c r="H39" s="137">
        <f>SUMIFS('Mobile-Data'!$H$9:$H$1048576,'Mobile-Data'!$C$9:$C$1048576,'Mobile-Detail Calcs'!$B39,'Mobile-Data'!$G$9:$G$1048576,'Mobile-Detail Calcs'!H$21)</f>
        <v>0</v>
      </c>
      <c r="I39" s="137">
        <f>SUMIFS('Mobile-Data'!$H$9:$H$1048576,'Mobile-Data'!$C$9:$C$1048576,'Mobile-Detail Calcs'!$B39,'Mobile-Data'!$G$9:$G$1048576,'Mobile-Detail Calcs'!I$21)</f>
        <v>0</v>
      </c>
      <c r="J39" s="137">
        <f>SUMIFS('Mobile-Data'!$H$9:$H$1048576,'Mobile-Data'!$C$9:$C$1048576,'Mobile-Detail Calcs'!$B39,'Mobile-Data'!$G$9:$G$1048576,'Mobile-Detail Calcs'!J$21)</f>
        <v>0</v>
      </c>
      <c r="K39" s="137">
        <f>SUMIFS('Mobile-Data'!$H$9:$H$1048576,'Mobile-Data'!$C$9:$C$1048576,'Mobile-Detail Calcs'!$B39,'Mobile-Data'!$G$9:$G$1048576,'Mobile-Detail Calcs'!K$21)</f>
        <v>0</v>
      </c>
      <c r="L39" s="137">
        <f>SUMIFS('Mobile-Data'!$H$9:$H$1048576,'Mobile-Data'!$C$9:$C$1048576,'Mobile-Detail Calcs'!$B39,'Mobile-Data'!$G$9:$G$1048576,'Mobile-Detail Calcs'!L$21)</f>
        <v>0</v>
      </c>
      <c r="M39" s="172">
        <f>SUMIFS('Mobile-Data'!$H$9:$H$1048576,'Mobile-Data'!$C$9:$C$1048576,'Mobile-Detail Calcs'!$B39,'Mobile-Data'!$G$9:$G$1048576,'Mobile-Detail Calcs'!M$21)</f>
        <v>0</v>
      </c>
      <c r="N39"/>
      <c r="O39"/>
      <c r="P39"/>
      <c r="Q39" s="308"/>
    </row>
    <row r="40" spans="1:17" s="109" customFormat="1" hidden="1">
      <c r="A40" s="265"/>
      <c r="B40" s="99">
        <f>'Background Controls'!I22</f>
        <v>0</v>
      </c>
      <c r="C40" s="137">
        <f>SUMIFS('Mobile-Data'!$H$9:$H$1048576,'Mobile-Data'!$C$9:$C$1048576,'Mobile-Detail Calcs'!$B40,'Mobile-Data'!$G$9:$G$1048576,'Mobile-Detail Calcs'!C$21)</f>
        <v>0</v>
      </c>
      <c r="D40" s="137">
        <f>SUMIFS('Mobile-Data'!$H$9:$H$1048576,'Mobile-Data'!$C$9:$C$1048576,'Mobile-Detail Calcs'!$B40,'Mobile-Data'!$G$9:$G$1048576,'Mobile-Detail Calcs'!D$21)</f>
        <v>0</v>
      </c>
      <c r="E40" s="137">
        <f>SUMIFS('Mobile-Data'!$H$9:$H$1048576,'Mobile-Data'!$C$9:$C$1048576,'Mobile-Detail Calcs'!$B40,'Mobile-Data'!$G$9:$G$1048576,'Mobile-Detail Calcs'!E$21)</f>
        <v>0</v>
      </c>
      <c r="F40" s="137">
        <f>SUMIFS('Mobile-Data'!$H$9:$H$1048576,'Mobile-Data'!$C$9:$C$1048576,'Mobile-Detail Calcs'!$B40,'Mobile-Data'!$G$9:$G$1048576,'Mobile-Detail Calcs'!F$21)</f>
        <v>0</v>
      </c>
      <c r="G40" s="137">
        <f>SUMIFS('Mobile-Data'!$H$9:$H$1048576,'Mobile-Data'!$C$9:$C$1048576,'Mobile-Detail Calcs'!$B40,'Mobile-Data'!$G$9:$G$1048576,'Mobile-Detail Calcs'!G$21)</f>
        <v>0</v>
      </c>
      <c r="H40" s="137">
        <f>SUMIFS('Mobile-Data'!$H$9:$H$1048576,'Mobile-Data'!$C$9:$C$1048576,'Mobile-Detail Calcs'!$B40,'Mobile-Data'!$G$9:$G$1048576,'Mobile-Detail Calcs'!H$21)</f>
        <v>0</v>
      </c>
      <c r="I40" s="137">
        <f>SUMIFS('Mobile-Data'!$H$9:$H$1048576,'Mobile-Data'!$C$9:$C$1048576,'Mobile-Detail Calcs'!$B40,'Mobile-Data'!$G$9:$G$1048576,'Mobile-Detail Calcs'!I$21)</f>
        <v>0</v>
      </c>
      <c r="J40" s="137">
        <f>SUMIFS('Mobile-Data'!$H$9:$H$1048576,'Mobile-Data'!$C$9:$C$1048576,'Mobile-Detail Calcs'!$B40,'Mobile-Data'!$G$9:$G$1048576,'Mobile-Detail Calcs'!J$21)</f>
        <v>0</v>
      </c>
      <c r="K40" s="137">
        <f>SUMIFS('Mobile-Data'!$H$9:$H$1048576,'Mobile-Data'!$C$9:$C$1048576,'Mobile-Detail Calcs'!$B40,'Mobile-Data'!$G$9:$G$1048576,'Mobile-Detail Calcs'!K$21)</f>
        <v>0</v>
      </c>
      <c r="L40" s="137">
        <f>SUMIFS('Mobile-Data'!$H$9:$H$1048576,'Mobile-Data'!$C$9:$C$1048576,'Mobile-Detail Calcs'!$B40,'Mobile-Data'!$G$9:$G$1048576,'Mobile-Detail Calcs'!L$21)</f>
        <v>0</v>
      </c>
      <c r="M40" s="172">
        <f>SUMIFS('Mobile-Data'!$H$9:$H$1048576,'Mobile-Data'!$C$9:$C$1048576,'Mobile-Detail Calcs'!$B40,'Mobile-Data'!$G$9:$G$1048576,'Mobile-Detail Calcs'!M$21)</f>
        <v>0</v>
      </c>
      <c r="N40"/>
      <c r="O40"/>
      <c r="P40"/>
      <c r="Q40" s="308"/>
    </row>
    <row r="41" spans="1:17" s="109" customFormat="1" hidden="1">
      <c r="A41" s="265"/>
      <c r="B41" s="99">
        <f>'Background Controls'!I23</f>
        <v>0</v>
      </c>
      <c r="C41" s="137">
        <f>SUMIFS('Mobile-Data'!$H$9:$H$1048576,'Mobile-Data'!$C$9:$C$1048576,'Mobile-Detail Calcs'!$B41,'Mobile-Data'!$G$9:$G$1048576,'Mobile-Detail Calcs'!C$21)</f>
        <v>0</v>
      </c>
      <c r="D41" s="137">
        <f>SUMIFS('Mobile-Data'!$H$9:$H$1048576,'Mobile-Data'!$C$9:$C$1048576,'Mobile-Detail Calcs'!$B41,'Mobile-Data'!$G$9:$G$1048576,'Mobile-Detail Calcs'!D$21)</f>
        <v>0</v>
      </c>
      <c r="E41" s="137">
        <f>SUMIFS('Mobile-Data'!$H$9:$H$1048576,'Mobile-Data'!$C$9:$C$1048576,'Mobile-Detail Calcs'!$B41,'Mobile-Data'!$G$9:$G$1048576,'Mobile-Detail Calcs'!E$21)</f>
        <v>0</v>
      </c>
      <c r="F41" s="137">
        <f>SUMIFS('Mobile-Data'!$H$9:$H$1048576,'Mobile-Data'!$C$9:$C$1048576,'Mobile-Detail Calcs'!$B41,'Mobile-Data'!$G$9:$G$1048576,'Mobile-Detail Calcs'!F$21)</f>
        <v>0</v>
      </c>
      <c r="G41" s="137">
        <f>SUMIFS('Mobile-Data'!$H$9:$H$1048576,'Mobile-Data'!$C$9:$C$1048576,'Mobile-Detail Calcs'!$B41,'Mobile-Data'!$G$9:$G$1048576,'Mobile-Detail Calcs'!G$21)</f>
        <v>0</v>
      </c>
      <c r="H41" s="137">
        <f>SUMIFS('Mobile-Data'!$H$9:$H$1048576,'Mobile-Data'!$C$9:$C$1048576,'Mobile-Detail Calcs'!$B41,'Mobile-Data'!$G$9:$G$1048576,'Mobile-Detail Calcs'!H$21)</f>
        <v>0</v>
      </c>
      <c r="I41" s="137">
        <f>SUMIFS('Mobile-Data'!$H$9:$H$1048576,'Mobile-Data'!$C$9:$C$1048576,'Mobile-Detail Calcs'!$B41,'Mobile-Data'!$G$9:$G$1048576,'Mobile-Detail Calcs'!I$21)</f>
        <v>0</v>
      </c>
      <c r="J41" s="137">
        <f>SUMIFS('Mobile-Data'!$H$9:$H$1048576,'Mobile-Data'!$C$9:$C$1048576,'Mobile-Detail Calcs'!$B41,'Mobile-Data'!$G$9:$G$1048576,'Mobile-Detail Calcs'!J$21)</f>
        <v>0</v>
      </c>
      <c r="K41" s="137">
        <f>SUMIFS('Mobile-Data'!$H$9:$H$1048576,'Mobile-Data'!$C$9:$C$1048576,'Mobile-Detail Calcs'!$B41,'Mobile-Data'!$G$9:$G$1048576,'Mobile-Detail Calcs'!K$21)</f>
        <v>0</v>
      </c>
      <c r="L41" s="137">
        <f>SUMIFS('Mobile-Data'!$H$9:$H$1048576,'Mobile-Data'!$C$9:$C$1048576,'Mobile-Detail Calcs'!$B41,'Mobile-Data'!$G$9:$G$1048576,'Mobile-Detail Calcs'!L$21)</f>
        <v>0</v>
      </c>
      <c r="M41" s="172">
        <f>SUMIFS('Mobile-Data'!$H$9:$H$1048576,'Mobile-Data'!$C$9:$C$1048576,'Mobile-Detail Calcs'!$B41,'Mobile-Data'!$G$9:$G$1048576,'Mobile-Detail Calcs'!M$21)</f>
        <v>0</v>
      </c>
      <c r="N41"/>
      <c r="O41"/>
      <c r="P41"/>
      <c r="Q41" s="308"/>
    </row>
    <row r="42" spans="1:17" s="109" customFormat="1" hidden="1">
      <c r="A42" s="265"/>
      <c r="B42" s="99">
        <f>'Background Controls'!I24</f>
        <v>0</v>
      </c>
      <c r="C42" s="137">
        <f>SUMIFS('Mobile-Data'!$H$9:$H$1048576,'Mobile-Data'!$C$9:$C$1048576,'Mobile-Detail Calcs'!$B42,'Mobile-Data'!$G$9:$G$1048576,'Mobile-Detail Calcs'!C$21)</f>
        <v>0</v>
      </c>
      <c r="D42" s="137">
        <f>SUMIFS('Mobile-Data'!$H$9:$H$1048576,'Mobile-Data'!$C$9:$C$1048576,'Mobile-Detail Calcs'!$B42,'Mobile-Data'!$G$9:$G$1048576,'Mobile-Detail Calcs'!D$21)</f>
        <v>0</v>
      </c>
      <c r="E42" s="137">
        <f>SUMIFS('Mobile-Data'!$H$9:$H$1048576,'Mobile-Data'!$C$9:$C$1048576,'Mobile-Detail Calcs'!$B42,'Mobile-Data'!$G$9:$G$1048576,'Mobile-Detail Calcs'!E$21)</f>
        <v>0</v>
      </c>
      <c r="F42" s="137">
        <f>SUMIFS('Mobile-Data'!$H$9:$H$1048576,'Mobile-Data'!$C$9:$C$1048576,'Mobile-Detail Calcs'!$B42,'Mobile-Data'!$G$9:$G$1048576,'Mobile-Detail Calcs'!F$21)</f>
        <v>0</v>
      </c>
      <c r="G42" s="137">
        <f>SUMIFS('Mobile-Data'!$H$9:$H$1048576,'Mobile-Data'!$C$9:$C$1048576,'Mobile-Detail Calcs'!$B42,'Mobile-Data'!$G$9:$G$1048576,'Mobile-Detail Calcs'!G$21)</f>
        <v>0</v>
      </c>
      <c r="H42" s="137">
        <f>SUMIFS('Mobile-Data'!$H$9:$H$1048576,'Mobile-Data'!$C$9:$C$1048576,'Mobile-Detail Calcs'!$B42,'Mobile-Data'!$G$9:$G$1048576,'Mobile-Detail Calcs'!H$21)</f>
        <v>0</v>
      </c>
      <c r="I42" s="137">
        <f>SUMIFS('Mobile-Data'!$H$9:$H$1048576,'Mobile-Data'!$C$9:$C$1048576,'Mobile-Detail Calcs'!$B42,'Mobile-Data'!$G$9:$G$1048576,'Mobile-Detail Calcs'!I$21)</f>
        <v>0</v>
      </c>
      <c r="J42" s="137">
        <f>SUMIFS('Mobile-Data'!$H$9:$H$1048576,'Mobile-Data'!$C$9:$C$1048576,'Mobile-Detail Calcs'!$B42,'Mobile-Data'!$G$9:$G$1048576,'Mobile-Detail Calcs'!J$21)</f>
        <v>0</v>
      </c>
      <c r="K42" s="137">
        <f>SUMIFS('Mobile-Data'!$H$9:$H$1048576,'Mobile-Data'!$C$9:$C$1048576,'Mobile-Detail Calcs'!$B42,'Mobile-Data'!$G$9:$G$1048576,'Mobile-Detail Calcs'!K$21)</f>
        <v>0</v>
      </c>
      <c r="L42" s="137">
        <f>SUMIFS('Mobile-Data'!$H$9:$H$1048576,'Mobile-Data'!$C$9:$C$1048576,'Mobile-Detail Calcs'!$B42,'Mobile-Data'!$G$9:$G$1048576,'Mobile-Detail Calcs'!L$21)</f>
        <v>0</v>
      </c>
      <c r="M42" s="172">
        <f>SUMIFS('Mobile-Data'!$H$9:$H$1048576,'Mobile-Data'!$C$9:$C$1048576,'Mobile-Detail Calcs'!$B42,'Mobile-Data'!$G$9:$G$1048576,'Mobile-Detail Calcs'!M$21)</f>
        <v>0</v>
      </c>
      <c r="N42"/>
      <c r="O42"/>
      <c r="P42"/>
      <c r="Q42" s="308"/>
    </row>
    <row r="43" spans="1:17" s="109" customFormat="1">
      <c r="A43" s="265"/>
      <c r="B43" s="867" t="s">
        <v>253</v>
      </c>
      <c r="C43" s="140">
        <f t="shared" ref="C43:M43" si="0">SUM(C23:C42)</f>
        <v>0</v>
      </c>
      <c r="D43" s="140">
        <f t="shared" si="0"/>
        <v>0</v>
      </c>
      <c r="E43" s="140">
        <f t="shared" si="0"/>
        <v>0</v>
      </c>
      <c r="F43" s="140">
        <f t="shared" si="0"/>
        <v>0</v>
      </c>
      <c r="G43" s="140">
        <f t="shared" si="0"/>
        <v>0</v>
      </c>
      <c r="H43" s="140">
        <f t="shared" si="0"/>
        <v>0</v>
      </c>
      <c r="I43" s="140">
        <f t="shared" si="0"/>
        <v>0</v>
      </c>
      <c r="J43" s="140">
        <f t="shared" si="0"/>
        <v>0</v>
      </c>
      <c r="K43" s="140">
        <f t="shared" si="0"/>
        <v>0</v>
      </c>
      <c r="L43" s="140">
        <f t="shared" si="0"/>
        <v>0</v>
      </c>
      <c r="M43" s="173">
        <f t="shared" si="0"/>
        <v>0</v>
      </c>
      <c r="N43"/>
      <c r="O43"/>
      <c r="P43"/>
      <c r="Q43" s="308"/>
    </row>
    <row r="44" spans="1:17" s="109" customFormat="1">
      <c r="A44" s="265"/>
      <c r="B44"/>
      <c r="C44"/>
      <c r="D44"/>
      <c r="E44"/>
      <c r="F44"/>
      <c r="G44"/>
      <c r="H44"/>
      <c r="I44"/>
      <c r="J44"/>
      <c r="K44"/>
      <c r="L44"/>
      <c r="M44"/>
      <c r="N44"/>
      <c r="O44"/>
      <c r="P44"/>
      <c r="Q44" s="308"/>
    </row>
    <row r="45" spans="1:17" s="109" customFormat="1">
      <c r="A45" s="268" t="s">
        <v>298</v>
      </c>
      <c r="B45"/>
      <c r="C45"/>
      <c r="D45"/>
      <c r="E45"/>
      <c r="F45"/>
      <c r="G45"/>
      <c r="H45"/>
      <c r="I45"/>
      <c r="J45"/>
      <c r="K45"/>
      <c r="L45"/>
      <c r="M45"/>
      <c r="N45"/>
      <c r="O45"/>
      <c r="P45"/>
      <c r="Q45" s="308"/>
    </row>
    <row r="46" spans="1:17" s="109" customFormat="1">
      <c r="A46" s="286" t="s">
        <v>411</v>
      </c>
      <c r="B46"/>
      <c r="C46"/>
      <c r="D46"/>
      <c r="E46"/>
      <c r="F46"/>
      <c r="G46" s="68"/>
      <c r="H46"/>
      <c r="I46" s="68"/>
      <c r="J46"/>
      <c r="K46"/>
      <c r="L46"/>
      <c r="M46"/>
      <c r="N46"/>
      <c r="O46"/>
      <c r="P46"/>
      <c r="Q46" s="308"/>
    </row>
    <row r="47" spans="1:17" s="109" customFormat="1" ht="29">
      <c r="A47" s="265"/>
      <c r="B47" s="860"/>
      <c r="C47" s="96" t="s">
        <v>175</v>
      </c>
      <c r="D47" s="96" t="s">
        <v>172</v>
      </c>
      <c r="E47" s="96" t="s">
        <v>377</v>
      </c>
      <c r="F47" s="96" t="s">
        <v>378</v>
      </c>
      <c r="G47" s="96" t="s">
        <v>408</v>
      </c>
      <c r="H47" s="96" t="s">
        <v>380</v>
      </c>
      <c r="I47" s="175" t="s">
        <v>383</v>
      </c>
      <c r="J47" s="96" t="s">
        <v>174</v>
      </c>
      <c r="K47" s="96" t="s">
        <v>391</v>
      </c>
      <c r="L47" s="96" t="s">
        <v>180</v>
      </c>
      <c r="M47" s="103" t="s">
        <v>389</v>
      </c>
      <c r="N47" s="868" t="s">
        <v>263</v>
      </c>
      <c r="O47"/>
      <c r="P47"/>
      <c r="Q47" s="308"/>
    </row>
    <row r="48" spans="1:17" s="109" customFormat="1">
      <c r="A48" s="284" t="s">
        <v>101</v>
      </c>
      <c r="B48" s="99" t="str">
        <f>'Background Controls'!I5</f>
        <v>Residential</v>
      </c>
      <c r="C48" s="137">
        <f t="shared" ref="C48:M48" si="1">C23*VLOOKUP(C$47, mob_fuel_CO2_efs, 5, FALSE)</f>
        <v>0</v>
      </c>
      <c r="D48" s="137">
        <f t="shared" si="1"/>
        <v>0</v>
      </c>
      <c r="E48" s="137">
        <f t="shared" si="1"/>
        <v>0</v>
      </c>
      <c r="F48" s="137">
        <f t="shared" si="1"/>
        <v>0</v>
      </c>
      <c r="G48" s="137">
        <f t="shared" si="1"/>
        <v>0</v>
      </c>
      <c r="H48" s="137">
        <f t="shared" si="1"/>
        <v>0</v>
      </c>
      <c r="I48" s="176">
        <f t="shared" si="1"/>
        <v>0</v>
      </c>
      <c r="J48" s="137">
        <f t="shared" si="1"/>
        <v>0</v>
      </c>
      <c r="K48" s="137">
        <f t="shared" si="1"/>
        <v>0</v>
      </c>
      <c r="L48" s="137">
        <f t="shared" si="1"/>
        <v>0</v>
      </c>
      <c r="M48" s="137">
        <f t="shared" si="1"/>
        <v>0</v>
      </c>
      <c r="N48" s="136">
        <f>SUM(C48:M48)</f>
        <v>0</v>
      </c>
      <c r="O48"/>
      <c r="P48"/>
      <c r="Q48" s="308"/>
    </row>
    <row r="49" spans="1:17" s="109" customFormat="1">
      <c r="A49" s="265"/>
      <c r="B49" s="99" t="str">
        <f>'Background Controls'!I6</f>
        <v>Commercial/Institutional</v>
      </c>
      <c r="C49" s="137">
        <f t="shared" ref="C49:M49" si="2">C24*VLOOKUP(C$47, mob_fuel_CO2_efs, 5, FALSE)</f>
        <v>0</v>
      </c>
      <c r="D49" s="137">
        <f t="shared" si="2"/>
        <v>0</v>
      </c>
      <c r="E49" s="137">
        <f t="shared" si="2"/>
        <v>0</v>
      </c>
      <c r="F49" s="137">
        <f t="shared" si="2"/>
        <v>0</v>
      </c>
      <c r="G49" s="137">
        <f t="shared" si="2"/>
        <v>0</v>
      </c>
      <c r="H49" s="137">
        <f t="shared" si="2"/>
        <v>0</v>
      </c>
      <c r="I49" s="176">
        <f t="shared" si="2"/>
        <v>0</v>
      </c>
      <c r="J49" s="137">
        <f t="shared" si="2"/>
        <v>0</v>
      </c>
      <c r="K49" s="137">
        <f t="shared" si="2"/>
        <v>0</v>
      </c>
      <c r="L49" s="137">
        <f t="shared" si="2"/>
        <v>0</v>
      </c>
      <c r="M49" s="137">
        <f t="shared" si="2"/>
        <v>0</v>
      </c>
      <c r="N49" s="136">
        <f t="shared" ref="N49:N68" si="3">SUM(C49:M49)</f>
        <v>0</v>
      </c>
      <c r="O49"/>
      <c r="P49"/>
      <c r="Q49" s="308"/>
    </row>
    <row r="50" spans="1:17" s="109" customFormat="1">
      <c r="A50" s="265"/>
      <c r="B50" s="99" t="str">
        <f>'Background Controls'!I7</f>
        <v>Industrial</v>
      </c>
      <c r="C50" s="137">
        <f t="shared" ref="C50:M50" si="4">C25*VLOOKUP(C$47, mob_fuel_CO2_efs, 5, FALSE)</f>
        <v>0</v>
      </c>
      <c r="D50" s="137">
        <f t="shared" si="4"/>
        <v>0</v>
      </c>
      <c r="E50" s="137">
        <f t="shared" si="4"/>
        <v>0</v>
      </c>
      <c r="F50" s="137">
        <f t="shared" si="4"/>
        <v>0</v>
      </c>
      <c r="G50" s="137">
        <f t="shared" si="4"/>
        <v>0</v>
      </c>
      <c r="H50" s="137">
        <f t="shared" si="4"/>
        <v>0</v>
      </c>
      <c r="I50" s="176">
        <f t="shared" si="4"/>
        <v>0</v>
      </c>
      <c r="J50" s="137">
        <f t="shared" si="4"/>
        <v>0</v>
      </c>
      <c r="K50" s="137">
        <f t="shared" si="4"/>
        <v>0</v>
      </c>
      <c r="L50" s="137">
        <f t="shared" si="4"/>
        <v>0</v>
      </c>
      <c r="M50" s="137">
        <f t="shared" si="4"/>
        <v>0</v>
      </c>
      <c r="N50" s="136">
        <f t="shared" si="3"/>
        <v>0</v>
      </c>
      <c r="O50"/>
      <c r="P50"/>
      <c r="Q50" s="308"/>
    </row>
    <row r="51" spans="1:17" s="109" customFormat="1">
      <c r="A51" s="265"/>
      <c r="B51" s="99" t="str">
        <f>'Background Controls'!I8</f>
        <v>Energy Generation</v>
      </c>
      <c r="C51" s="137">
        <f t="shared" ref="C51:M51" si="5">C26*VLOOKUP(C$47, mob_fuel_CO2_efs, 5, FALSE)</f>
        <v>0</v>
      </c>
      <c r="D51" s="137">
        <f t="shared" si="5"/>
        <v>0</v>
      </c>
      <c r="E51" s="137">
        <f t="shared" si="5"/>
        <v>0</v>
      </c>
      <c r="F51" s="137">
        <f t="shared" si="5"/>
        <v>0</v>
      </c>
      <c r="G51" s="137">
        <f t="shared" si="5"/>
        <v>0</v>
      </c>
      <c r="H51" s="137">
        <f t="shared" si="5"/>
        <v>0</v>
      </c>
      <c r="I51" s="176">
        <f t="shared" si="5"/>
        <v>0</v>
      </c>
      <c r="J51" s="137">
        <f t="shared" si="5"/>
        <v>0</v>
      </c>
      <c r="K51" s="137">
        <f t="shared" si="5"/>
        <v>0</v>
      </c>
      <c r="L51" s="137">
        <f t="shared" si="5"/>
        <v>0</v>
      </c>
      <c r="M51" s="137">
        <f t="shared" si="5"/>
        <v>0</v>
      </c>
      <c r="N51" s="136">
        <f t="shared" si="3"/>
        <v>0</v>
      </c>
      <c r="O51"/>
      <c r="P51"/>
      <c r="Q51" s="308"/>
    </row>
    <row r="52" spans="1:17" s="109" customFormat="1" hidden="1">
      <c r="A52" s="265"/>
      <c r="B52" s="99">
        <f>'Background Controls'!I9</f>
        <v>0</v>
      </c>
      <c r="C52" s="137">
        <f t="shared" ref="C52:M52" si="6">C27*VLOOKUP(C$47, mob_fuel_CO2_efs, 5, FALSE)</f>
        <v>0</v>
      </c>
      <c r="D52" s="137">
        <f t="shared" si="6"/>
        <v>0</v>
      </c>
      <c r="E52" s="137">
        <f t="shared" si="6"/>
        <v>0</v>
      </c>
      <c r="F52" s="137">
        <f t="shared" si="6"/>
        <v>0</v>
      </c>
      <c r="G52" s="137">
        <f t="shared" si="6"/>
        <v>0</v>
      </c>
      <c r="H52" s="137">
        <f t="shared" si="6"/>
        <v>0</v>
      </c>
      <c r="I52" s="176">
        <f t="shared" si="6"/>
        <v>0</v>
      </c>
      <c r="J52" s="137">
        <f t="shared" si="6"/>
        <v>0</v>
      </c>
      <c r="K52" s="137">
        <f t="shared" si="6"/>
        <v>0</v>
      </c>
      <c r="L52" s="137">
        <f t="shared" si="6"/>
        <v>0</v>
      </c>
      <c r="M52" s="137">
        <f t="shared" si="6"/>
        <v>0</v>
      </c>
      <c r="N52" s="136">
        <f t="shared" si="3"/>
        <v>0</v>
      </c>
      <c r="O52"/>
      <c r="P52"/>
      <c r="Q52" s="308"/>
    </row>
    <row r="53" spans="1:17" s="109" customFormat="1" hidden="1">
      <c r="A53" s="265"/>
      <c r="B53" s="99">
        <f>'Background Controls'!I10</f>
        <v>0</v>
      </c>
      <c r="C53" s="137">
        <f t="shared" ref="C53:M53" si="7">C28*VLOOKUP(C$47, mob_fuel_CO2_efs, 5, FALSE)</f>
        <v>0</v>
      </c>
      <c r="D53" s="137">
        <f t="shared" si="7"/>
        <v>0</v>
      </c>
      <c r="E53" s="137">
        <f t="shared" si="7"/>
        <v>0</v>
      </c>
      <c r="F53" s="137">
        <f t="shared" si="7"/>
        <v>0</v>
      </c>
      <c r="G53" s="137">
        <f t="shared" si="7"/>
        <v>0</v>
      </c>
      <c r="H53" s="137">
        <f t="shared" si="7"/>
        <v>0</v>
      </c>
      <c r="I53" s="137">
        <f t="shared" si="7"/>
        <v>0</v>
      </c>
      <c r="J53" s="137">
        <f t="shared" si="7"/>
        <v>0</v>
      </c>
      <c r="K53" s="137">
        <f t="shared" si="7"/>
        <v>0</v>
      </c>
      <c r="L53" s="137">
        <f t="shared" si="7"/>
        <v>0</v>
      </c>
      <c r="M53" s="137">
        <f t="shared" si="7"/>
        <v>0</v>
      </c>
      <c r="N53" s="136">
        <f t="shared" si="3"/>
        <v>0</v>
      </c>
      <c r="O53"/>
      <c r="P53"/>
      <c r="Q53" s="308"/>
    </row>
    <row r="54" spans="1:17" s="109" customFormat="1" hidden="1">
      <c r="A54" s="265"/>
      <c r="B54" s="99">
        <f>'Background Controls'!I11</f>
        <v>0</v>
      </c>
      <c r="C54" s="137">
        <f t="shared" ref="C54:M54" si="8">C29*VLOOKUP(C$47, mob_fuel_CO2_efs, 5, FALSE)</f>
        <v>0</v>
      </c>
      <c r="D54" s="137">
        <f t="shared" si="8"/>
        <v>0</v>
      </c>
      <c r="E54" s="137">
        <f t="shared" si="8"/>
        <v>0</v>
      </c>
      <c r="F54" s="137">
        <f t="shared" si="8"/>
        <v>0</v>
      </c>
      <c r="G54" s="137">
        <f t="shared" si="8"/>
        <v>0</v>
      </c>
      <c r="H54" s="137">
        <f t="shared" si="8"/>
        <v>0</v>
      </c>
      <c r="I54" s="137">
        <f t="shared" si="8"/>
        <v>0</v>
      </c>
      <c r="J54" s="137">
        <f t="shared" si="8"/>
        <v>0</v>
      </c>
      <c r="K54" s="137">
        <f t="shared" si="8"/>
        <v>0</v>
      </c>
      <c r="L54" s="137">
        <f t="shared" si="8"/>
        <v>0</v>
      </c>
      <c r="M54" s="137">
        <f t="shared" si="8"/>
        <v>0</v>
      </c>
      <c r="N54" s="136">
        <f t="shared" si="3"/>
        <v>0</v>
      </c>
      <c r="O54"/>
      <c r="P54"/>
      <c r="Q54" s="308"/>
    </row>
    <row r="55" spans="1:17" s="109" customFormat="1" hidden="1">
      <c r="A55" s="265"/>
      <c r="B55" s="99">
        <f>'Background Controls'!I12</f>
        <v>0</v>
      </c>
      <c r="C55" s="137">
        <f t="shared" ref="C55:M55" si="9">C30*VLOOKUP(C$47, mob_fuel_CO2_efs, 5, FALSE)</f>
        <v>0</v>
      </c>
      <c r="D55" s="137">
        <f t="shared" si="9"/>
        <v>0</v>
      </c>
      <c r="E55" s="137">
        <f t="shared" si="9"/>
        <v>0</v>
      </c>
      <c r="F55" s="137">
        <f t="shared" si="9"/>
        <v>0</v>
      </c>
      <c r="G55" s="137">
        <f t="shared" si="9"/>
        <v>0</v>
      </c>
      <c r="H55" s="137">
        <f t="shared" si="9"/>
        <v>0</v>
      </c>
      <c r="I55" s="137">
        <f t="shared" si="9"/>
        <v>0</v>
      </c>
      <c r="J55" s="137">
        <f t="shared" si="9"/>
        <v>0</v>
      </c>
      <c r="K55" s="137">
        <f t="shared" si="9"/>
        <v>0</v>
      </c>
      <c r="L55" s="137">
        <f t="shared" si="9"/>
        <v>0</v>
      </c>
      <c r="M55" s="137">
        <f t="shared" si="9"/>
        <v>0</v>
      </c>
      <c r="N55" s="136">
        <f t="shared" si="3"/>
        <v>0</v>
      </c>
      <c r="O55"/>
      <c r="P55"/>
      <c r="Q55" s="308"/>
    </row>
    <row r="56" spans="1:17" s="109" customFormat="1" hidden="1">
      <c r="A56" s="265"/>
      <c r="B56" s="99">
        <f>'Background Controls'!I13</f>
        <v>0</v>
      </c>
      <c r="C56" s="137">
        <f t="shared" ref="C56:M56" si="10">C31*VLOOKUP(C$47, mob_fuel_CO2_efs, 5, FALSE)</f>
        <v>0</v>
      </c>
      <c r="D56" s="137">
        <f t="shared" si="10"/>
        <v>0</v>
      </c>
      <c r="E56" s="137">
        <f t="shared" si="10"/>
        <v>0</v>
      </c>
      <c r="F56" s="137">
        <f t="shared" si="10"/>
        <v>0</v>
      </c>
      <c r="G56" s="137">
        <f t="shared" si="10"/>
        <v>0</v>
      </c>
      <c r="H56" s="137">
        <f t="shared" si="10"/>
        <v>0</v>
      </c>
      <c r="I56" s="137">
        <f t="shared" si="10"/>
        <v>0</v>
      </c>
      <c r="J56" s="137">
        <f t="shared" si="10"/>
        <v>0</v>
      </c>
      <c r="K56" s="137">
        <f t="shared" si="10"/>
        <v>0</v>
      </c>
      <c r="L56" s="137">
        <f t="shared" si="10"/>
        <v>0</v>
      </c>
      <c r="M56" s="137">
        <f t="shared" si="10"/>
        <v>0</v>
      </c>
      <c r="N56" s="136">
        <f t="shared" si="3"/>
        <v>0</v>
      </c>
      <c r="O56"/>
      <c r="P56"/>
      <c r="Q56" s="308"/>
    </row>
    <row r="57" spans="1:17" s="109" customFormat="1" hidden="1">
      <c r="A57" s="265"/>
      <c r="B57" s="99">
        <f>'Background Controls'!I14</f>
        <v>0</v>
      </c>
      <c r="C57" s="137">
        <f t="shared" ref="C57:M57" si="11">C32*VLOOKUP(C$47, mob_fuel_CO2_efs, 5, FALSE)</f>
        <v>0</v>
      </c>
      <c r="D57" s="137">
        <f t="shared" si="11"/>
        <v>0</v>
      </c>
      <c r="E57" s="137">
        <f t="shared" si="11"/>
        <v>0</v>
      </c>
      <c r="F57" s="137">
        <f t="shared" si="11"/>
        <v>0</v>
      </c>
      <c r="G57" s="137">
        <f t="shared" si="11"/>
        <v>0</v>
      </c>
      <c r="H57" s="137">
        <f t="shared" si="11"/>
        <v>0</v>
      </c>
      <c r="I57" s="137">
        <f t="shared" si="11"/>
        <v>0</v>
      </c>
      <c r="J57" s="137">
        <f t="shared" si="11"/>
        <v>0</v>
      </c>
      <c r="K57" s="137">
        <f t="shared" si="11"/>
        <v>0</v>
      </c>
      <c r="L57" s="137">
        <f t="shared" si="11"/>
        <v>0</v>
      </c>
      <c r="M57" s="137">
        <f t="shared" si="11"/>
        <v>0</v>
      </c>
      <c r="N57" s="136">
        <f t="shared" si="3"/>
        <v>0</v>
      </c>
      <c r="O57"/>
      <c r="P57"/>
      <c r="Q57" s="308"/>
    </row>
    <row r="58" spans="1:17" s="109" customFormat="1" hidden="1">
      <c r="A58" s="265"/>
      <c r="B58" s="99">
        <f>'Background Controls'!I15</f>
        <v>0</v>
      </c>
      <c r="C58" s="137">
        <f t="shared" ref="C58:M58" si="12">C33*VLOOKUP(C$47, mob_fuel_CO2_efs, 5, FALSE)</f>
        <v>0</v>
      </c>
      <c r="D58" s="137">
        <f t="shared" si="12"/>
        <v>0</v>
      </c>
      <c r="E58" s="137">
        <f t="shared" si="12"/>
        <v>0</v>
      </c>
      <c r="F58" s="137">
        <f t="shared" si="12"/>
        <v>0</v>
      </c>
      <c r="G58" s="137">
        <f t="shared" si="12"/>
        <v>0</v>
      </c>
      <c r="H58" s="137">
        <f t="shared" si="12"/>
        <v>0</v>
      </c>
      <c r="I58" s="137">
        <f t="shared" si="12"/>
        <v>0</v>
      </c>
      <c r="J58" s="137">
        <f t="shared" si="12"/>
        <v>0</v>
      </c>
      <c r="K58" s="137">
        <f t="shared" si="12"/>
        <v>0</v>
      </c>
      <c r="L58" s="137">
        <f t="shared" si="12"/>
        <v>0</v>
      </c>
      <c r="M58" s="137">
        <f t="shared" si="12"/>
        <v>0</v>
      </c>
      <c r="N58" s="136">
        <f t="shared" si="3"/>
        <v>0</v>
      </c>
      <c r="O58"/>
      <c r="P58"/>
      <c r="Q58" s="308"/>
    </row>
    <row r="59" spans="1:17" s="109" customFormat="1" hidden="1">
      <c r="A59" s="265"/>
      <c r="B59" s="99">
        <f>'Background Controls'!I16</f>
        <v>0</v>
      </c>
      <c r="C59" s="137">
        <f t="shared" ref="C59:M59" si="13">C34*VLOOKUP(C$47, mob_fuel_CO2_efs, 5, FALSE)</f>
        <v>0</v>
      </c>
      <c r="D59" s="137">
        <f t="shared" si="13"/>
        <v>0</v>
      </c>
      <c r="E59" s="137">
        <f t="shared" si="13"/>
        <v>0</v>
      </c>
      <c r="F59" s="137">
        <f t="shared" si="13"/>
        <v>0</v>
      </c>
      <c r="G59" s="137">
        <f t="shared" si="13"/>
        <v>0</v>
      </c>
      <c r="H59" s="137">
        <f t="shared" si="13"/>
        <v>0</v>
      </c>
      <c r="I59" s="137">
        <f t="shared" si="13"/>
        <v>0</v>
      </c>
      <c r="J59" s="137">
        <f t="shared" si="13"/>
        <v>0</v>
      </c>
      <c r="K59" s="137">
        <f t="shared" si="13"/>
        <v>0</v>
      </c>
      <c r="L59" s="137">
        <f t="shared" si="13"/>
        <v>0</v>
      </c>
      <c r="M59" s="137">
        <f t="shared" si="13"/>
        <v>0</v>
      </c>
      <c r="N59" s="136">
        <f t="shared" si="3"/>
        <v>0</v>
      </c>
      <c r="O59"/>
      <c r="P59"/>
      <c r="Q59" s="308"/>
    </row>
    <row r="60" spans="1:17" s="109" customFormat="1" hidden="1">
      <c r="A60" s="265"/>
      <c r="B60" s="99">
        <f>'Background Controls'!I17</f>
        <v>0</v>
      </c>
      <c r="C60" s="137">
        <f t="shared" ref="C60:M60" si="14">C35*VLOOKUP(C$47, mob_fuel_CO2_efs, 5, FALSE)</f>
        <v>0</v>
      </c>
      <c r="D60" s="137">
        <f t="shared" si="14"/>
        <v>0</v>
      </c>
      <c r="E60" s="137">
        <f t="shared" si="14"/>
        <v>0</v>
      </c>
      <c r="F60" s="137">
        <f t="shared" si="14"/>
        <v>0</v>
      </c>
      <c r="G60" s="137">
        <f t="shared" si="14"/>
        <v>0</v>
      </c>
      <c r="H60" s="137">
        <f t="shared" si="14"/>
        <v>0</v>
      </c>
      <c r="I60" s="137">
        <f t="shared" si="14"/>
        <v>0</v>
      </c>
      <c r="J60" s="137">
        <f t="shared" si="14"/>
        <v>0</v>
      </c>
      <c r="K60" s="137">
        <f t="shared" si="14"/>
        <v>0</v>
      </c>
      <c r="L60" s="137">
        <f t="shared" si="14"/>
        <v>0</v>
      </c>
      <c r="M60" s="137">
        <f t="shared" si="14"/>
        <v>0</v>
      </c>
      <c r="N60" s="136">
        <f t="shared" si="3"/>
        <v>0</v>
      </c>
      <c r="O60"/>
      <c r="P60"/>
      <c r="Q60" s="308"/>
    </row>
    <row r="61" spans="1:17" s="109" customFormat="1" hidden="1">
      <c r="A61" s="265"/>
      <c r="B61" s="99">
        <f>'Background Controls'!I18</f>
        <v>0</v>
      </c>
      <c r="C61" s="137">
        <f t="shared" ref="C61:M61" si="15">C36*VLOOKUP(C$47, mob_fuel_CO2_efs, 5, FALSE)</f>
        <v>0</v>
      </c>
      <c r="D61" s="137">
        <f t="shared" si="15"/>
        <v>0</v>
      </c>
      <c r="E61" s="137">
        <f t="shared" si="15"/>
        <v>0</v>
      </c>
      <c r="F61" s="137">
        <f t="shared" si="15"/>
        <v>0</v>
      </c>
      <c r="G61" s="137">
        <f t="shared" si="15"/>
        <v>0</v>
      </c>
      <c r="H61" s="137">
        <f t="shared" si="15"/>
        <v>0</v>
      </c>
      <c r="I61" s="137">
        <f t="shared" si="15"/>
        <v>0</v>
      </c>
      <c r="J61" s="137">
        <f t="shared" si="15"/>
        <v>0</v>
      </c>
      <c r="K61" s="137">
        <f t="shared" si="15"/>
        <v>0</v>
      </c>
      <c r="L61" s="137">
        <f t="shared" si="15"/>
        <v>0</v>
      </c>
      <c r="M61" s="137">
        <f t="shared" si="15"/>
        <v>0</v>
      </c>
      <c r="N61" s="136">
        <f t="shared" si="3"/>
        <v>0</v>
      </c>
      <c r="O61"/>
      <c r="P61"/>
      <c r="Q61" s="308"/>
    </row>
    <row r="62" spans="1:17" s="109" customFormat="1" hidden="1">
      <c r="A62" s="265"/>
      <c r="B62" s="99">
        <f>'Background Controls'!I19</f>
        <v>0</v>
      </c>
      <c r="C62" s="137">
        <f t="shared" ref="C62:M62" si="16">C37*VLOOKUP(C$47, mob_fuel_CO2_efs, 5, FALSE)</f>
        <v>0</v>
      </c>
      <c r="D62" s="137">
        <f t="shared" si="16"/>
        <v>0</v>
      </c>
      <c r="E62" s="137">
        <f t="shared" si="16"/>
        <v>0</v>
      </c>
      <c r="F62" s="137">
        <f t="shared" si="16"/>
        <v>0</v>
      </c>
      <c r="G62" s="137">
        <f t="shared" si="16"/>
        <v>0</v>
      </c>
      <c r="H62" s="137">
        <f t="shared" si="16"/>
        <v>0</v>
      </c>
      <c r="I62" s="137">
        <f t="shared" si="16"/>
        <v>0</v>
      </c>
      <c r="J62" s="137">
        <f t="shared" si="16"/>
        <v>0</v>
      </c>
      <c r="K62" s="137">
        <f t="shared" si="16"/>
        <v>0</v>
      </c>
      <c r="L62" s="137">
        <f t="shared" si="16"/>
        <v>0</v>
      </c>
      <c r="M62" s="137">
        <f t="shared" si="16"/>
        <v>0</v>
      </c>
      <c r="N62" s="136">
        <f t="shared" si="3"/>
        <v>0</v>
      </c>
      <c r="O62"/>
      <c r="P62"/>
      <c r="Q62" s="308"/>
    </row>
    <row r="63" spans="1:17" s="109" customFormat="1" hidden="1">
      <c r="A63" s="265"/>
      <c r="B63" s="99">
        <f>'Background Controls'!I20</f>
        <v>0</v>
      </c>
      <c r="C63" s="137">
        <f t="shared" ref="C63:M63" si="17">C38*VLOOKUP(C$47, mob_fuel_CO2_efs, 5, FALSE)</f>
        <v>0</v>
      </c>
      <c r="D63" s="137">
        <f t="shared" si="17"/>
        <v>0</v>
      </c>
      <c r="E63" s="137">
        <f t="shared" si="17"/>
        <v>0</v>
      </c>
      <c r="F63" s="137">
        <f t="shared" si="17"/>
        <v>0</v>
      </c>
      <c r="G63" s="137">
        <f t="shared" si="17"/>
        <v>0</v>
      </c>
      <c r="H63" s="137">
        <f t="shared" si="17"/>
        <v>0</v>
      </c>
      <c r="I63" s="137">
        <f t="shared" si="17"/>
        <v>0</v>
      </c>
      <c r="J63" s="137">
        <f t="shared" si="17"/>
        <v>0</v>
      </c>
      <c r="K63" s="137">
        <f t="shared" si="17"/>
        <v>0</v>
      </c>
      <c r="L63" s="137">
        <f t="shared" si="17"/>
        <v>0</v>
      </c>
      <c r="M63" s="137">
        <f t="shared" si="17"/>
        <v>0</v>
      </c>
      <c r="N63" s="136">
        <f t="shared" si="3"/>
        <v>0</v>
      </c>
      <c r="O63"/>
      <c r="P63"/>
      <c r="Q63" s="308"/>
    </row>
    <row r="64" spans="1:17" s="109" customFormat="1" hidden="1">
      <c r="A64" s="265"/>
      <c r="B64" s="99">
        <f>'Background Controls'!I21</f>
        <v>0</v>
      </c>
      <c r="C64" s="137">
        <f t="shared" ref="C64:M64" si="18">C39*VLOOKUP(C$47, mob_fuel_CO2_efs, 5, FALSE)</f>
        <v>0</v>
      </c>
      <c r="D64" s="137">
        <f t="shared" si="18"/>
        <v>0</v>
      </c>
      <c r="E64" s="137">
        <f t="shared" si="18"/>
        <v>0</v>
      </c>
      <c r="F64" s="137">
        <f t="shared" si="18"/>
        <v>0</v>
      </c>
      <c r="G64" s="137">
        <f t="shared" si="18"/>
        <v>0</v>
      </c>
      <c r="H64" s="137">
        <f t="shared" si="18"/>
        <v>0</v>
      </c>
      <c r="I64" s="137">
        <f t="shared" si="18"/>
        <v>0</v>
      </c>
      <c r="J64" s="137">
        <f t="shared" si="18"/>
        <v>0</v>
      </c>
      <c r="K64" s="137">
        <f t="shared" si="18"/>
        <v>0</v>
      </c>
      <c r="L64" s="137">
        <f t="shared" si="18"/>
        <v>0</v>
      </c>
      <c r="M64" s="137">
        <f t="shared" si="18"/>
        <v>0</v>
      </c>
      <c r="N64" s="136">
        <f t="shared" si="3"/>
        <v>0</v>
      </c>
      <c r="O64"/>
      <c r="P64"/>
      <c r="Q64" s="308"/>
    </row>
    <row r="65" spans="1:17" s="109" customFormat="1" hidden="1">
      <c r="A65" s="265"/>
      <c r="B65" s="99">
        <f>'Background Controls'!I22</f>
        <v>0</v>
      </c>
      <c r="C65" s="137">
        <f t="shared" ref="C65:M65" si="19">C40*VLOOKUP(C$47, mob_fuel_CO2_efs, 5, FALSE)</f>
        <v>0</v>
      </c>
      <c r="D65" s="137">
        <f t="shared" si="19"/>
        <v>0</v>
      </c>
      <c r="E65" s="137">
        <f t="shared" si="19"/>
        <v>0</v>
      </c>
      <c r="F65" s="137">
        <f t="shared" si="19"/>
        <v>0</v>
      </c>
      <c r="G65" s="137">
        <f t="shared" si="19"/>
        <v>0</v>
      </c>
      <c r="H65" s="137">
        <f t="shared" si="19"/>
        <v>0</v>
      </c>
      <c r="I65" s="137">
        <f t="shared" si="19"/>
        <v>0</v>
      </c>
      <c r="J65" s="137">
        <f t="shared" si="19"/>
        <v>0</v>
      </c>
      <c r="K65" s="137">
        <f t="shared" si="19"/>
        <v>0</v>
      </c>
      <c r="L65" s="137">
        <f t="shared" si="19"/>
        <v>0</v>
      </c>
      <c r="M65" s="137">
        <f t="shared" si="19"/>
        <v>0</v>
      </c>
      <c r="N65" s="136">
        <f t="shared" si="3"/>
        <v>0</v>
      </c>
      <c r="O65"/>
      <c r="P65"/>
      <c r="Q65" s="308"/>
    </row>
    <row r="66" spans="1:17" s="109" customFormat="1" hidden="1">
      <c r="A66" s="265"/>
      <c r="B66" s="99">
        <f>'Background Controls'!I23</f>
        <v>0</v>
      </c>
      <c r="C66" s="137">
        <f t="shared" ref="C66:M66" si="20">C41*VLOOKUP(C$47, mob_fuel_CO2_efs, 5, FALSE)</f>
        <v>0</v>
      </c>
      <c r="D66" s="137">
        <f t="shared" si="20"/>
        <v>0</v>
      </c>
      <c r="E66" s="137">
        <f t="shared" si="20"/>
        <v>0</v>
      </c>
      <c r="F66" s="137">
        <f t="shared" si="20"/>
        <v>0</v>
      </c>
      <c r="G66" s="137">
        <f t="shared" si="20"/>
        <v>0</v>
      </c>
      <c r="H66" s="137">
        <f t="shared" si="20"/>
        <v>0</v>
      </c>
      <c r="I66" s="137">
        <f t="shared" si="20"/>
        <v>0</v>
      </c>
      <c r="J66" s="137">
        <f t="shared" si="20"/>
        <v>0</v>
      </c>
      <c r="K66" s="137">
        <f t="shared" si="20"/>
        <v>0</v>
      </c>
      <c r="L66" s="137">
        <f t="shared" si="20"/>
        <v>0</v>
      </c>
      <c r="M66" s="137">
        <f t="shared" si="20"/>
        <v>0</v>
      </c>
      <c r="N66" s="136">
        <f t="shared" si="3"/>
        <v>0</v>
      </c>
      <c r="O66"/>
      <c r="P66"/>
      <c r="Q66" s="308"/>
    </row>
    <row r="67" spans="1:17" s="109" customFormat="1" hidden="1">
      <c r="A67" s="265"/>
      <c r="B67" s="99">
        <f>'Background Controls'!I24</f>
        <v>0</v>
      </c>
      <c r="C67" s="137">
        <f t="shared" ref="C67:M67" si="21">C42*VLOOKUP(C$47, mob_fuel_CO2_efs, 5, FALSE)</f>
        <v>0</v>
      </c>
      <c r="D67" s="137">
        <f t="shared" si="21"/>
        <v>0</v>
      </c>
      <c r="E67" s="137">
        <f t="shared" si="21"/>
        <v>0</v>
      </c>
      <c r="F67" s="137">
        <f t="shared" si="21"/>
        <v>0</v>
      </c>
      <c r="G67" s="137">
        <f t="shared" si="21"/>
        <v>0</v>
      </c>
      <c r="H67" s="137">
        <f t="shared" si="21"/>
        <v>0</v>
      </c>
      <c r="I67" s="137">
        <f t="shared" si="21"/>
        <v>0</v>
      </c>
      <c r="J67" s="137">
        <f t="shared" si="21"/>
        <v>0</v>
      </c>
      <c r="K67" s="137">
        <f t="shared" si="21"/>
        <v>0</v>
      </c>
      <c r="L67" s="137">
        <f t="shared" si="21"/>
        <v>0</v>
      </c>
      <c r="M67" s="137">
        <f t="shared" si="21"/>
        <v>0</v>
      </c>
      <c r="N67" s="136">
        <f t="shared" si="3"/>
        <v>0</v>
      </c>
      <c r="O67"/>
      <c r="P67"/>
      <c r="Q67" s="308"/>
    </row>
    <row r="68" spans="1:17" s="109" customFormat="1">
      <c r="A68" s="265"/>
      <c r="B68" s="867" t="s">
        <v>253</v>
      </c>
      <c r="C68" s="140">
        <f t="shared" ref="C68:M68" si="22">SUM(C48:C67)</f>
        <v>0</v>
      </c>
      <c r="D68" s="140">
        <f t="shared" si="22"/>
        <v>0</v>
      </c>
      <c r="E68" s="140">
        <f t="shared" si="22"/>
        <v>0</v>
      </c>
      <c r="F68" s="140">
        <f t="shared" si="22"/>
        <v>0</v>
      </c>
      <c r="G68" s="140">
        <f t="shared" si="22"/>
        <v>0</v>
      </c>
      <c r="H68" s="140">
        <f t="shared" si="22"/>
        <v>0</v>
      </c>
      <c r="I68" s="140">
        <f t="shared" si="22"/>
        <v>0</v>
      </c>
      <c r="J68" s="140">
        <f t="shared" si="22"/>
        <v>0</v>
      </c>
      <c r="K68" s="140">
        <f t="shared" si="22"/>
        <v>0</v>
      </c>
      <c r="L68" s="140">
        <f t="shared" si="22"/>
        <v>0</v>
      </c>
      <c r="M68" s="173">
        <f t="shared" si="22"/>
        <v>0</v>
      </c>
      <c r="N68" s="869">
        <f t="shared" si="3"/>
        <v>0</v>
      </c>
      <c r="O68"/>
      <c r="P68"/>
      <c r="Q68" s="308"/>
    </row>
    <row r="69" spans="1:17" s="109" customFormat="1">
      <c r="A69" s="265"/>
      <c r="B69"/>
      <c r="C69"/>
      <c r="D69"/>
      <c r="E69"/>
      <c r="F69"/>
      <c r="G69"/>
      <c r="H69"/>
      <c r="I69"/>
      <c r="J69"/>
      <c r="K69"/>
      <c r="L69"/>
      <c r="M69"/>
      <c r="N69"/>
      <c r="O69"/>
      <c r="P69"/>
      <c r="Q69" s="308"/>
    </row>
    <row r="70" spans="1:17" s="109" customFormat="1">
      <c r="A70" s="265"/>
      <c r="B70"/>
      <c r="C70"/>
      <c r="D70"/>
      <c r="E70"/>
      <c r="F70"/>
      <c r="G70"/>
      <c r="H70"/>
      <c r="I70"/>
      <c r="J70"/>
      <c r="K70"/>
      <c r="L70"/>
      <c r="M70"/>
      <c r="N70"/>
      <c r="O70"/>
      <c r="P70"/>
      <c r="Q70" s="308"/>
    </row>
    <row r="71" spans="1:17" s="109" customFormat="1" ht="20.5">
      <c r="A71" s="283" t="s">
        <v>412</v>
      </c>
      <c r="B71"/>
      <c r="C71"/>
      <c r="D71"/>
      <c r="E71"/>
      <c r="F71"/>
      <c r="G71"/>
      <c r="H71"/>
      <c r="I71"/>
      <c r="J71"/>
      <c r="K71"/>
      <c r="L71"/>
      <c r="M71"/>
      <c r="N71"/>
      <c r="O71"/>
      <c r="P71"/>
      <c r="Q71" s="308"/>
    </row>
    <row r="72" spans="1:17" s="109" customFormat="1">
      <c r="A72" s="265"/>
      <c r="B72"/>
      <c r="C72"/>
      <c r="D72"/>
      <c r="E72"/>
      <c r="F72"/>
      <c r="G72"/>
      <c r="H72"/>
      <c r="I72"/>
      <c r="J72"/>
      <c r="K72"/>
      <c r="L72"/>
      <c r="M72"/>
      <c r="N72"/>
      <c r="O72"/>
      <c r="P72"/>
      <c r="Q72" s="308"/>
    </row>
    <row r="73" spans="1:17" s="109" customFormat="1" ht="16.5">
      <c r="A73" s="268" t="s">
        <v>413</v>
      </c>
      <c r="B73"/>
      <c r="C73"/>
      <c r="D73"/>
      <c r="E73"/>
      <c r="F73"/>
      <c r="G73"/>
      <c r="H73"/>
      <c r="I73"/>
      <c r="J73"/>
      <c r="K73"/>
      <c r="L73"/>
      <c r="M73"/>
      <c r="N73"/>
      <c r="O73"/>
      <c r="P73"/>
      <c r="Q73" s="308"/>
    </row>
    <row r="74" spans="1:17" s="109" customFormat="1" ht="16.5">
      <c r="A74" s="286" t="s">
        <v>414</v>
      </c>
      <c r="B74"/>
      <c r="C74"/>
      <c r="D74"/>
      <c r="E74"/>
      <c r="F74"/>
      <c r="G74"/>
      <c r="H74"/>
      <c r="I74"/>
      <c r="J74"/>
      <c r="K74"/>
      <c r="L74"/>
      <c r="M74"/>
      <c r="N74"/>
      <c r="O74"/>
      <c r="P74"/>
      <c r="Q74" s="308"/>
    </row>
    <row r="75" spans="1:17" s="109" customFormat="1" ht="29">
      <c r="A75" s="265"/>
      <c r="B75" s="870"/>
      <c r="C75" s="122" t="s">
        <v>175</v>
      </c>
      <c r="D75" s="122" t="s">
        <v>172</v>
      </c>
      <c r="E75" s="122" t="s">
        <v>377</v>
      </c>
      <c r="F75" s="122" t="s">
        <v>378</v>
      </c>
      <c r="G75" s="122" t="s">
        <v>408</v>
      </c>
      <c r="H75" s="122" t="s">
        <v>380</v>
      </c>
      <c r="I75" s="122" t="s">
        <v>383</v>
      </c>
      <c r="J75" s="122" t="s">
        <v>174</v>
      </c>
      <c r="K75" s="122" t="s">
        <v>391</v>
      </c>
      <c r="L75" s="122" t="s">
        <v>180</v>
      </c>
      <c r="M75" s="122" t="s">
        <v>389</v>
      </c>
      <c r="N75" s="868" t="s">
        <v>263</v>
      </c>
      <c r="O75"/>
      <c r="P75"/>
      <c r="Q75" s="308"/>
    </row>
    <row r="76" spans="1:17" s="109" customFormat="1" ht="16.5">
      <c r="A76" s="265"/>
      <c r="B76" s="133" t="s">
        <v>415</v>
      </c>
      <c r="C76" s="142">
        <f t="shared" ref="C76:M76" si="23">VLOOKUP(C21,mob_fuel_CO2_efs,2,FALSE)</f>
        <v>8.7799999999999994</v>
      </c>
      <c r="D76" s="142">
        <f t="shared" si="23"/>
        <v>10.210000000000001</v>
      </c>
      <c r="E76" s="142">
        <f>VLOOKUP(E21,mob_fuel_CO2_efs,2,FALSE)</f>
        <v>10.172000000000001</v>
      </c>
      <c r="F76" s="142">
        <f t="shared" si="23"/>
        <v>10.058000000000002</v>
      </c>
      <c r="G76" s="142">
        <f t="shared" si="23"/>
        <v>6.2045000000000003</v>
      </c>
      <c r="H76" s="142">
        <f t="shared" si="23"/>
        <v>6.8401800000000001</v>
      </c>
      <c r="I76" s="142">
        <f t="shared" si="23"/>
        <v>4.46</v>
      </c>
      <c r="J76" s="142">
        <f t="shared" si="23"/>
        <v>5.79</v>
      </c>
      <c r="K76" s="142">
        <f t="shared" si="23"/>
        <v>11.8</v>
      </c>
      <c r="L76" s="142">
        <f t="shared" si="23"/>
        <v>9.57</v>
      </c>
      <c r="M76" s="142">
        <f t="shared" si="23"/>
        <v>8.31</v>
      </c>
      <c r="N76" s="143"/>
      <c r="O76"/>
      <c r="P76"/>
      <c r="Q76" s="308"/>
    </row>
    <row r="77" spans="1:17" s="109" customFormat="1">
      <c r="A77" s="284" t="s">
        <v>101</v>
      </c>
      <c r="B77" s="99" t="str">
        <f>B23</f>
        <v>Residential</v>
      </c>
      <c r="C77" s="137">
        <f t="shared" ref="C77:M77" si="24">C23*C$76*kg_mt</f>
        <v>0</v>
      </c>
      <c r="D77" s="137">
        <f t="shared" si="24"/>
        <v>0</v>
      </c>
      <c r="E77" s="137">
        <f t="shared" si="24"/>
        <v>0</v>
      </c>
      <c r="F77" s="137">
        <f t="shared" si="24"/>
        <v>0</v>
      </c>
      <c r="G77" s="137">
        <f t="shared" si="24"/>
        <v>0</v>
      </c>
      <c r="H77" s="137">
        <f t="shared" si="24"/>
        <v>0</v>
      </c>
      <c r="I77" s="137">
        <f t="shared" si="24"/>
        <v>0</v>
      </c>
      <c r="J77" s="137">
        <f t="shared" si="24"/>
        <v>0</v>
      </c>
      <c r="K77" s="137">
        <f t="shared" si="24"/>
        <v>0</v>
      </c>
      <c r="L77" s="137">
        <f t="shared" si="24"/>
        <v>0</v>
      </c>
      <c r="M77" s="137">
        <f t="shared" si="24"/>
        <v>0</v>
      </c>
      <c r="N77" s="139">
        <f>SUM(C77:M77)</f>
        <v>0</v>
      </c>
      <c r="O77"/>
      <c r="P77"/>
      <c r="Q77" s="308"/>
    </row>
    <row r="78" spans="1:17" s="109" customFormat="1">
      <c r="A78" s="265"/>
      <c r="B78" s="99" t="str">
        <f t="shared" ref="B78:B96" si="25">B24</f>
        <v>Commercial/Institutional</v>
      </c>
      <c r="C78" s="137">
        <f t="shared" ref="C78:M78" si="26">C24*C$76*kg_mt</f>
        <v>0</v>
      </c>
      <c r="D78" s="137">
        <f t="shared" si="26"/>
        <v>0</v>
      </c>
      <c r="E78" s="137">
        <f t="shared" si="26"/>
        <v>0</v>
      </c>
      <c r="F78" s="137">
        <f t="shared" si="26"/>
        <v>0</v>
      </c>
      <c r="G78" s="137">
        <f t="shared" si="26"/>
        <v>0</v>
      </c>
      <c r="H78" s="137">
        <f t="shared" si="26"/>
        <v>0</v>
      </c>
      <c r="I78" s="137">
        <f t="shared" si="26"/>
        <v>0</v>
      </c>
      <c r="J78" s="137">
        <f t="shared" si="26"/>
        <v>0</v>
      </c>
      <c r="K78" s="137">
        <f t="shared" si="26"/>
        <v>0</v>
      </c>
      <c r="L78" s="137">
        <f t="shared" si="26"/>
        <v>0</v>
      </c>
      <c r="M78" s="137">
        <f t="shared" si="26"/>
        <v>0</v>
      </c>
      <c r="N78" s="139">
        <f t="shared" ref="N78:N96" si="27">SUM(C78:M78)</f>
        <v>0</v>
      </c>
      <c r="O78"/>
      <c r="P78"/>
      <c r="Q78" s="308"/>
    </row>
    <row r="79" spans="1:17" s="109" customFormat="1">
      <c r="A79" s="265"/>
      <c r="B79" s="99" t="str">
        <f t="shared" si="25"/>
        <v>Industrial</v>
      </c>
      <c r="C79" s="137">
        <f t="shared" ref="C79:M79" si="28">C25*C$76*kg_mt</f>
        <v>0</v>
      </c>
      <c r="D79" s="137">
        <f t="shared" si="28"/>
        <v>0</v>
      </c>
      <c r="E79" s="137">
        <f t="shared" si="28"/>
        <v>0</v>
      </c>
      <c r="F79" s="137">
        <f t="shared" si="28"/>
        <v>0</v>
      </c>
      <c r="G79" s="137">
        <f t="shared" si="28"/>
        <v>0</v>
      </c>
      <c r="H79" s="137">
        <f t="shared" si="28"/>
        <v>0</v>
      </c>
      <c r="I79" s="137">
        <f t="shared" si="28"/>
        <v>0</v>
      </c>
      <c r="J79" s="137">
        <f t="shared" si="28"/>
        <v>0</v>
      </c>
      <c r="K79" s="137">
        <f t="shared" si="28"/>
        <v>0</v>
      </c>
      <c r="L79" s="137">
        <f t="shared" si="28"/>
        <v>0</v>
      </c>
      <c r="M79" s="137">
        <f t="shared" si="28"/>
        <v>0</v>
      </c>
      <c r="N79" s="139">
        <f t="shared" si="27"/>
        <v>0</v>
      </c>
      <c r="O79"/>
      <c r="P79"/>
      <c r="Q79" s="308"/>
    </row>
    <row r="80" spans="1:17" s="109" customFormat="1">
      <c r="A80" s="265"/>
      <c r="B80" s="99" t="str">
        <f t="shared" si="25"/>
        <v>Energy Generation</v>
      </c>
      <c r="C80" s="137">
        <f t="shared" ref="C80:M80" si="29">C26*C$76*kg_mt</f>
        <v>0</v>
      </c>
      <c r="D80" s="137">
        <f t="shared" si="29"/>
        <v>0</v>
      </c>
      <c r="E80" s="137">
        <f t="shared" si="29"/>
        <v>0</v>
      </c>
      <c r="F80" s="137">
        <f t="shared" si="29"/>
        <v>0</v>
      </c>
      <c r="G80" s="137">
        <f t="shared" si="29"/>
        <v>0</v>
      </c>
      <c r="H80" s="137">
        <f t="shared" si="29"/>
        <v>0</v>
      </c>
      <c r="I80" s="137">
        <f t="shared" si="29"/>
        <v>0</v>
      </c>
      <c r="J80" s="137">
        <f t="shared" si="29"/>
        <v>0</v>
      </c>
      <c r="K80" s="137">
        <f t="shared" si="29"/>
        <v>0</v>
      </c>
      <c r="L80" s="137">
        <f t="shared" si="29"/>
        <v>0</v>
      </c>
      <c r="M80" s="137">
        <f t="shared" si="29"/>
        <v>0</v>
      </c>
      <c r="N80" s="139">
        <f t="shared" si="27"/>
        <v>0</v>
      </c>
      <c r="O80"/>
      <c r="P80"/>
      <c r="Q80" s="308"/>
    </row>
    <row r="81" spans="1:17" s="109" customFormat="1" hidden="1">
      <c r="A81" s="265"/>
      <c r="B81" s="99">
        <f t="shared" si="25"/>
        <v>0</v>
      </c>
      <c r="C81" s="137">
        <f t="shared" ref="C81:M81" si="30">C27*C$76*kg_mt</f>
        <v>0</v>
      </c>
      <c r="D81" s="137">
        <f t="shared" si="30"/>
        <v>0</v>
      </c>
      <c r="E81" s="137">
        <f t="shared" si="30"/>
        <v>0</v>
      </c>
      <c r="F81" s="137">
        <f t="shared" si="30"/>
        <v>0</v>
      </c>
      <c r="G81" s="137">
        <f t="shared" si="30"/>
        <v>0</v>
      </c>
      <c r="H81" s="137">
        <f t="shared" si="30"/>
        <v>0</v>
      </c>
      <c r="I81" s="137">
        <f t="shared" si="30"/>
        <v>0</v>
      </c>
      <c r="J81" s="137">
        <f t="shared" si="30"/>
        <v>0</v>
      </c>
      <c r="K81" s="137">
        <f t="shared" si="30"/>
        <v>0</v>
      </c>
      <c r="L81" s="137">
        <f t="shared" si="30"/>
        <v>0</v>
      </c>
      <c r="M81" s="137">
        <f t="shared" si="30"/>
        <v>0</v>
      </c>
      <c r="N81" s="139">
        <f t="shared" si="27"/>
        <v>0</v>
      </c>
      <c r="O81"/>
      <c r="P81"/>
      <c r="Q81" s="308"/>
    </row>
    <row r="82" spans="1:17" s="109" customFormat="1" hidden="1">
      <c r="A82" s="265"/>
      <c r="B82" s="99">
        <f t="shared" si="25"/>
        <v>0</v>
      </c>
      <c r="C82" s="137">
        <f t="shared" ref="C82:M82" si="31">C28*C$76*kg_mt</f>
        <v>0</v>
      </c>
      <c r="D82" s="137">
        <f t="shared" si="31"/>
        <v>0</v>
      </c>
      <c r="E82" s="137">
        <f t="shared" si="31"/>
        <v>0</v>
      </c>
      <c r="F82" s="137">
        <f t="shared" si="31"/>
        <v>0</v>
      </c>
      <c r="G82" s="137">
        <f t="shared" si="31"/>
        <v>0</v>
      </c>
      <c r="H82" s="137">
        <f t="shared" si="31"/>
        <v>0</v>
      </c>
      <c r="I82" s="137">
        <f t="shared" si="31"/>
        <v>0</v>
      </c>
      <c r="J82" s="137">
        <f t="shared" si="31"/>
        <v>0</v>
      </c>
      <c r="K82" s="137">
        <f t="shared" si="31"/>
        <v>0</v>
      </c>
      <c r="L82" s="137">
        <f t="shared" si="31"/>
        <v>0</v>
      </c>
      <c r="M82" s="137">
        <f t="shared" si="31"/>
        <v>0</v>
      </c>
      <c r="N82" s="139">
        <f t="shared" si="27"/>
        <v>0</v>
      </c>
      <c r="O82"/>
      <c r="P82"/>
      <c r="Q82" s="308"/>
    </row>
    <row r="83" spans="1:17" s="109" customFormat="1" hidden="1">
      <c r="A83" s="265"/>
      <c r="B83" s="99">
        <f t="shared" si="25"/>
        <v>0</v>
      </c>
      <c r="C83" s="137">
        <f t="shared" ref="C83:M83" si="32">C29*C$76*kg_mt</f>
        <v>0</v>
      </c>
      <c r="D83" s="137">
        <f t="shared" si="32"/>
        <v>0</v>
      </c>
      <c r="E83" s="137">
        <f t="shared" si="32"/>
        <v>0</v>
      </c>
      <c r="F83" s="137">
        <f t="shared" si="32"/>
        <v>0</v>
      </c>
      <c r="G83" s="137">
        <f t="shared" si="32"/>
        <v>0</v>
      </c>
      <c r="H83" s="137">
        <f t="shared" si="32"/>
        <v>0</v>
      </c>
      <c r="I83" s="137">
        <f t="shared" si="32"/>
        <v>0</v>
      </c>
      <c r="J83" s="137">
        <f t="shared" si="32"/>
        <v>0</v>
      </c>
      <c r="K83" s="137">
        <f t="shared" si="32"/>
        <v>0</v>
      </c>
      <c r="L83" s="137">
        <f t="shared" si="32"/>
        <v>0</v>
      </c>
      <c r="M83" s="137">
        <f t="shared" si="32"/>
        <v>0</v>
      </c>
      <c r="N83" s="139">
        <f t="shared" si="27"/>
        <v>0</v>
      </c>
      <c r="O83"/>
      <c r="P83"/>
      <c r="Q83" s="308"/>
    </row>
    <row r="84" spans="1:17" s="109" customFormat="1" hidden="1">
      <c r="A84" s="265"/>
      <c r="B84" s="99">
        <f t="shared" si="25"/>
        <v>0</v>
      </c>
      <c r="C84" s="137">
        <f t="shared" ref="C84:M84" si="33">C30*C$76*kg_mt</f>
        <v>0</v>
      </c>
      <c r="D84" s="137">
        <f t="shared" si="33"/>
        <v>0</v>
      </c>
      <c r="E84" s="137">
        <f t="shared" si="33"/>
        <v>0</v>
      </c>
      <c r="F84" s="137">
        <f t="shared" si="33"/>
        <v>0</v>
      </c>
      <c r="G84" s="137">
        <f t="shared" si="33"/>
        <v>0</v>
      </c>
      <c r="H84" s="137">
        <f t="shared" si="33"/>
        <v>0</v>
      </c>
      <c r="I84" s="137">
        <f t="shared" si="33"/>
        <v>0</v>
      </c>
      <c r="J84" s="137">
        <f t="shared" si="33"/>
        <v>0</v>
      </c>
      <c r="K84" s="137">
        <f t="shared" si="33"/>
        <v>0</v>
      </c>
      <c r="L84" s="137">
        <f t="shared" si="33"/>
        <v>0</v>
      </c>
      <c r="M84" s="137">
        <f t="shared" si="33"/>
        <v>0</v>
      </c>
      <c r="N84" s="139">
        <f t="shared" si="27"/>
        <v>0</v>
      </c>
      <c r="O84"/>
      <c r="P84"/>
      <c r="Q84" s="308"/>
    </row>
    <row r="85" spans="1:17" s="109" customFormat="1" hidden="1">
      <c r="A85" s="265"/>
      <c r="B85" s="99">
        <f t="shared" si="25"/>
        <v>0</v>
      </c>
      <c r="C85" s="137">
        <f t="shared" ref="C85:M85" si="34">C31*C$76*kg_mt</f>
        <v>0</v>
      </c>
      <c r="D85" s="137">
        <f t="shared" si="34"/>
        <v>0</v>
      </c>
      <c r="E85" s="137">
        <f t="shared" si="34"/>
        <v>0</v>
      </c>
      <c r="F85" s="137">
        <f t="shared" si="34"/>
        <v>0</v>
      </c>
      <c r="G85" s="141">
        <f t="shared" si="34"/>
        <v>0</v>
      </c>
      <c r="H85" s="137">
        <f t="shared" si="34"/>
        <v>0</v>
      </c>
      <c r="I85" s="137">
        <f t="shared" si="34"/>
        <v>0</v>
      </c>
      <c r="J85" s="137">
        <f t="shared" si="34"/>
        <v>0</v>
      </c>
      <c r="K85" s="137">
        <f t="shared" si="34"/>
        <v>0</v>
      </c>
      <c r="L85" s="137">
        <f t="shared" si="34"/>
        <v>0</v>
      </c>
      <c r="M85" s="137">
        <f t="shared" si="34"/>
        <v>0</v>
      </c>
      <c r="N85" s="139">
        <f t="shared" si="27"/>
        <v>0</v>
      </c>
      <c r="O85"/>
      <c r="P85"/>
      <c r="Q85" s="308"/>
    </row>
    <row r="86" spans="1:17" s="109" customFormat="1" hidden="1">
      <c r="A86" s="265"/>
      <c r="B86" s="99">
        <f t="shared" si="25"/>
        <v>0</v>
      </c>
      <c r="C86" s="137">
        <f t="shared" ref="C86:M86" si="35">C32*C$76*kg_mt</f>
        <v>0</v>
      </c>
      <c r="D86" s="137">
        <f t="shared" si="35"/>
        <v>0</v>
      </c>
      <c r="E86" s="137">
        <f t="shared" si="35"/>
        <v>0</v>
      </c>
      <c r="F86" s="137">
        <f t="shared" si="35"/>
        <v>0</v>
      </c>
      <c r="G86" s="137">
        <f t="shared" si="35"/>
        <v>0</v>
      </c>
      <c r="H86" s="137">
        <f t="shared" si="35"/>
        <v>0</v>
      </c>
      <c r="I86" s="137">
        <f t="shared" si="35"/>
        <v>0</v>
      </c>
      <c r="J86" s="137">
        <f t="shared" si="35"/>
        <v>0</v>
      </c>
      <c r="K86" s="137">
        <f t="shared" si="35"/>
        <v>0</v>
      </c>
      <c r="L86" s="137">
        <f t="shared" si="35"/>
        <v>0</v>
      </c>
      <c r="M86" s="137">
        <f t="shared" si="35"/>
        <v>0</v>
      </c>
      <c r="N86" s="139">
        <f t="shared" si="27"/>
        <v>0</v>
      </c>
      <c r="O86"/>
      <c r="P86"/>
      <c r="Q86" s="308"/>
    </row>
    <row r="87" spans="1:17" s="109" customFormat="1" hidden="1">
      <c r="A87" s="265"/>
      <c r="B87" s="99">
        <f t="shared" si="25"/>
        <v>0</v>
      </c>
      <c r="C87" s="137">
        <f t="shared" ref="C87:M87" si="36">C33*C$76*kg_mt</f>
        <v>0</v>
      </c>
      <c r="D87" s="137">
        <f t="shared" si="36"/>
        <v>0</v>
      </c>
      <c r="E87" s="137">
        <f t="shared" si="36"/>
        <v>0</v>
      </c>
      <c r="F87" s="137">
        <f t="shared" si="36"/>
        <v>0</v>
      </c>
      <c r="G87" s="137">
        <f t="shared" si="36"/>
        <v>0</v>
      </c>
      <c r="H87" s="137">
        <f t="shared" si="36"/>
        <v>0</v>
      </c>
      <c r="I87" s="137">
        <f t="shared" si="36"/>
        <v>0</v>
      </c>
      <c r="J87" s="137">
        <f t="shared" si="36"/>
        <v>0</v>
      </c>
      <c r="K87" s="137">
        <f t="shared" si="36"/>
        <v>0</v>
      </c>
      <c r="L87" s="137">
        <f t="shared" si="36"/>
        <v>0</v>
      </c>
      <c r="M87" s="137">
        <f t="shared" si="36"/>
        <v>0</v>
      </c>
      <c r="N87" s="139">
        <f t="shared" si="27"/>
        <v>0</v>
      </c>
      <c r="O87"/>
      <c r="P87"/>
      <c r="Q87" s="308"/>
    </row>
    <row r="88" spans="1:17" s="109" customFormat="1" hidden="1">
      <c r="A88" s="265"/>
      <c r="B88" s="99">
        <f t="shared" si="25"/>
        <v>0</v>
      </c>
      <c r="C88" s="137">
        <f t="shared" ref="C88:M88" si="37">C34*C$76*kg_mt</f>
        <v>0</v>
      </c>
      <c r="D88" s="137">
        <f t="shared" si="37"/>
        <v>0</v>
      </c>
      <c r="E88" s="137">
        <f t="shared" si="37"/>
        <v>0</v>
      </c>
      <c r="F88" s="137">
        <f t="shared" si="37"/>
        <v>0</v>
      </c>
      <c r="G88" s="137">
        <f t="shared" si="37"/>
        <v>0</v>
      </c>
      <c r="H88" s="137">
        <f t="shared" si="37"/>
        <v>0</v>
      </c>
      <c r="I88" s="137">
        <f t="shared" si="37"/>
        <v>0</v>
      </c>
      <c r="J88" s="137">
        <f t="shared" si="37"/>
        <v>0</v>
      </c>
      <c r="K88" s="137">
        <f t="shared" si="37"/>
        <v>0</v>
      </c>
      <c r="L88" s="137">
        <f t="shared" si="37"/>
        <v>0</v>
      </c>
      <c r="M88" s="137">
        <f t="shared" si="37"/>
        <v>0</v>
      </c>
      <c r="N88" s="139">
        <f t="shared" si="27"/>
        <v>0</v>
      </c>
      <c r="O88"/>
      <c r="P88"/>
      <c r="Q88" s="308"/>
    </row>
    <row r="89" spans="1:17" s="109" customFormat="1" hidden="1">
      <c r="A89" s="265"/>
      <c r="B89" s="99">
        <f t="shared" si="25"/>
        <v>0</v>
      </c>
      <c r="C89" s="137">
        <f t="shared" ref="C89:M89" si="38">C35*C$76*kg_mt</f>
        <v>0</v>
      </c>
      <c r="D89" s="137">
        <f t="shared" si="38"/>
        <v>0</v>
      </c>
      <c r="E89" s="137">
        <f t="shared" si="38"/>
        <v>0</v>
      </c>
      <c r="F89" s="137">
        <f t="shared" si="38"/>
        <v>0</v>
      </c>
      <c r="G89" s="137">
        <f t="shared" si="38"/>
        <v>0</v>
      </c>
      <c r="H89" s="137">
        <f t="shared" si="38"/>
        <v>0</v>
      </c>
      <c r="I89" s="137">
        <f t="shared" si="38"/>
        <v>0</v>
      </c>
      <c r="J89" s="137">
        <f t="shared" si="38"/>
        <v>0</v>
      </c>
      <c r="K89" s="137">
        <f t="shared" si="38"/>
        <v>0</v>
      </c>
      <c r="L89" s="137">
        <f t="shared" si="38"/>
        <v>0</v>
      </c>
      <c r="M89" s="137">
        <f t="shared" si="38"/>
        <v>0</v>
      </c>
      <c r="N89" s="139">
        <f t="shared" si="27"/>
        <v>0</v>
      </c>
      <c r="O89"/>
      <c r="P89"/>
      <c r="Q89" s="308"/>
    </row>
    <row r="90" spans="1:17" s="109" customFormat="1" hidden="1">
      <c r="A90" s="265"/>
      <c r="B90" s="99">
        <f t="shared" si="25"/>
        <v>0</v>
      </c>
      <c r="C90" s="137">
        <f t="shared" ref="C90:M90" si="39">C36*C$76*kg_mt</f>
        <v>0</v>
      </c>
      <c r="D90" s="137">
        <f t="shared" si="39"/>
        <v>0</v>
      </c>
      <c r="E90" s="137">
        <f t="shared" si="39"/>
        <v>0</v>
      </c>
      <c r="F90" s="137">
        <f t="shared" si="39"/>
        <v>0</v>
      </c>
      <c r="G90" s="137">
        <f t="shared" si="39"/>
        <v>0</v>
      </c>
      <c r="H90" s="137">
        <f t="shared" si="39"/>
        <v>0</v>
      </c>
      <c r="I90" s="137">
        <f t="shared" si="39"/>
        <v>0</v>
      </c>
      <c r="J90" s="137">
        <f t="shared" si="39"/>
        <v>0</v>
      </c>
      <c r="K90" s="137">
        <f t="shared" si="39"/>
        <v>0</v>
      </c>
      <c r="L90" s="137">
        <f t="shared" si="39"/>
        <v>0</v>
      </c>
      <c r="M90" s="137">
        <f t="shared" si="39"/>
        <v>0</v>
      </c>
      <c r="N90" s="139">
        <f t="shared" si="27"/>
        <v>0</v>
      </c>
      <c r="O90"/>
      <c r="P90"/>
      <c r="Q90" s="308"/>
    </row>
    <row r="91" spans="1:17" s="109" customFormat="1" hidden="1">
      <c r="A91" s="265"/>
      <c r="B91" s="99">
        <f t="shared" si="25"/>
        <v>0</v>
      </c>
      <c r="C91" s="137">
        <f t="shared" ref="C91:M91" si="40">C37*C$76*kg_mt</f>
        <v>0</v>
      </c>
      <c r="D91" s="137">
        <f t="shared" si="40"/>
        <v>0</v>
      </c>
      <c r="E91" s="137">
        <f t="shared" si="40"/>
        <v>0</v>
      </c>
      <c r="F91" s="137">
        <f t="shared" si="40"/>
        <v>0</v>
      </c>
      <c r="G91" s="137">
        <f t="shared" si="40"/>
        <v>0</v>
      </c>
      <c r="H91" s="137">
        <f t="shared" si="40"/>
        <v>0</v>
      </c>
      <c r="I91" s="137">
        <f t="shared" si="40"/>
        <v>0</v>
      </c>
      <c r="J91" s="137">
        <f t="shared" si="40"/>
        <v>0</v>
      </c>
      <c r="K91" s="137">
        <f t="shared" si="40"/>
        <v>0</v>
      </c>
      <c r="L91" s="137">
        <f t="shared" si="40"/>
        <v>0</v>
      </c>
      <c r="M91" s="137">
        <f t="shared" si="40"/>
        <v>0</v>
      </c>
      <c r="N91" s="139">
        <f t="shared" si="27"/>
        <v>0</v>
      </c>
      <c r="O91"/>
      <c r="P91"/>
      <c r="Q91" s="308"/>
    </row>
    <row r="92" spans="1:17" s="109" customFormat="1" hidden="1">
      <c r="A92" s="265"/>
      <c r="B92" s="99">
        <f t="shared" si="25"/>
        <v>0</v>
      </c>
      <c r="C92" s="137">
        <f t="shared" ref="C92:M92" si="41">C38*C$76*kg_mt</f>
        <v>0</v>
      </c>
      <c r="D92" s="137">
        <f t="shared" si="41"/>
        <v>0</v>
      </c>
      <c r="E92" s="137">
        <f t="shared" si="41"/>
        <v>0</v>
      </c>
      <c r="F92" s="137">
        <f t="shared" si="41"/>
        <v>0</v>
      </c>
      <c r="G92" s="137">
        <f t="shared" si="41"/>
        <v>0</v>
      </c>
      <c r="H92" s="137">
        <f t="shared" si="41"/>
        <v>0</v>
      </c>
      <c r="I92" s="137">
        <f t="shared" si="41"/>
        <v>0</v>
      </c>
      <c r="J92" s="137">
        <f t="shared" si="41"/>
        <v>0</v>
      </c>
      <c r="K92" s="137">
        <f t="shared" si="41"/>
        <v>0</v>
      </c>
      <c r="L92" s="137">
        <f t="shared" si="41"/>
        <v>0</v>
      </c>
      <c r="M92" s="137">
        <f t="shared" si="41"/>
        <v>0</v>
      </c>
      <c r="N92" s="139">
        <f t="shared" si="27"/>
        <v>0</v>
      </c>
      <c r="O92"/>
      <c r="P92"/>
      <c r="Q92" s="308"/>
    </row>
    <row r="93" spans="1:17" s="109" customFormat="1" hidden="1">
      <c r="A93" s="265"/>
      <c r="B93" s="99">
        <f t="shared" si="25"/>
        <v>0</v>
      </c>
      <c r="C93" s="137">
        <f t="shared" ref="C93:M93" si="42">C39*C$76*kg_mt</f>
        <v>0</v>
      </c>
      <c r="D93" s="137">
        <f t="shared" si="42"/>
        <v>0</v>
      </c>
      <c r="E93" s="137">
        <f t="shared" si="42"/>
        <v>0</v>
      </c>
      <c r="F93" s="137">
        <f t="shared" si="42"/>
        <v>0</v>
      </c>
      <c r="G93" s="137">
        <f t="shared" si="42"/>
        <v>0</v>
      </c>
      <c r="H93" s="137">
        <f t="shared" si="42"/>
        <v>0</v>
      </c>
      <c r="I93" s="137">
        <f t="shared" si="42"/>
        <v>0</v>
      </c>
      <c r="J93" s="137">
        <f t="shared" si="42"/>
        <v>0</v>
      </c>
      <c r="K93" s="137">
        <f t="shared" si="42"/>
        <v>0</v>
      </c>
      <c r="L93" s="137">
        <f t="shared" si="42"/>
        <v>0</v>
      </c>
      <c r="M93" s="137">
        <f t="shared" si="42"/>
        <v>0</v>
      </c>
      <c r="N93" s="139">
        <f t="shared" si="27"/>
        <v>0</v>
      </c>
      <c r="O93"/>
      <c r="P93"/>
      <c r="Q93" s="308"/>
    </row>
    <row r="94" spans="1:17" s="109" customFormat="1" hidden="1">
      <c r="A94" s="265"/>
      <c r="B94" s="99">
        <f t="shared" si="25"/>
        <v>0</v>
      </c>
      <c r="C94" s="137">
        <f t="shared" ref="C94:M94" si="43">C40*C$76*kg_mt</f>
        <v>0</v>
      </c>
      <c r="D94" s="137">
        <f t="shared" si="43"/>
        <v>0</v>
      </c>
      <c r="E94" s="137">
        <f t="shared" si="43"/>
        <v>0</v>
      </c>
      <c r="F94" s="137">
        <f t="shared" si="43"/>
        <v>0</v>
      </c>
      <c r="G94" s="137">
        <f t="shared" si="43"/>
        <v>0</v>
      </c>
      <c r="H94" s="137">
        <f t="shared" si="43"/>
        <v>0</v>
      </c>
      <c r="I94" s="137">
        <f t="shared" si="43"/>
        <v>0</v>
      </c>
      <c r="J94" s="137">
        <f t="shared" si="43"/>
        <v>0</v>
      </c>
      <c r="K94" s="137">
        <f t="shared" si="43"/>
        <v>0</v>
      </c>
      <c r="L94" s="137">
        <f t="shared" si="43"/>
        <v>0</v>
      </c>
      <c r="M94" s="137">
        <f t="shared" si="43"/>
        <v>0</v>
      </c>
      <c r="N94" s="139">
        <f t="shared" si="27"/>
        <v>0</v>
      </c>
      <c r="O94"/>
      <c r="P94"/>
      <c r="Q94" s="308"/>
    </row>
    <row r="95" spans="1:17" s="109" customFormat="1" hidden="1">
      <c r="A95" s="265"/>
      <c r="B95" s="99">
        <f t="shared" si="25"/>
        <v>0</v>
      </c>
      <c r="C95" s="137">
        <f t="shared" ref="C95:M95" si="44">C41*C$76*kg_mt</f>
        <v>0</v>
      </c>
      <c r="D95" s="137">
        <f t="shared" si="44"/>
        <v>0</v>
      </c>
      <c r="E95" s="137">
        <f t="shared" si="44"/>
        <v>0</v>
      </c>
      <c r="F95" s="137">
        <f t="shared" si="44"/>
        <v>0</v>
      </c>
      <c r="G95" s="137">
        <f t="shared" si="44"/>
        <v>0</v>
      </c>
      <c r="H95" s="137">
        <f t="shared" si="44"/>
        <v>0</v>
      </c>
      <c r="I95" s="137">
        <f t="shared" si="44"/>
        <v>0</v>
      </c>
      <c r="J95" s="137">
        <f t="shared" si="44"/>
        <v>0</v>
      </c>
      <c r="K95" s="137">
        <f t="shared" si="44"/>
        <v>0</v>
      </c>
      <c r="L95" s="137">
        <f t="shared" si="44"/>
        <v>0</v>
      </c>
      <c r="M95" s="137">
        <f t="shared" si="44"/>
        <v>0</v>
      </c>
      <c r="N95" s="139">
        <f t="shared" si="27"/>
        <v>0</v>
      </c>
      <c r="O95"/>
      <c r="P95"/>
      <c r="Q95" s="308"/>
    </row>
    <row r="96" spans="1:17" s="109" customFormat="1" hidden="1">
      <c r="A96" s="265"/>
      <c r="B96" s="99">
        <f t="shared" si="25"/>
        <v>0</v>
      </c>
      <c r="C96" s="137">
        <f t="shared" ref="C96:M96" si="45">C42*C$76*kg_mt</f>
        <v>0</v>
      </c>
      <c r="D96" s="137">
        <f t="shared" si="45"/>
        <v>0</v>
      </c>
      <c r="E96" s="137">
        <f t="shared" si="45"/>
        <v>0</v>
      </c>
      <c r="F96" s="137">
        <f t="shared" si="45"/>
        <v>0</v>
      </c>
      <c r="G96" s="137">
        <f t="shared" si="45"/>
        <v>0</v>
      </c>
      <c r="H96" s="137">
        <f t="shared" si="45"/>
        <v>0</v>
      </c>
      <c r="I96" s="137">
        <f t="shared" si="45"/>
        <v>0</v>
      </c>
      <c r="J96" s="137">
        <f t="shared" si="45"/>
        <v>0</v>
      </c>
      <c r="K96" s="137">
        <f t="shared" si="45"/>
        <v>0</v>
      </c>
      <c r="L96" s="137">
        <f t="shared" si="45"/>
        <v>0</v>
      </c>
      <c r="M96" s="137">
        <f t="shared" si="45"/>
        <v>0</v>
      </c>
      <c r="N96" s="139">
        <f t="shared" si="27"/>
        <v>0</v>
      </c>
      <c r="O96"/>
      <c r="P96"/>
      <c r="Q96" s="308"/>
    </row>
    <row r="97" spans="1:17" s="109" customFormat="1">
      <c r="A97" s="265"/>
      <c r="B97" s="860" t="s">
        <v>253</v>
      </c>
      <c r="C97" s="140">
        <f t="shared" ref="C97:N97" si="46">SUM(C77:C96)</f>
        <v>0</v>
      </c>
      <c r="D97" s="140">
        <f t="shared" si="46"/>
        <v>0</v>
      </c>
      <c r="E97" s="140">
        <f t="shared" si="46"/>
        <v>0</v>
      </c>
      <c r="F97" s="140">
        <f t="shared" si="46"/>
        <v>0</v>
      </c>
      <c r="G97" s="140">
        <f t="shared" si="46"/>
        <v>0</v>
      </c>
      <c r="H97" s="140">
        <f t="shared" si="46"/>
        <v>0</v>
      </c>
      <c r="I97" s="140">
        <f t="shared" si="46"/>
        <v>0</v>
      </c>
      <c r="J97" s="140">
        <f t="shared" si="46"/>
        <v>0</v>
      </c>
      <c r="K97" s="140">
        <f t="shared" si="46"/>
        <v>0</v>
      </c>
      <c r="L97" s="140">
        <f t="shared" si="46"/>
        <v>0</v>
      </c>
      <c r="M97" s="140">
        <f t="shared" si="46"/>
        <v>0</v>
      </c>
      <c r="N97" s="862">
        <f t="shared" si="46"/>
        <v>0</v>
      </c>
      <c r="O97"/>
      <c r="P97"/>
      <c r="Q97" s="308"/>
    </row>
    <row r="98" spans="1:17" s="109" customFormat="1">
      <c r="A98" s="265"/>
      <c r="B98"/>
      <c r="C98"/>
      <c r="D98"/>
      <c r="E98"/>
      <c r="F98"/>
      <c r="G98"/>
      <c r="H98"/>
      <c r="I98"/>
      <c r="J98"/>
      <c r="K98"/>
      <c r="L98"/>
      <c r="M98"/>
      <c r="N98"/>
      <c r="O98"/>
      <c r="P98"/>
      <c r="Q98" s="308"/>
    </row>
    <row r="99" spans="1:17" s="109" customFormat="1" ht="16.5">
      <c r="A99" s="268" t="s">
        <v>416</v>
      </c>
      <c r="B99"/>
      <c r="C99"/>
      <c r="D99"/>
      <c r="E99"/>
      <c r="F99"/>
      <c r="G99"/>
      <c r="H99"/>
      <c r="I99"/>
      <c r="J99"/>
      <c r="K99"/>
      <c r="L99"/>
      <c r="M99"/>
      <c r="N99"/>
      <c r="O99"/>
      <c r="P99"/>
      <c r="Q99" s="308"/>
    </row>
    <row r="100" spans="1:17" s="109" customFormat="1" ht="16.5">
      <c r="A100" s="286" t="s">
        <v>417</v>
      </c>
      <c r="B100"/>
      <c r="C100"/>
      <c r="D100"/>
      <c r="E100"/>
      <c r="F100"/>
      <c r="G100"/>
      <c r="H100"/>
      <c r="I100"/>
      <c r="J100"/>
      <c r="K100"/>
      <c r="L100"/>
      <c r="M100"/>
      <c r="N100"/>
      <c r="O100"/>
      <c r="P100"/>
      <c r="Q100" s="308"/>
    </row>
    <row r="101" spans="1:17" s="109" customFormat="1" ht="29">
      <c r="A101" s="265"/>
      <c r="B101" s="860"/>
      <c r="C101" s="96" t="s">
        <v>175</v>
      </c>
      <c r="D101" s="96" t="s">
        <v>172</v>
      </c>
      <c r="E101" s="96" t="s">
        <v>377</v>
      </c>
      <c r="F101" s="96" t="s">
        <v>378</v>
      </c>
      <c r="G101" s="96" t="s">
        <v>408</v>
      </c>
      <c r="H101" s="96" t="s">
        <v>380</v>
      </c>
      <c r="I101" s="96" t="s">
        <v>383</v>
      </c>
      <c r="J101" s="96" t="s">
        <v>174</v>
      </c>
      <c r="K101" s="96" t="s">
        <v>391</v>
      </c>
      <c r="L101" s="96" t="s">
        <v>180</v>
      </c>
      <c r="M101" s="103" t="s">
        <v>389</v>
      </c>
      <c r="N101" s="868" t="s">
        <v>263</v>
      </c>
      <c r="O101"/>
      <c r="P101"/>
      <c r="Q101" s="308"/>
    </row>
    <row r="102" spans="1:17" s="109" customFormat="1" ht="16.5">
      <c r="A102" s="265"/>
      <c r="B102" s="133" t="s">
        <v>415</v>
      </c>
      <c r="C102" s="131">
        <f t="shared" ref="C102:M102" si="47">VLOOKUP(C101,mob_fuel_CO2_efs,3,FALSE)</f>
        <v>0</v>
      </c>
      <c r="D102" s="131">
        <f t="shared" si="47"/>
        <v>0</v>
      </c>
      <c r="E102" s="131">
        <f t="shared" si="47"/>
        <v>0.47249999999999998</v>
      </c>
      <c r="F102" s="131">
        <f t="shared" si="47"/>
        <v>1.89</v>
      </c>
      <c r="G102" s="131">
        <f t="shared" si="47"/>
        <v>4.8875000000000002</v>
      </c>
      <c r="H102" s="131">
        <f t="shared" si="47"/>
        <v>0</v>
      </c>
      <c r="I102" s="131">
        <f t="shared" si="47"/>
        <v>0</v>
      </c>
      <c r="J102" s="131">
        <f t="shared" si="47"/>
        <v>0</v>
      </c>
      <c r="K102" s="131">
        <f t="shared" si="47"/>
        <v>0</v>
      </c>
      <c r="L102" s="131">
        <f t="shared" si="47"/>
        <v>0</v>
      </c>
      <c r="M102" s="131">
        <f t="shared" si="47"/>
        <v>0</v>
      </c>
      <c r="N102" s="133"/>
      <c r="O102"/>
      <c r="P102"/>
      <c r="Q102" s="308"/>
    </row>
    <row r="103" spans="1:17" s="109" customFormat="1">
      <c r="A103" s="284" t="s">
        <v>101</v>
      </c>
      <c r="B103" s="99" t="str">
        <f>B77</f>
        <v>Residential</v>
      </c>
      <c r="C103" s="132">
        <f t="shared" ref="C103:M103" si="48">C23*C$102*kg_mt</f>
        <v>0</v>
      </c>
      <c r="D103" s="132">
        <f t="shared" si="48"/>
        <v>0</v>
      </c>
      <c r="E103" s="132">
        <f t="shared" si="48"/>
        <v>0</v>
      </c>
      <c r="F103" s="132">
        <f t="shared" si="48"/>
        <v>0</v>
      </c>
      <c r="G103" s="132">
        <f t="shared" si="48"/>
        <v>0</v>
      </c>
      <c r="H103" s="132">
        <f t="shared" si="48"/>
        <v>0</v>
      </c>
      <c r="I103" s="132">
        <f t="shared" si="48"/>
        <v>0</v>
      </c>
      <c r="J103" s="132">
        <f t="shared" si="48"/>
        <v>0</v>
      </c>
      <c r="K103" s="132">
        <f t="shared" si="48"/>
        <v>0</v>
      </c>
      <c r="L103" s="132">
        <f t="shared" si="48"/>
        <v>0</v>
      </c>
      <c r="M103" s="132">
        <f t="shared" si="48"/>
        <v>0</v>
      </c>
      <c r="N103" s="136">
        <f>SUM(C103:M103)</f>
        <v>0</v>
      </c>
      <c r="O103"/>
      <c r="P103"/>
      <c r="Q103" s="308"/>
    </row>
    <row r="104" spans="1:17" s="109" customFormat="1">
      <c r="A104" s="265"/>
      <c r="B104" s="99" t="str">
        <f t="shared" ref="B104:B122" si="49">B78</f>
        <v>Commercial/Institutional</v>
      </c>
      <c r="C104" s="132">
        <f t="shared" ref="C104:M104" si="50">C24*C$102*kg_mt</f>
        <v>0</v>
      </c>
      <c r="D104" s="132">
        <f t="shared" si="50"/>
        <v>0</v>
      </c>
      <c r="E104" s="132">
        <f t="shared" si="50"/>
        <v>0</v>
      </c>
      <c r="F104" s="132">
        <f t="shared" si="50"/>
        <v>0</v>
      </c>
      <c r="G104" s="132">
        <f t="shared" si="50"/>
        <v>0</v>
      </c>
      <c r="H104" s="132">
        <f t="shared" si="50"/>
        <v>0</v>
      </c>
      <c r="I104" s="132">
        <f t="shared" si="50"/>
        <v>0</v>
      </c>
      <c r="J104" s="132">
        <f t="shared" si="50"/>
        <v>0</v>
      </c>
      <c r="K104" s="132">
        <f t="shared" si="50"/>
        <v>0</v>
      </c>
      <c r="L104" s="132">
        <f t="shared" si="50"/>
        <v>0</v>
      </c>
      <c r="M104" s="132">
        <f t="shared" si="50"/>
        <v>0</v>
      </c>
      <c r="N104" s="136">
        <f t="shared" ref="N104:N123" si="51">SUM(C104:M104)</f>
        <v>0</v>
      </c>
      <c r="O104"/>
      <c r="P104"/>
      <c r="Q104" s="308"/>
    </row>
    <row r="105" spans="1:17" s="109" customFormat="1">
      <c r="A105" s="265"/>
      <c r="B105" s="99" t="str">
        <f t="shared" si="49"/>
        <v>Industrial</v>
      </c>
      <c r="C105" s="132">
        <f t="shared" ref="C105:M105" si="52">C25*C$102*kg_mt</f>
        <v>0</v>
      </c>
      <c r="D105" s="132">
        <f t="shared" si="52"/>
        <v>0</v>
      </c>
      <c r="E105" s="132">
        <f t="shared" si="52"/>
        <v>0</v>
      </c>
      <c r="F105" s="132">
        <f t="shared" si="52"/>
        <v>0</v>
      </c>
      <c r="G105" s="132">
        <f t="shared" si="52"/>
        <v>0</v>
      </c>
      <c r="H105" s="132">
        <f t="shared" si="52"/>
        <v>0</v>
      </c>
      <c r="I105" s="132">
        <f t="shared" si="52"/>
        <v>0</v>
      </c>
      <c r="J105" s="132">
        <f t="shared" si="52"/>
        <v>0</v>
      </c>
      <c r="K105" s="132">
        <f t="shared" si="52"/>
        <v>0</v>
      </c>
      <c r="L105" s="132">
        <f t="shared" si="52"/>
        <v>0</v>
      </c>
      <c r="M105" s="132">
        <f t="shared" si="52"/>
        <v>0</v>
      </c>
      <c r="N105" s="136">
        <f t="shared" si="51"/>
        <v>0</v>
      </c>
      <c r="O105"/>
      <c r="P105"/>
      <c r="Q105" s="308"/>
    </row>
    <row r="106" spans="1:17" s="109" customFormat="1">
      <c r="A106" s="265"/>
      <c r="B106" s="99" t="str">
        <f t="shared" si="49"/>
        <v>Energy Generation</v>
      </c>
      <c r="C106" s="132">
        <f t="shared" ref="C106:M106" si="53">C26*C$102*kg_mt</f>
        <v>0</v>
      </c>
      <c r="D106" s="132">
        <f t="shared" si="53"/>
        <v>0</v>
      </c>
      <c r="E106" s="132">
        <f t="shared" si="53"/>
        <v>0</v>
      </c>
      <c r="F106" s="132">
        <f t="shared" si="53"/>
        <v>0</v>
      </c>
      <c r="G106" s="132">
        <f t="shared" si="53"/>
        <v>0</v>
      </c>
      <c r="H106" s="132">
        <f t="shared" si="53"/>
        <v>0</v>
      </c>
      <c r="I106" s="132">
        <f t="shared" si="53"/>
        <v>0</v>
      </c>
      <c r="J106" s="132">
        <f t="shared" si="53"/>
        <v>0</v>
      </c>
      <c r="K106" s="132">
        <f t="shared" si="53"/>
        <v>0</v>
      </c>
      <c r="L106" s="132">
        <f t="shared" si="53"/>
        <v>0</v>
      </c>
      <c r="M106" s="132">
        <f t="shared" si="53"/>
        <v>0</v>
      </c>
      <c r="N106" s="136">
        <f t="shared" si="51"/>
        <v>0</v>
      </c>
      <c r="O106"/>
      <c r="P106"/>
      <c r="Q106" s="308"/>
    </row>
    <row r="107" spans="1:17" s="109" customFormat="1" hidden="1">
      <c r="A107" s="265"/>
      <c r="B107" s="99">
        <f t="shared" si="49"/>
        <v>0</v>
      </c>
      <c r="C107" s="132">
        <f t="shared" ref="C107:M107" si="54">C27*C$102*kg_mt</f>
        <v>0</v>
      </c>
      <c r="D107" s="132">
        <f t="shared" si="54"/>
        <v>0</v>
      </c>
      <c r="E107" s="132">
        <f t="shared" si="54"/>
        <v>0</v>
      </c>
      <c r="F107" s="132">
        <f t="shared" si="54"/>
        <v>0</v>
      </c>
      <c r="G107" s="132">
        <f t="shared" si="54"/>
        <v>0</v>
      </c>
      <c r="H107" s="132">
        <f t="shared" si="54"/>
        <v>0</v>
      </c>
      <c r="I107" s="132">
        <f t="shared" si="54"/>
        <v>0</v>
      </c>
      <c r="J107" s="132">
        <f t="shared" si="54"/>
        <v>0</v>
      </c>
      <c r="K107" s="132">
        <f t="shared" si="54"/>
        <v>0</v>
      </c>
      <c r="L107" s="132">
        <f t="shared" si="54"/>
        <v>0</v>
      </c>
      <c r="M107" s="132">
        <f t="shared" si="54"/>
        <v>0</v>
      </c>
      <c r="N107" s="136">
        <f t="shared" si="51"/>
        <v>0</v>
      </c>
      <c r="O107"/>
      <c r="P107"/>
      <c r="Q107" s="308"/>
    </row>
    <row r="108" spans="1:17" s="109" customFormat="1" hidden="1">
      <c r="A108" s="265"/>
      <c r="B108" s="99">
        <f t="shared" si="49"/>
        <v>0</v>
      </c>
      <c r="C108" s="132">
        <f t="shared" ref="C108:M108" si="55">C28*C$102*kg_mt</f>
        <v>0</v>
      </c>
      <c r="D108" s="132">
        <f t="shared" si="55"/>
        <v>0</v>
      </c>
      <c r="E108" s="132">
        <f t="shared" si="55"/>
        <v>0</v>
      </c>
      <c r="F108" s="132">
        <f t="shared" si="55"/>
        <v>0</v>
      </c>
      <c r="G108" s="132">
        <f t="shared" si="55"/>
        <v>0</v>
      </c>
      <c r="H108" s="132">
        <f t="shared" si="55"/>
        <v>0</v>
      </c>
      <c r="I108" s="132">
        <f t="shared" si="55"/>
        <v>0</v>
      </c>
      <c r="J108" s="132">
        <f t="shared" si="55"/>
        <v>0</v>
      </c>
      <c r="K108" s="132">
        <f t="shared" si="55"/>
        <v>0</v>
      </c>
      <c r="L108" s="132">
        <f t="shared" si="55"/>
        <v>0</v>
      </c>
      <c r="M108" s="132">
        <f t="shared" si="55"/>
        <v>0</v>
      </c>
      <c r="N108" s="136">
        <f t="shared" si="51"/>
        <v>0</v>
      </c>
      <c r="O108"/>
      <c r="P108"/>
      <c r="Q108" s="308"/>
    </row>
    <row r="109" spans="1:17" s="109" customFormat="1" hidden="1">
      <c r="A109" s="265"/>
      <c r="B109" s="99">
        <f t="shared" si="49"/>
        <v>0</v>
      </c>
      <c r="C109" s="132">
        <f t="shared" ref="C109:M109" si="56">C29*C$102*kg_mt</f>
        <v>0</v>
      </c>
      <c r="D109" s="132">
        <f t="shared" si="56"/>
        <v>0</v>
      </c>
      <c r="E109" s="132">
        <f t="shared" si="56"/>
        <v>0</v>
      </c>
      <c r="F109" s="132">
        <f t="shared" si="56"/>
        <v>0</v>
      </c>
      <c r="G109" s="132">
        <f t="shared" si="56"/>
        <v>0</v>
      </c>
      <c r="H109" s="132">
        <f t="shared" si="56"/>
        <v>0</v>
      </c>
      <c r="I109" s="132">
        <f t="shared" si="56"/>
        <v>0</v>
      </c>
      <c r="J109" s="132">
        <f t="shared" si="56"/>
        <v>0</v>
      </c>
      <c r="K109" s="132">
        <f t="shared" si="56"/>
        <v>0</v>
      </c>
      <c r="L109" s="132">
        <f t="shared" si="56"/>
        <v>0</v>
      </c>
      <c r="M109" s="132">
        <f t="shared" si="56"/>
        <v>0</v>
      </c>
      <c r="N109" s="136">
        <f t="shared" si="51"/>
        <v>0</v>
      </c>
      <c r="O109"/>
      <c r="P109"/>
      <c r="Q109" s="308"/>
    </row>
    <row r="110" spans="1:17" s="109" customFormat="1" hidden="1">
      <c r="A110" s="265"/>
      <c r="B110" s="99">
        <f t="shared" si="49"/>
        <v>0</v>
      </c>
      <c r="C110" s="132">
        <f t="shared" ref="C110:M110" si="57">C30*C$102*kg_mt</f>
        <v>0</v>
      </c>
      <c r="D110" s="132">
        <f t="shared" si="57"/>
        <v>0</v>
      </c>
      <c r="E110" s="132">
        <f t="shared" si="57"/>
        <v>0</v>
      </c>
      <c r="F110" s="132">
        <f t="shared" si="57"/>
        <v>0</v>
      </c>
      <c r="G110" s="132">
        <f t="shared" si="57"/>
        <v>0</v>
      </c>
      <c r="H110" s="132">
        <f t="shared" si="57"/>
        <v>0</v>
      </c>
      <c r="I110" s="132">
        <f t="shared" si="57"/>
        <v>0</v>
      </c>
      <c r="J110" s="132">
        <f t="shared" si="57"/>
        <v>0</v>
      </c>
      <c r="K110" s="132">
        <f t="shared" si="57"/>
        <v>0</v>
      </c>
      <c r="L110" s="132">
        <f t="shared" si="57"/>
        <v>0</v>
      </c>
      <c r="M110" s="132">
        <f t="shared" si="57"/>
        <v>0</v>
      </c>
      <c r="N110" s="136">
        <f t="shared" si="51"/>
        <v>0</v>
      </c>
      <c r="O110"/>
      <c r="P110"/>
      <c r="Q110" s="308"/>
    </row>
    <row r="111" spans="1:17" s="109" customFormat="1" hidden="1">
      <c r="A111" s="265"/>
      <c r="B111" s="99">
        <f t="shared" si="49"/>
        <v>0</v>
      </c>
      <c r="C111" s="132">
        <f t="shared" ref="C111:M111" si="58">C31*C$102*kg_mt</f>
        <v>0</v>
      </c>
      <c r="D111" s="132">
        <f t="shared" si="58"/>
        <v>0</v>
      </c>
      <c r="E111" s="132">
        <f t="shared" si="58"/>
        <v>0</v>
      </c>
      <c r="F111" s="132">
        <f t="shared" si="58"/>
        <v>0</v>
      </c>
      <c r="G111" s="132">
        <f t="shared" si="58"/>
        <v>0</v>
      </c>
      <c r="H111" s="132">
        <f t="shared" si="58"/>
        <v>0</v>
      </c>
      <c r="I111" s="132">
        <f t="shared" si="58"/>
        <v>0</v>
      </c>
      <c r="J111" s="132">
        <f t="shared" si="58"/>
        <v>0</v>
      </c>
      <c r="K111" s="132">
        <f t="shared" si="58"/>
        <v>0</v>
      </c>
      <c r="L111" s="132">
        <f t="shared" si="58"/>
        <v>0</v>
      </c>
      <c r="M111" s="132">
        <f t="shared" si="58"/>
        <v>0</v>
      </c>
      <c r="N111" s="136">
        <f t="shared" si="51"/>
        <v>0</v>
      </c>
      <c r="O111"/>
      <c r="P111"/>
      <c r="Q111" s="308"/>
    </row>
    <row r="112" spans="1:17" s="109" customFormat="1" hidden="1">
      <c r="A112" s="265"/>
      <c r="B112" s="99">
        <f t="shared" si="49"/>
        <v>0</v>
      </c>
      <c r="C112" s="132">
        <f t="shared" ref="C112:M112" si="59">C32*C$102*kg_mt</f>
        <v>0</v>
      </c>
      <c r="D112" s="132">
        <f t="shared" si="59"/>
        <v>0</v>
      </c>
      <c r="E112" s="132">
        <f t="shared" si="59"/>
        <v>0</v>
      </c>
      <c r="F112" s="132">
        <f t="shared" si="59"/>
        <v>0</v>
      </c>
      <c r="G112" s="132">
        <f t="shared" si="59"/>
        <v>0</v>
      </c>
      <c r="H112" s="132">
        <f t="shared" si="59"/>
        <v>0</v>
      </c>
      <c r="I112" s="132">
        <f t="shared" si="59"/>
        <v>0</v>
      </c>
      <c r="J112" s="132">
        <f t="shared" si="59"/>
        <v>0</v>
      </c>
      <c r="K112" s="132">
        <f t="shared" si="59"/>
        <v>0</v>
      </c>
      <c r="L112" s="132">
        <f t="shared" si="59"/>
        <v>0</v>
      </c>
      <c r="M112" s="132">
        <f t="shared" si="59"/>
        <v>0</v>
      </c>
      <c r="N112" s="136">
        <f t="shared" si="51"/>
        <v>0</v>
      </c>
      <c r="O112"/>
      <c r="P112"/>
      <c r="Q112" s="308"/>
    </row>
    <row r="113" spans="1:17" s="109" customFormat="1" hidden="1">
      <c r="A113" s="265"/>
      <c r="B113" s="99">
        <f t="shared" si="49"/>
        <v>0</v>
      </c>
      <c r="C113" s="132">
        <f t="shared" ref="C113:M113" si="60">C33*C$102*kg_mt</f>
        <v>0</v>
      </c>
      <c r="D113" s="132">
        <f t="shared" si="60"/>
        <v>0</v>
      </c>
      <c r="E113" s="132">
        <f t="shared" si="60"/>
        <v>0</v>
      </c>
      <c r="F113" s="132">
        <f t="shared" si="60"/>
        <v>0</v>
      </c>
      <c r="G113" s="132">
        <f t="shared" si="60"/>
        <v>0</v>
      </c>
      <c r="H113" s="132">
        <f t="shared" si="60"/>
        <v>0</v>
      </c>
      <c r="I113" s="132">
        <f t="shared" si="60"/>
        <v>0</v>
      </c>
      <c r="J113" s="132">
        <f t="shared" si="60"/>
        <v>0</v>
      </c>
      <c r="K113" s="132">
        <f t="shared" si="60"/>
        <v>0</v>
      </c>
      <c r="L113" s="132">
        <f t="shared" si="60"/>
        <v>0</v>
      </c>
      <c r="M113" s="132">
        <f t="shared" si="60"/>
        <v>0</v>
      </c>
      <c r="N113" s="136">
        <f t="shared" si="51"/>
        <v>0</v>
      </c>
      <c r="O113"/>
      <c r="P113"/>
      <c r="Q113" s="308"/>
    </row>
    <row r="114" spans="1:17" s="109" customFormat="1" hidden="1">
      <c r="A114" s="265"/>
      <c r="B114" s="99">
        <f t="shared" si="49"/>
        <v>0</v>
      </c>
      <c r="C114" s="132">
        <f t="shared" ref="C114:M114" si="61">C34*C$102*kg_mt</f>
        <v>0</v>
      </c>
      <c r="D114" s="132">
        <f t="shared" si="61"/>
        <v>0</v>
      </c>
      <c r="E114" s="132">
        <f t="shared" si="61"/>
        <v>0</v>
      </c>
      <c r="F114" s="132">
        <f t="shared" si="61"/>
        <v>0</v>
      </c>
      <c r="G114" s="132">
        <f t="shared" si="61"/>
        <v>0</v>
      </c>
      <c r="H114" s="132">
        <f t="shared" si="61"/>
        <v>0</v>
      </c>
      <c r="I114" s="132">
        <f t="shared" si="61"/>
        <v>0</v>
      </c>
      <c r="J114" s="132">
        <f t="shared" si="61"/>
        <v>0</v>
      </c>
      <c r="K114" s="132">
        <f t="shared" si="61"/>
        <v>0</v>
      </c>
      <c r="L114" s="132">
        <f t="shared" si="61"/>
        <v>0</v>
      </c>
      <c r="M114" s="132">
        <f t="shared" si="61"/>
        <v>0</v>
      </c>
      <c r="N114" s="136">
        <f t="shared" si="51"/>
        <v>0</v>
      </c>
      <c r="O114"/>
      <c r="P114"/>
      <c r="Q114" s="308"/>
    </row>
    <row r="115" spans="1:17" s="109" customFormat="1" hidden="1">
      <c r="A115" s="265"/>
      <c r="B115" s="99">
        <f t="shared" si="49"/>
        <v>0</v>
      </c>
      <c r="C115" s="132">
        <f t="shared" ref="C115:M115" si="62">C35*C$102*kg_mt</f>
        <v>0</v>
      </c>
      <c r="D115" s="132">
        <f t="shared" si="62"/>
        <v>0</v>
      </c>
      <c r="E115" s="132">
        <f t="shared" si="62"/>
        <v>0</v>
      </c>
      <c r="F115" s="132">
        <f t="shared" si="62"/>
        <v>0</v>
      </c>
      <c r="G115" s="132">
        <f t="shared" si="62"/>
        <v>0</v>
      </c>
      <c r="H115" s="132">
        <f t="shared" si="62"/>
        <v>0</v>
      </c>
      <c r="I115" s="132">
        <f t="shared" si="62"/>
        <v>0</v>
      </c>
      <c r="J115" s="132">
        <f t="shared" si="62"/>
        <v>0</v>
      </c>
      <c r="K115" s="132">
        <f t="shared" si="62"/>
        <v>0</v>
      </c>
      <c r="L115" s="132">
        <f t="shared" si="62"/>
        <v>0</v>
      </c>
      <c r="M115" s="132">
        <f t="shared" si="62"/>
        <v>0</v>
      </c>
      <c r="N115" s="136">
        <f t="shared" si="51"/>
        <v>0</v>
      </c>
      <c r="O115"/>
      <c r="P115"/>
      <c r="Q115" s="308"/>
    </row>
    <row r="116" spans="1:17" s="109" customFormat="1" hidden="1">
      <c r="A116" s="265"/>
      <c r="B116" s="99">
        <f t="shared" si="49"/>
        <v>0</v>
      </c>
      <c r="C116" s="132">
        <f t="shared" ref="C116:M116" si="63">C36*C$102*kg_mt</f>
        <v>0</v>
      </c>
      <c r="D116" s="132">
        <f t="shared" si="63"/>
        <v>0</v>
      </c>
      <c r="E116" s="132">
        <f t="shared" si="63"/>
        <v>0</v>
      </c>
      <c r="F116" s="132">
        <f t="shared" si="63"/>
        <v>0</v>
      </c>
      <c r="G116" s="132">
        <f t="shared" si="63"/>
        <v>0</v>
      </c>
      <c r="H116" s="132">
        <f t="shared" si="63"/>
        <v>0</v>
      </c>
      <c r="I116" s="132">
        <f t="shared" si="63"/>
        <v>0</v>
      </c>
      <c r="J116" s="132">
        <f t="shared" si="63"/>
        <v>0</v>
      </c>
      <c r="K116" s="132">
        <f t="shared" si="63"/>
        <v>0</v>
      </c>
      <c r="L116" s="132">
        <f t="shared" si="63"/>
        <v>0</v>
      </c>
      <c r="M116" s="132">
        <f t="shared" si="63"/>
        <v>0</v>
      </c>
      <c r="N116" s="136">
        <f t="shared" si="51"/>
        <v>0</v>
      </c>
      <c r="O116"/>
      <c r="P116"/>
      <c r="Q116" s="308"/>
    </row>
    <row r="117" spans="1:17" s="109" customFormat="1" hidden="1">
      <c r="A117" s="265"/>
      <c r="B117" s="99">
        <f t="shared" si="49"/>
        <v>0</v>
      </c>
      <c r="C117" s="132">
        <f t="shared" ref="C117:M117" si="64">C37*C$102*kg_mt</f>
        <v>0</v>
      </c>
      <c r="D117" s="132">
        <f t="shared" si="64"/>
        <v>0</v>
      </c>
      <c r="E117" s="132">
        <f t="shared" si="64"/>
        <v>0</v>
      </c>
      <c r="F117" s="132">
        <f t="shared" si="64"/>
        <v>0</v>
      </c>
      <c r="G117" s="132">
        <f t="shared" si="64"/>
        <v>0</v>
      </c>
      <c r="H117" s="132">
        <f t="shared" si="64"/>
        <v>0</v>
      </c>
      <c r="I117" s="132">
        <f t="shared" si="64"/>
        <v>0</v>
      </c>
      <c r="J117" s="132">
        <f t="shared" si="64"/>
        <v>0</v>
      </c>
      <c r="K117" s="132">
        <f t="shared" si="64"/>
        <v>0</v>
      </c>
      <c r="L117" s="132">
        <f t="shared" si="64"/>
        <v>0</v>
      </c>
      <c r="M117" s="132">
        <f t="shared" si="64"/>
        <v>0</v>
      </c>
      <c r="N117" s="136">
        <f t="shared" si="51"/>
        <v>0</v>
      </c>
      <c r="O117"/>
      <c r="P117"/>
      <c r="Q117" s="308"/>
    </row>
    <row r="118" spans="1:17" s="109" customFormat="1" hidden="1">
      <c r="A118" s="265"/>
      <c r="B118" s="99">
        <f t="shared" si="49"/>
        <v>0</v>
      </c>
      <c r="C118" s="132">
        <f t="shared" ref="C118:M118" si="65">C38*C$102*kg_mt</f>
        <v>0</v>
      </c>
      <c r="D118" s="132">
        <f t="shared" si="65"/>
        <v>0</v>
      </c>
      <c r="E118" s="132">
        <f t="shared" si="65"/>
        <v>0</v>
      </c>
      <c r="F118" s="132">
        <f t="shared" si="65"/>
        <v>0</v>
      </c>
      <c r="G118" s="132">
        <f t="shared" si="65"/>
        <v>0</v>
      </c>
      <c r="H118" s="132">
        <f t="shared" si="65"/>
        <v>0</v>
      </c>
      <c r="I118" s="132">
        <f t="shared" si="65"/>
        <v>0</v>
      </c>
      <c r="J118" s="132">
        <f t="shared" si="65"/>
        <v>0</v>
      </c>
      <c r="K118" s="132">
        <f t="shared" si="65"/>
        <v>0</v>
      </c>
      <c r="L118" s="132">
        <f t="shared" si="65"/>
        <v>0</v>
      </c>
      <c r="M118" s="132">
        <f t="shared" si="65"/>
        <v>0</v>
      </c>
      <c r="N118" s="136">
        <f t="shared" si="51"/>
        <v>0</v>
      </c>
      <c r="O118"/>
      <c r="P118"/>
      <c r="Q118" s="308"/>
    </row>
    <row r="119" spans="1:17" s="109" customFormat="1" hidden="1">
      <c r="A119" s="265"/>
      <c r="B119" s="99">
        <f t="shared" si="49"/>
        <v>0</v>
      </c>
      <c r="C119" s="132">
        <f t="shared" ref="C119:M119" si="66">C39*C$102*kg_mt</f>
        <v>0</v>
      </c>
      <c r="D119" s="132">
        <f t="shared" si="66"/>
        <v>0</v>
      </c>
      <c r="E119" s="132">
        <f t="shared" si="66"/>
        <v>0</v>
      </c>
      <c r="F119" s="132">
        <f t="shared" si="66"/>
        <v>0</v>
      </c>
      <c r="G119" s="132">
        <f t="shared" si="66"/>
        <v>0</v>
      </c>
      <c r="H119" s="132">
        <f t="shared" si="66"/>
        <v>0</v>
      </c>
      <c r="I119" s="132">
        <f t="shared" si="66"/>
        <v>0</v>
      </c>
      <c r="J119" s="132">
        <f t="shared" si="66"/>
        <v>0</v>
      </c>
      <c r="K119" s="132">
        <f t="shared" si="66"/>
        <v>0</v>
      </c>
      <c r="L119" s="132">
        <f t="shared" si="66"/>
        <v>0</v>
      </c>
      <c r="M119" s="132">
        <f t="shared" si="66"/>
        <v>0</v>
      </c>
      <c r="N119" s="136">
        <f t="shared" si="51"/>
        <v>0</v>
      </c>
      <c r="O119"/>
      <c r="P119"/>
      <c r="Q119" s="308"/>
    </row>
    <row r="120" spans="1:17" s="109" customFormat="1" hidden="1">
      <c r="A120" s="265"/>
      <c r="B120" s="99">
        <f t="shared" si="49"/>
        <v>0</v>
      </c>
      <c r="C120" s="132">
        <f t="shared" ref="C120:M120" si="67">C40*C$102*kg_mt</f>
        <v>0</v>
      </c>
      <c r="D120" s="132">
        <f t="shared" si="67"/>
        <v>0</v>
      </c>
      <c r="E120" s="132">
        <f t="shared" si="67"/>
        <v>0</v>
      </c>
      <c r="F120" s="132">
        <f t="shared" si="67"/>
        <v>0</v>
      </c>
      <c r="G120" s="132">
        <f t="shared" si="67"/>
        <v>0</v>
      </c>
      <c r="H120" s="132">
        <f t="shared" si="67"/>
        <v>0</v>
      </c>
      <c r="I120" s="132">
        <f t="shared" si="67"/>
        <v>0</v>
      </c>
      <c r="J120" s="132">
        <f t="shared" si="67"/>
        <v>0</v>
      </c>
      <c r="K120" s="132">
        <f t="shared" si="67"/>
        <v>0</v>
      </c>
      <c r="L120" s="132">
        <f t="shared" si="67"/>
        <v>0</v>
      </c>
      <c r="M120" s="132">
        <f t="shared" si="67"/>
        <v>0</v>
      </c>
      <c r="N120" s="136">
        <f t="shared" si="51"/>
        <v>0</v>
      </c>
      <c r="O120"/>
      <c r="P120"/>
      <c r="Q120" s="308"/>
    </row>
    <row r="121" spans="1:17" s="109" customFormat="1" hidden="1">
      <c r="A121" s="265"/>
      <c r="B121" s="99">
        <f t="shared" si="49"/>
        <v>0</v>
      </c>
      <c r="C121" s="132">
        <f t="shared" ref="C121:M121" si="68">C41*C$102*kg_mt</f>
        <v>0</v>
      </c>
      <c r="D121" s="132">
        <f t="shared" si="68"/>
        <v>0</v>
      </c>
      <c r="E121" s="132">
        <f t="shared" si="68"/>
        <v>0</v>
      </c>
      <c r="F121" s="132">
        <f t="shared" si="68"/>
        <v>0</v>
      </c>
      <c r="G121" s="132">
        <f t="shared" si="68"/>
        <v>0</v>
      </c>
      <c r="H121" s="132">
        <f t="shared" si="68"/>
        <v>0</v>
      </c>
      <c r="I121" s="132">
        <f t="shared" si="68"/>
        <v>0</v>
      </c>
      <c r="J121" s="132">
        <f t="shared" si="68"/>
        <v>0</v>
      </c>
      <c r="K121" s="132">
        <f t="shared" si="68"/>
        <v>0</v>
      </c>
      <c r="L121" s="132">
        <f t="shared" si="68"/>
        <v>0</v>
      </c>
      <c r="M121" s="132">
        <f t="shared" si="68"/>
        <v>0</v>
      </c>
      <c r="N121" s="136">
        <f t="shared" si="51"/>
        <v>0</v>
      </c>
      <c r="O121"/>
      <c r="P121"/>
      <c r="Q121" s="308"/>
    </row>
    <row r="122" spans="1:17" s="109" customFormat="1" hidden="1">
      <c r="A122" s="265"/>
      <c r="B122" s="99">
        <f t="shared" si="49"/>
        <v>0</v>
      </c>
      <c r="C122" s="132">
        <f t="shared" ref="C122:M122" si="69">C42*C$102*kg_mt</f>
        <v>0</v>
      </c>
      <c r="D122" s="132">
        <f t="shared" si="69"/>
        <v>0</v>
      </c>
      <c r="E122" s="132">
        <f t="shared" si="69"/>
        <v>0</v>
      </c>
      <c r="F122" s="132">
        <f t="shared" si="69"/>
        <v>0</v>
      </c>
      <c r="G122" s="132">
        <f t="shared" si="69"/>
        <v>0</v>
      </c>
      <c r="H122" s="132">
        <f t="shared" si="69"/>
        <v>0</v>
      </c>
      <c r="I122" s="132">
        <f t="shared" si="69"/>
        <v>0</v>
      </c>
      <c r="J122" s="132">
        <f t="shared" si="69"/>
        <v>0</v>
      </c>
      <c r="K122" s="132">
        <f t="shared" si="69"/>
        <v>0</v>
      </c>
      <c r="L122" s="132">
        <f t="shared" si="69"/>
        <v>0</v>
      </c>
      <c r="M122" s="132">
        <f t="shared" si="69"/>
        <v>0</v>
      </c>
      <c r="N122" s="136">
        <f t="shared" si="51"/>
        <v>0</v>
      </c>
      <c r="O122"/>
      <c r="P122"/>
      <c r="Q122" s="308"/>
    </row>
    <row r="123" spans="1:17" s="109" customFormat="1">
      <c r="A123" s="265"/>
      <c r="B123" s="860" t="s">
        <v>253</v>
      </c>
      <c r="C123" s="134">
        <f t="shared" ref="C123:M123" si="70">SUM(C103:C122)</f>
        <v>0</v>
      </c>
      <c r="D123" s="134">
        <f t="shared" si="70"/>
        <v>0</v>
      </c>
      <c r="E123" s="134">
        <f t="shared" si="70"/>
        <v>0</v>
      </c>
      <c r="F123" s="134">
        <f t="shared" si="70"/>
        <v>0</v>
      </c>
      <c r="G123" s="134">
        <f t="shared" si="70"/>
        <v>0</v>
      </c>
      <c r="H123" s="134">
        <f t="shared" si="70"/>
        <v>0</v>
      </c>
      <c r="I123" s="134">
        <f t="shared" si="70"/>
        <v>0</v>
      </c>
      <c r="J123" s="134">
        <f t="shared" si="70"/>
        <v>0</v>
      </c>
      <c r="K123" s="134">
        <f t="shared" si="70"/>
        <v>0</v>
      </c>
      <c r="L123" s="134">
        <f t="shared" si="70"/>
        <v>0</v>
      </c>
      <c r="M123" s="135">
        <f t="shared" si="70"/>
        <v>0</v>
      </c>
      <c r="N123" s="869">
        <f t="shared" si="51"/>
        <v>0</v>
      </c>
      <c r="O123"/>
      <c r="P123"/>
      <c r="Q123" s="308"/>
    </row>
    <row r="124" spans="1:17" s="109" customFormat="1">
      <c r="A124" s="265"/>
      <c r="B124"/>
      <c r="C124"/>
      <c r="D124"/>
      <c r="E124"/>
      <c r="F124"/>
      <c r="G124"/>
      <c r="H124"/>
      <c r="I124"/>
      <c r="J124"/>
      <c r="K124"/>
      <c r="L124"/>
      <c r="M124"/>
      <c r="N124"/>
      <c r="O124"/>
      <c r="P124"/>
      <c r="Q124" s="308"/>
    </row>
    <row r="125" spans="1:17" s="109" customFormat="1">
      <c r="A125" s="265"/>
      <c r="B125"/>
      <c r="C125"/>
      <c r="D125"/>
      <c r="E125"/>
      <c r="F125"/>
      <c r="G125"/>
      <c r="H125"/>
      <c r="I125"/>
      <c r="J125"/>
      <c r="K125"/>
      <c r="L125"/>
      <c r="M125"/>
      <c r="N125"/>
      <c r="O125"/>
      <c r="P125"/>
      <c r="Q125" s="308"/>
    </row>
    <row r="126" spans="1:17" s="109" customFormat="1" ht="16.5">
      <c r="A126" s="268" t="s">
        <v>418</v>
      </c>
      <c r="B126"/>
      <c r="C126"/>
      <c r="D126"/>
      <c r="E126"/>
      <c r="F126"/>
      <c r="G126"/>
      <c r="H126"/>
      <c r="I126"/>
      <c r="J126"/>
      <c r="K126"/>
      <c r="L126"/>
      <c r="M126"/>
      <c r="N126"/>
      <c r="O126"/>
      <c r="P126"/>
      <c r="Q126" s="308"/>
    </row>
    <row r="127" spans="1:17" s="109" customFormat="1" ht="16.5">
      <c r="A127" s="286" t="s">
        <v>419</v>
      </c>
      <c r="B127"/>
      <c r="C127"/>
      <c r="D127"/>
      <c r="E127"/>
      <c r="F127"/>
      <c r="G127"/>
      <c r="H127"/>
      <c r="I127"/>
      <c r="J127"/>
      <c r="K127"/>
      <c r="L127"/>
      <c r="M127"/>
      <c r="N127"/>
      <c r="O127"/>
      <c r="P127"/>
      <c r="Q127" s="308"/>
    </row>
    <row r="128" spans="1:17" s="109" customFormat="1" ht="29">
      <c r="A128" s="265"/>
      <c r="B128" s="860"/>
      <c r="C128" s="96" t="s">
        <v>175</v>
      </c>
      <c r="D128" s="96" t="s">
        <v>172</v>
      </c>
      <c r="E128" s="96" t="s">
        <v>377</v>
      </c>
      <c r="F128" s="96" t="s">
        <v>378</v>
      </c>
      <c r="G128" s="96" t="s">
        <v>408</v>
      </c>
      <c r="H128" s="96" t="s">
        <v>380</v>
      </c>
      <c r="I128" s="96" t="s">
        <v>383</v>
      </c>
      <c r="J128" s="96" t="s">
        <v>174</v>
      </c>
      <c r="K128" s="96" t="s">
        <v>391</v>
      </c>
      <c r="L128" s="96" t="s">
        <v>180</v>
      </c>
      <c r="M128" s="96" t="s">
        <v>389</v>
      </c>
      <c r="N128" s="868" t="s">
        <v>263</v>
      </c>
      <c r="O128"/>
      <c r="P128"/>
      <c r="Q128" s="308"/>
    </row>
    <row r="129" spans="1:17" s="109" customFormat="1">
      <c r="A129" s="284" t="s">
        <v>101</v>
      </c>
      <c r="B129" s="99" t="str">
        <f>B103</f>
        <v>Residential</v>
      </c>
      <c r="C129" s="137">
        <f t="shared" ref="C129:M129" si="71">C77-C103</f>
        <v>0</v>
      </c>
      <c r="D129" s="137">
        <f t="shared" si="71"/>
        <v>0</v>
      </c>
      <c r="E129" s="137">
        <f t="shared" si="71"/>
        <v>0</v>
      </c>
      <c r="F129" s="137">
        <f t="shared" si="71"/>
        <v>0</v>
      </c>
      <c r="G129" s="137">
        <f t="shared" si="71"/>
        <v>0</v>
      </c>
      <c r="H129" s="137">
        <f t="shared" si="71"/>
        <v>0</v>
      </c>
      <c r="I129" s="137">
        <f t="shared" si="71"/>
        <v>0</v>
      </c>
      <c r="J129" s="137">
        <f t="shared" si="71"/>
        <v>0</v>
      </c>
      <c r="K129" s="137">
        <f t="shared" si="71"/>
        <v>0</v>
      </c>
      <c r="L129" s="137">
        <f t="shared" si="71"/>
        <v>0</v>
      </c>
      <c r="M129" s="137">
        <f t="shared" si="71"/>
        <v>0</v>
      </c>
      <c r="N129" s="182">
        <f>SUM(C129:M129)</f>
        <v>0</v>
      </c>
      <c r="O129"/>
      <c r="P129"/>
      <c r="Q129" s="308"/>
    </row>
    <row r="130" spans="1:17" s="109" customFormat="1">
      <c r="A130" s="265"/>
      <c r="B130" s="99" t="str">
        <f t="shared" ref="B130:B148" si="72">B104</f>
        <v>Commercial/Institutional</v>
      </c>
      <c r="C130" s="137">
        <f t="shared" ref="C130:M130" si="73">C78-C104</f>
        <v>0</v>
      </c>
      <c r="D130" s="137">
        <f t="shared" si="73"/>
        <v>0</v>
      </c>
      <c r="E130" s="137">
        <f t="shared" si="73"/>
        <v>0</v>
      </c>
      <c r="F130" s="137">
        <f t="shared" si="73"/>
        <v>0</v>
      </c>
      <c r="G130" s="137">
        <f t="shared" si="73"/>
        <v>0</v>
      </c>
      <c r="H130" s="137">
        <f t="shared" si="73"/>
        <v>0</v>
      </c>
      <c r="I130" s="137">
        <f t="shared" si="73"/>
        <v>0</v>
      </c>
      <c r="J130" s="137">
        <f t="shared" si="73"/>
        <v>0</v>
      </c>
      <c r="K130" s="137">
        <f t="shared" si="73"/>
        <v>0</v>
      </c>
      <c r="L130" s="137">
        <f t="shared" si="73"/>
        <v>0</v>
      </c>
      <c r="M130" s="137">
        <f t="shared" si="73"/>
        <v>0</v>
      </c>
      <c r="N130" s="182">
        <f t="shared" ref="N130:N148" si="74">SUM(C130:M130)</f>
        <v>0</v>
      </c>
      <c r="O130"/>
      <c r="P130"/>
      <c r="Q130" s="308"/>
    </row>
    <row r="131" spans="1:17" s="109" customFormat="1">
      <c r="A131" s="265"/>
      <c r="B131" s="99" t="str">
        <f t="shared" si="72"/>
        <v>Industrial</v>
      </c>
      <c r="C131" s="137">
        <f t="shared" ref="C131:M131" si="75">C79-C105</f>
        <v>0</v>
      </c>
      <c r="D131" s="137">
        <f t="shared" si="75"/>
        <v>0</v>
      </c>
      <c r="E131" s="137">
        <f t="shared" si="75"/>
        <v>0</v>
      </c>
      <c r="F131" s="137">
        <f t="shared" si="75"/>
        <v>0</v>
      </c>
      <c r="G131" s="137">
        <f t="shared" si="75"/>
        <v>0</v>
      </c>
      <c r="H131" s="137">
        <f t="shared" si="75"/>
        <v>0</v>
      </c>
      <c r="I131" s="137">
        <f t="shared" si="75"/>
        <v>0</v>
      </c>
      <c r="J131" s="137">
        <f t="shared" si="75"/>
        <v>0</v>
      </c>
      <c r="K131" s="137">
        <f t="shared" si="75"/>
        <v>0</v>
      </c>
      <c r="L131" s="137">
        <f t="shared" si="75"/>
        <v>0</v>
      </c>
      <c r="M131" s="137">
        <f t="shared" si="75"/>
        <v>0</v>
      </c>
      <c r="N131" s="182">
        <f t="shared" si="74"/>
        <v>0</v>
      </c>
      <c r="O131"/>
      <c r="P131"/>
      <c r="Q131" s="308"/>
    </row>
    <row r="132" spans="1:17" s="109" customFormat="1">
      <c r="A132" s="265"/>
      <c r="B132" s="99" t="str">
        <f t="shared" si="72"/>
        <v>Energy Generation</v>
      </c>
      <c r="C132" s="137">
        <f t="shared" ref="C132:M132" si="76">C80-C106</f>
        <v>0</v>
      </c>
      <c r="D132" s="137">
        <f t="shared" si="76"/>
        <v>0</v>
      </c>
      <c r="E132" s="137">
        <f t="shared" si="76"/>
        <v>0</v>
      </c>
      <c r="F132" s="137">
        <f t="shared" si="76"/>
        <v>0</v>
      </c>
      <c r="G132" s="137">
        <f t="shared" si="76"/>
        <v>0</v>
      </c>
      <c r="H132" s="137">
        <f t="shared" si="76"/>
        <v>0</v>
      </c>
      <c r="I132" s="137">
        <f t="shared" si="76"/>
        <v>0</v>
      </c>
      <c r="J132" s="137">
        <f t="shared" si="76"/>
        <v>0</v>
      </c>
      <c r="K132" s="137">
        <f t="shared" si="76"/>
        <v>0</v>
      </c>
      <c r="L132" s="137">
        <f t="shared" si="76"/>
        <v>0</v>
      </c>
      <c r="M132" s="137">
        <f t="shared" si="76"/>
        <v>0</v>
      </c>
      <c r="N132" s="182">
        <f t="shared" si="74"/>
        <v>0</v>
      </c>
      <c r="O132"/>
      <c r="P132"/>
      <c r="Q132" s="308"/>
    </row>
    <row r="133" spans="1:17" s="109" customFormat="1" hidden="1">
      <c r="A133" s="265"/>
      <c r="B133" s="99">
        <f t="shared" si="72"/>
        <v>0</v>
      </c>
      <c r="C133" s="137">
        <f t="shared" ref="C133:M133" si="77">C81-C107</f>
        <v>0</v>
      </c>
      <c r="D133" s="137">
        <f t="shared" si="77"/>
        <v>0</v>
      </c>
      <c r="E133" s="137">
        <f t="shared" si="77"/>
        <v>0</v>
      </c>
      <c r="F133" s="137">
        <f t="shared" si="77"/>
        <v>0</v>
      </c>
      <c r="G133" s="137">
        <f t="shared" si="77"/>
        <v>0</v>
      </c>
      <c r="H133" s="137">
        <f t="shared" si="77"/>
        <v>0</v>
      </c>
      <c r="I133" s="137">
        <f t="shared" si="77"/>
        <v>0</v>
      </c>
      <c r="J133" s="137">
        <f t="shared" si="77"/>
        <v>0</v>
      </c>
      <c r="K133" s="137">
        <f t="shared" si="77"/>
        <v>0</v>
      </c>
      <c r="L133" s="137">
        <f t="shared" si="77"/>
        <v>0</v>
      </c>
      <c r="M133" s="137">
        <f t="shared" si="77"/>
        <v>0</v>
      </c>
      <c r="N133" s="182">
        <f t="shared" si="74"/>
        <v>0</v>
      </c>
      <c r="O133"/>
      <c r="P133"/>
      <c r="Q133" s="308"/>
    </row>
    <row r="134" spans="1:17" s="109" customFormat="1" hidden="1">
      <c r="A134" s="265"/>
      <c r="B134" s="99">
        <f t="shared" si="72"/>
        <v>0</v>
      </c>
      <c r="C134" s="137">
        <f t="shared" ref="C134:M134" si="78">C82-C108</f>
        <v>0</v>
      </c>
      <c r="D134" s="137">
        <f t="shared" si="78"/>
        <v>0</v>
      </c>
      <c r="E134" s="137">
        <f t="shared" si="78"/>
        <v>0</v>
      </c>
      <c r="F134" s="137">
        <f t="shared" si="78"/>
        <v>0</v>
      </c>
      <c r="G134" s="137">
        <f t="shared" si="78"/>
        <v>0</v>
      </c>
      <c r="H134" s="137">
        <f t="shared" si="78"/>
        <v>0</v>
      </c>
      <c r="I134" s="137">
        <f t="shared" si="78"/>
        <v>0</v>
      </c>
      <c r="J134" s="137">
        <f t="shared" si="78"/>
        <v>0</v>
      </c>
      <c r="K134" s="137">
        <f t="shared" si="78"/>
        <v>0</v>
      </c>
      <c r="L134" s="137">
        <f t="shared" si="78"/>
        <v>0</v>
      </c>
      <c r="M134" s="137">
        <f t="shared" si="78"/>
        <v>0</v>
      </c>
      <c r="N134" s="182">
        <f t="shared" si="74"/>
        <v>0</v>
      </c>
      <c r="O134"/>
      <c r="P134"/>
      <c r="Q134" s="308"/>
    </row>
    <row r="135" spans="1:17" s="109" customFormat="1" hidden="1">
      <c r="A135" s="265"/>
      <c r="B135" s="99">
        <f t="shared" si="72"/>
        <v>0</v>
      </c>
      <c r="C135" s="137">
        <f t="shared" ref="C135:M135" si="79">C83-C109</f>
        <v>0</v>
      </c>
      <c r="D135" s="137">
        <f t="shared" si="79"/>
        <v>0</v>
      </c>
      <c r="E135" s="137">
        <f t="shared" si="79"/>
        <v>0</v>
      </c>
      <c r="F135" s="137">
        <f t="shared" si="79"/>
        <v>0</v>
      </c>
      <c r="G135" s="137">
        <f t="shared" si="79"/>
        <v>0</v>
      </c>
      <c r="H135" s="137">
        <f t="shared" si="79"/>
        <v>0</v>
      </c>
      <c r="I135" s="137">
        <f t="shared" si="79"/>
        <v>0</v>
      </c>
      <c r="J135" s="137">
        <f t="shared" si="79"/>
        <v>0</v>
      </c>
      <c r="K135" s="137">
        <f t="shared" si="79"/>
        <v>0</v>
      </c>
      <c r="L135" s="137">
        <f t="shared" si="79"/>
        <v>0</v>
      </c>
      <c r="M135" s="137">
        <f t="shared" si="79"/>
        <v>0</v>
      </c>
      <c r="N135" s="182">
        <f t="shared" si="74"/>
        <v>0</v>
      </c>
      <c r="O135"/>
      <c r="P135"/>
      <c r="Q135" s="308"/>
    </row>
    <row r="136" spans="1:17" s="109" customFormat="1" hidden="1">
      <c r="A136" s="265"/>
      <c r="B136" s="99">
        <f t="shared" si="72"/>
        <v>0</v>
      </c>
      <c r="C136" s="137">
        <f t="shared" ref="C136:M136" si="80">C84-C110</f>
        <v>0</v>
      </c>
      <c r="D136" s="137">
        <f t="shared" si="80"/>
        <v>0</v>
      </c>
      <c r="E136" s="137">
        <f t="shared" si="80"/>
        <v>0</v>
      </c>
      <c r="F136" s="137">
        <f t="shared" si="80"/>
        <v>0</v>
      </c>
      <c r="G136" s="137">
        <f t="shared" si="80"/>
        <v>0</v>
      </c>
      <c r="H136" s="137">
        <f t="shared" si="80"/>
        <v>0</v>
      </c>
      <c r="I136" s="137">
        <f t="shared" si="80"/>
        <v>0</v>
      </c>
      <c r="J136" s="137">
        <f t="shared" si="80"/>
        <v>0</v>
      </c>
      <c r="K136" s="137">
        <f t="shared" si="80"/>
        <v>0</v>
      </c>
      <c r="L136" s="137">
        <f t="shared" si="80"/>
        <v>0</v>
      </c>
      <c r="M136" s="137">
        <f t="shared" si="80"/>
        <v>0</v>
      </c>
      <c r="N136" s="182">
        <f t="shared" si="74"/>
        <v>0</v>
      </c>
      <c r="O136"/>
      <c r="P136"/>
      <c r="Q136" s="308"/>
    </row>
    <row r="137" spans="1:17" s="109" customFormat="1" hidden="1">
      <c r="A137" s="265"/>
      <c r="B137" s="99">
        <f t="shared" si="72"/>
        <v>0</v>
      </c>
      <c r="C137" s="137">
        <f t="shared" ref="C137:M137" si="81">C85-C111</f>
        <v>0</v>
      </c>
      <c r="D137" s="137">
        <f t="shared" si="81"/>
        <v>0</v>
      </c>
      <c r="E137" s="137">
        <f t="shared" si="81"/>
        <v>0</v>
      </c>
      <c r="F137" s="137">
        <f t="shared" si="81"/>
        <v>0</v>
      </c>
      <c r="G137" s="137">
        <f t="shared" si="81"/>
        <v>0</v>
      </c>
      <c r="H137" s="137">
        <f t="shared" si="81"/>
        <v>0</v>
      </c>
      <c r="I137" s="137">
        <f t="shared" si="81"/>
        <v>0</v>
      </c>
      <c r="J137" s="137">
        <f t="shared" si="81"/>
        <v>0</v>
      </c>
      <c r="K137" s="137">
        <f t="shared" si="81"/>
        <v>0</v>
      </c>
      <c r="L137" s="137">
        <f t="shared" si="81"/>
        <v>0</v>
      </c>
      <c r="M137" s="137">
        <f t="shared" si="81"/>
        <v>0</v>
      </c>
      <c r="N137" s="182">
        <f t="shared" si="74"/>
        <v>0</v>
      </c>
      <c r="O137"/>
      <c r="P137"/>
      <c r="Q137" s="308"/>
    </row>
    <row r="138" spans="1:17" s="109" customFormat="1" hidden="1">
      <c r="A138" s="265"/>
      <c r="B138" s="99">
        <f t="shared" si="72"/>
        <v>0</v>
      </c>
      <c r="C138" s="137">
        <f t="shared" ref="C138:M138" si="82">C86-C112</f>
        <v>0</v>
      </c>
      <c r="D138" s="137">
        <f t="shared" si="82"/>
        <v>0</v>
      </c>
      <c r="E138" s="137">
        <f t="shared" si="82"/>
        <v>0</v>
      </c>
      <c r="F138" s="137">
        <f t="shared" si="82"/>
        <v>0</v>
      </c>
      <c r="G138" s="137">
        <f t="shared" si="82"/>
        <v>0</v>
      </c>
      <c r="H138" s="137">
        <f t="shared" si="82"/>
        <v>0</v>
      </c>
      <c r="I138" s="137">
        <f t="shared" si="82"/>
        <v>0</v>
      </c>
      <c r="J138" s="137">
        <f t="shared" si="82"/>
        <v>0</v>
      </c>
      <c r="K138" s="137">
        <f t="shared" si="82"/>
        <v>0</v>
      </c>
      <c r="L138" s="137">
        <f t="shared" si="82"/>
        <v>0</v>
      </c>
      <c r="M138" s="137">
        <f t="shared" si="82"/>
        <v>0</v>
      </c>
      <c r="N138" s="182">
        <f t="shared" si="74"/>
        <v>0</v>
      </c>
      <c r="O138"/>
      <c r="P138"/>
      <c r="Q138" s="308"/>
    </row>
    <row r="139" spans="1:17" s="109" customFormat="1" hidden="1">
      <c r="A139" s="265"/>
      <c r="B139" s="99">
        <f t="shared" si="72"/>
        <v>0</v>
      </c>
      <c r="C139" s="137">
        <f t="shared" ref="C139:M139" si="83">C87-C113</f>
        <v>0</v>
      </c>
      <c r="D139" s="137">
        <f t="shared" si="83"/>
        <v>0</v>
      </c>
      <c r="E139" s="137">
        <f t="shared" si="83"/>
        <v>0</v>
      </c>
      <c r="F139" s="137">
        <f t="shared" si="83"/>
        <v>0</v>
      </c>
      <c r="G139" s="137">
        <f t="shared" si="83"/>
        <v>0</v>
      </c>
      <c r="H139" s="137">
        <f t="shared" si="83"/>
        <v>0</v>
      </c>
      <c r="I139" s="137">
        <f t="shared" si="83"/>
        <v>0</v>
      </c>
      <c r="J139" s="137">
        <f t="shared" si="83"/>
        <v>0</v>
      </c>
      <c r="K139" s="137">
        <f t="shared" si="83"/>
        <v>0</v>
      </c>
      <c r="L139" s="137">
        <f t="shared" si="83"/>
        <v>0</v>
      </c>
      <c r="M139" s="137">
        <f t="shared" si="83"/>
        <v>0</v>
      </c>
      <c r="N139" s="182">
        <f t="shared" si="74"/>
        <v>0</v>
      </c>
      <c r="O139"/>
      <c r="P139"/>
      <c r="Q139" s="308"/>
    </row>
    <row r="140" spans="1:17" s="109" customFormat="1" hidden="1">
      <c r="A140" s="265"/>
      <c r="B140" s="99">
        <f t="shared" si="72"/>
        <v>0</v>
      </c>
      <c r="C140" s="137">
        <f t="shared" ref="C140:M140" si="84">C88-C114</f>
        <v>0</v>
      </c>
      <c r="D140" s="137">
        <f t="shared" si="84"/>
        <v>0</v>
      </c>
      <c r="E140" s="137">
        <f t="shared" si="84"/>
        <v>0</v>
      </c>
      <c r="F140" s="137">
        <f t="shared" si="84"/>
        <v>0</v>
      </c>
      <c r="G140" s="137">
        <f t="shared" si="84"/>
        <v>0</v>
      </c>
      <c r="H140" s="137">
        <f t="shared" si="84"/>
        <v>0</v>
      </c>
      <c r="I140" s="137">
        <f t="shared" si="84"/>
        <v>0</v>
      </c>
      <c r="J140" s="137">
        <f t="shared" si="84"/>
        <v>0</v>
      </c>
      <c r="K140" s="137">
        <f t="shared" si="84"/>
        <v>0</v>
      </c>
      <c r="L140" s="137">
        <f t="shared" si="84"/>
        <v>0</v>
      </c>
      <c r="M140" s="137">
        <f t="shared" si="84"/>
        <v>0</v>
      </c>
      <c r="N140" s="182">
        <f t="shared" si="74"/>
        <v>0</v>
      </c>
      <c r="O140"/>
      <c r="P140"/>
      <c r="Q140" s="308"/>
    </row>
    <row r="141" spans="1:17" s="109" customFormat="1" hidden="1">
      <c r="A141" s="265"/>
      <c r="B141" s="99">
        <f t="shared" si="72"/>
        <v>0</v>
      </c>
      <c r="C141" s="137">
        <f t="shared" ref="C141:M141" si="85">C89-C115</f>
        <v>0</v>
      </c>
      <c r="D141" s="137">
        <f t="shared" si="85"/>
        <v>0</v>
      </c>
      <c r="E141" s="137">
        <f t="shared" si="85"/>
        <v>0</v>
      </c>
      <c r="F141" s="137">
        <f t="shared" si="85"/>
        <v>0</v>
      </c>
      <c r="G141" s="137">
        <f t="shared" si="85"/>
        <v>0</v>
      </c>
      <c r="H141" s="137">
        <f t="shared" si="85"/>
        <v>0</v>
      </c>
      <c r="I141" s="137">
        <f t="shared" si="85"/>
        <v>0</v>
      </c>
      <c r="J141" s="137">
        <f t="shared" si="85"/>
        <v>0</v>
      </c>
      <c r="K141" s="137">
        <f t="shared" si="85"/>
        <v>0</v>
      </c>
      <c r="L141" s="137">
        <f t="shared" si="85"/>
        <v>0</v>
      </c>
      <c r="M141" s="137">
        <f t="shared" si="85"/>
        <v>0</v>
      </c>
      <c r="N141" s="182">
        <f t="shared" si="74"/>
        <v>0</v>
      </c>
      <c r="O141"/>
      <c r="P141"/>
      <c r="Q141" s="308"/>
    </row>
    <row r="142" spans="1:17" s="109" customFormat="1" hidden="1">
      <c r="A142" s="265"/>
      <c r="B142" s="99">
        <f t="shared" si="72"/>
        <v>0</v>
      </c>
      <c r="C142" s="137">
        <f t="shared" ref="C142:M142" si="86">C90-C116</f>
        <v>0</v>
      </c>
      <c r="D142" s="137">
        <f t="shared" si="86"/>
        <v>0</v>
      </c>
      <c r="E142" s="137">
        <f t="shared" si="86"/>
        <v>0</v>
      </c>
      <c r="F142" s="137">
        <f t="shared" si="86"/>
        <v>0</v>
      </c>
      <c r="G142" s="137">
        <f t="shared" si="86"/>
        <v>0</v>
      </c>
      <c r="H142" s="137">
        <f t="shared" si="86"/>
        <v>0</v>
      </c>
      <c r="I142" s="137">
        <f t="shared" si="86"/>
        <v>0</v>
      </c>
      <c r="J142" s="137">
        <f t="shared" si="86"/>
        <v>0</v>
      </c>
      <c r="K142" s="137">
        <f t="shared" si="86"/>
        <v>0</v>
      </c>
      <c r="L142" s="137">
        <f t="shared" si="86"/>
        <v>0</v>
      </c>
      <c r="M142" s="137">
        <f t="shared" si="86"/>
        <v>0</v>
      </c>
      <c r="N142" s="182">
        <f t="shared" si="74"/>
        <v>0</v>
      </c>
      <c r="O142"/>
      <c r="P142"/>
      <c r="Q142" s="308"/>
    </row>
    <row r="143" spans="1:17" s="109" customFormat="1" hidden="1">
      <c r="A143" s="265"/>
      <c r="B143" s="99">
        <f t="shared" si="72"/>
        <v>0</v>
      </c>
      <c r="C143" s="137">
        <f t="shared" ref="C143:M143" si="87">C91-C117</f>
        <v>0</v>
      </c>
      <c r="D143" s="137">
        <f t="shared" si="87"/>
        <v>0</v>
      </c>
      <c r="E143" s="137">
        <f t="shared" si="87"/>
        <v>0</v>
      </c>
      <c r="F143" s="137">
        <f t="shared" si="87"/>
        <v>0</v>
      </c>
      <c r="G143" s="137">
        <f t="shared" si="87"/>
        <v>0</v>
      </c>
      <c r="H143" s="137">
        <f t="shared" si="87"/>
        <v>0</v>
      </c>
      <c r="I143" s="137">
        <f t="shared" si="87"/>
        <v>0</v>
      </c>
      <c r="J143" s="137">
        <f t="shared" si="87"/>
        <v>0</v>
      </c>
      <c r="K143" s="137">
        <f t="shared" si="87"/>
        <v>0</v>
      </c>
      <c r="L143" s="137">
        <f t="shared" si="87"/>
        <v>0</v>
      </c>
      <c r="M143" s="137">
        <f t="shared" si="87"/>
        <v>0</v>
      </c>
      <c r="N143" s="182">
        <f t="shared" si="74"/>
        <v>0</v>
      </c>
      <c r="O143"/>
      <c r="P143"/>
      <c r="Q143" s="308"/>
    </row>
    <row r="144" spans="1:17" s="109" customFormat="1" hidden="1">
      <c r="A144" s="265"/>
      <c r="B144" s="99">
        <f t="shared" si="72"/>
        <v>0</v>
      </c>
      <c r="C144" s="137">
        <f t="shared" ref="C144:M144" si="88">C92-C118</f>
        <v>0</v>
      </c>
      <c r="D144" s="137">
        <f t="shared" si="88"/>
        <v>0</v>
      </c>
      <c r="E144" s="137">
        <f t="shared" si="88"/>
        <v>0</v>
      </c>
      <c r="F144" s="137">
        <f t="shared" si="88"/>
        <v>0</v>
      </c>
      <c r="G144" s="137">
        <f t="shared" si="88"/>
        <v>0</v>
      </c>
      <c r="H144" s="137">
        <f t="shared" si="88"/>
        <v>0</v>
      </c>
      <c r="I144" s="137">
        <f t="shared" si="88"/>
        <v>0</v>
      </c>
      <c r="J144" s="137">
        <f t="shared" si="88"/>
        <v>0</v>
      </c>
      <c r="K144" s="137">
        <f t="shared" si="88"/>
        <v>0</v>
      </c>
      <c r="L144" s="137">
        <f t="shared" si="88"/>
        <v>0</v>
      </c>
      <c r="M144" s="137">
        <f t="shared" si="88"/>
        <v>0</v>
      </c>
      <c r="N144" s="182">
        <f t="shared" si="74"/>
        <v>0</v>
      </c>
      <c r="O144"/>
      <c r="P144"/>
      <c r="Q144" s="308"/>
    </row>
    <row r="145" spans="1:17" s="109" customFormat="1" hidden="1">
      <c r="A145" s="265"/>
      <c r="B145" s="99">
        <f t="shared" si="72"/>
        <v>0</v>
      </c>
      <c r="C145" s="137">
        <f t="shared" ref="C145:M145" si="89">C93-C119</f>
        <v>0</v>
      </c>
      <c r="D145" s="137">
        <f t="shared" si="89"/>
        <v>0</v>
      </c>
      <c r="E145" s="137">
        <f t="shared" si="89"/>
        <v>0</v>
      </c>
      <c r="F145" s="137">
        <f t="shared" si="89"/>
        <v>0</v>
      </c>
      <c r="G145" s="137">
        <f t="shared" si="89"/>
        <v>0</v>
      </c>
      <c r="H145" s="137">
        <f t="shared" si="89"/>
        <v>0</v>
      </c>
      <c r="I145" s="137">
        <f t="shared" si="89"/>
        <v>0</v>
      </c>
      <c r="J145" s="137">
        <f t="shared" si="89"/>
        <v>0</v>
      </c>
      <c r="K145" s="137">
        <f t="shared" si="89"/>
        <v>0</v>
      </c>
      <c r="L145" s="137">
        <f t="shared" si="89"/>
        <v>0</v>
      </c>
      <c r="M145" s="137">
        <f t="shared" si="89"/>
        <v>0</v>
      </c>
      <c r="N145" s="182">
        <f t="shared" si="74"/>
        <v>0</v>
      </c>
      <c r="O145"/>
      <c r="P145"/>
      <c r="Q145" s="308"/>
    </row>
    <row r="146" spans="1:17" s="109" customFormat="1" hidden="1">
      <c r="A146" s="265"/>
      <c r="B146" s="99">
        <f t="shared" si="72"/>
        <v>0</v>
      </c>
      <c r="C146" s="137">
        <f t="shared" ref="C146:M146" si="90">C94-C120</f>
        <v>0</v>
      </c>
      <c r="D146" s="137">
        <f t="shared" si="90"/>
        <v>0</v>
      </c>
      <c r="E146" s="137">
        <f t="shared" si="90"/>
        <v>0</v>
      </c>
      <c r="F146" s="137">
        <f t="shared" si="90"/>
        <v>0</v>
      </c>
      <c r="G146" s="137">
        <f t="shared" si="90"/>
        <v>0</v>
      </c>
      <c r="H146" s="137">
        <f t="shared" si="90"/>
        <v>0</v>
      </c>
      <c r="I146" s="137">
        <f t="shared" si="90"/>
        <v>0</v>
      </c>
      <c r="J146" s="137">
        <f t="shared" si="90"/>
        <v>0</v>
      </c>
      <c r="K146" s="137">
        <f t="shared" si="90"/>
        <v>0</v>
      </c>
      <c r="L146" s="137">
        <f t="shared" si="90"/>
        <v>0</v>
      </c>
      <c r="M146" s="137">
        <f t="shared" si="90"/>
        <v>0</v>
      </c>
      <c r="N146" s="182">
        <f t="shared" si="74"/>
        <v>0</v>
      </c>
      <c r="O146"/>
      <c r="P146"/>
      <c r="Q146" s="308"/>
    </row>
    <row r="147" spans="1:17" s="109" customFormat="1" hidden="1">
      <c r="A147" s="265"/>
      <c r="B147" s="99">
        <f t="shared" si="72"/>
        <v>0</v>
      </c>
      <c r="C147" s="137">
        <f t="shared" ref="C147:M147" si="91">C95-C121</f>
        <v>0</v>
      </c>
      <c r="D147" s="137">
        <f t="shared" si="91"/>
        <v>0</v>
      </c>
      <c r="E147" s="137">
        <f t="shared" si="91"/>
        <v>0</v>
      </c>
      <c r="F147" s="137">
        <f t="shared" si="91"/>
        <v>0</v>
      </c>
      <c r="G147" s="137">
        <f t="shared" si="91"/>
        <v>0</v>
      </c>
      <c r="H147" s="137">
        <f t="shared" si="91"/>
        <v>0</v>
      </c>
      <c r="I147" s="137">
        <f t="shared" si="91"/>
        <v>0</v>
      </c>
      <c r="J147" s="137">
        <f t="shared" si="91"/>
        <v>0</v>
      </c>
      <c r="K147" s="137">
        <f t="shared" si="91"/>
        <v>0</v>
      </c>
      <c r="L147" s="137">
        <f t="shared" si="91"/>
        <v>0</v>
      </c>
      <c r="M147" s="137">
        <f t="shared" si="91"/>
        <v>0</v>
      </c>
      <c r="N147" s="182">
        <f t="shared" si="74"/>
        <v>0</v>
      </c>
      <c r="O147"/>
      <c r="P147"/>
      <c r="Q147" s="308"/>
    </row>
    <row r="148" spans="1:17" s="109" customFormat="1" hidden="1">
      <c r="A148" s="265"/>
      <c r="B148" s="99">
        <f t="shared" si="72"/>
        <v>0</v>
      </c>
      <c r="C148" s="137">
        <f t="shared" ref="C148:M148" si="92">C96-C122</f>
        <v>0</v>
      </c>
      <c r="D148" s="137">
        <f t="shared" si="92"/>
        <v>0</v>
      </c>
      <c r="E148" s="137">
        <f t="shared" si="92"/>
        <v>0</v>
      </c>
      <c r="F148" s="137">
        <f t="shared" si="92"/>
        <v>0</v>
      </c>
      <c r="G148" s="137">
        <f t="shared" si="92"/>
        <v>0</v>
      </c>
      <c r="H148" s="137">
        <f t="shared" si="92"/>
        <v>0</v>
      </c>
      <c r="I148" s="137">
        <f t="shared" si="92"/>
        <v>0</v>
      </c>
      <c r="J148" s="137">
        <f t="shared" si="92"/>
        <v>0</v>
      </c>
      <c r="K148" s="137">
        <f t="shared" si="92"/>
        <v>0</v>
      </c>
      <c r="L148" s="137">
        <f t="shared" si="92"/>
        <v>0</v>
      </c>
      <c r="M148" s="137">
        <f t="shared" si="92"/>
        <v>0</v>
      </c>
      <c r="N148" s="182">
        <f t="shared" si="74"/>
        <v>0</v>
      </c>
      <c r="O148"/>
      <c r="P148"/>
      <c r="Q148" s="308"/>
    </row>
    <row r="149" spans="1:17" s="109" customFormat="1">
      <c r="A149" s="265"/>
      <c r="B149" s="860" t="s">
        <v>253</v>
      </c>
      <c r="C149" s="134">
        <f t="shared" ref="C149:M149" si="93">SUM(C129:C148)</f>
        <v>0</v>
      </c>
      <c r="D149" s="134">
        <f t="shared" si="93"/>
        <v>0</v>
      </c>
      <c r="E149" s="134">
        <f t="shared" si="93"/>
        <v>0</v>
      </c>
      <c r="F149" s="134">
        <f t="shared" si="93"/>
        <v>0</v>
      </c>
      <c r="G149" s="134">
        <f t="shared" si="93"/>
        <v>0</v>
      </c>
      <c r="H149" s="134">
        <f t="shared" si="93"/>
        <v>0</v>
      </c>
      <c r="I149" s="134">
        <f t="shared" si="93"/>
        <v>0</v>
      </c>
      <c r="J149" s="134">
        <f t="shared" si="93"/>
        <v>0</v>
      </c>
      <c r="K149" s="134">
        <f t="shared" si="93"/>
        <v>0</v>
      </c>
      <c r="L149" s="134">
        <f t="shared" si="93"/>
        <v>0</v>
      </c>
      <c r="M149" s="134">
        <f t="shared" si="93"/>
        <v>0</v>
      </c>
      <c r="N149" s="871">
        <f>SUM(C149:M149)</f>
        <v>0</v>
      </c>
      <c r="O149"/>
      <c r="P149"/>
      <c r="Q149" s="308"/>
    </row>
    <row r="150" spans="1:17" s="109" customFormat="1">
      <c r="A150" s="265"/>
      <c r="B150"/>
      <c r="C150"/>
      <c r="D150"/>
      <c r="E150"/>
      <c r="F150"/>
      <c r="G150"/>
      <c r="H150"/>
      <c r="I150"/>
      <c r="J150"/>
      <c r="K150"/>
      <c r="L150"/>
      <c r="M150"/>
      <c r="N150"/>
      <c r="O150"/>
      <c r="P150"/>
      <c r="Q150" s="308"/>
    </row>
    <row r="151" spans="1:17" s="109" customFormat="1">
      <c r="A151" s="265"/>
      <c r="B151"/>
      <c r="C151"/>
      <c r="D151"/>
      <c r="E151"/>
      <c r="F151"/>
      <c r="G151"/>
      <c r="H151"/>
      <c r="I151"/>
      <c r="J151"/>
      <c r="K151"/>
      <c r="L151"/>
      <c r="M151"/>
      <c r="N151"/>
      <c r="O151"/>
      <c r="P151"/>
      <c r="Q151" s="308"/>
    </row>
    <row r="152" spans="1:17" s="55" customFormat="1">
      <c r="A152" s="294"/>
    </row>
    <row r="153" spans="1:17" ht="20.5">
      <c r="A153" s="283" t="s">
        <v>420</v>
      </c>
    </row>
    <row r="162" spans="1:27">
      <c r="B162" s="27" t="s">
        <v>421</v>
      </c>
      <c r="C162" s="1070" t="s">
        <v>102</v>
      </c>
      <c r="D162" s="1071"/>
      <c r="E162" s="1072"/>
      <c r="F162" s="57" t="s">
        <v>422</v>
      </c>
    </row>
    <row r="163" spans="1:27">
      <c r="F163" t="s">
        <v>423</v>
      </c>
    </row>
    <row r="164" spans="1:27">
      <c r="A164" s="265" t="s">
        <v>424</v>
      </c>
    </row>
    <row r="165" spans="1:27" ht="16.5">
      <c r="B165" s="1" t="s">
        <v>425</v>
      </c>
      <c r="K165" s="1" t="s">
        <v>426</v>
      </c>
      <c r="T165" s="1" t="s">
        <v>427</v>
      </c>
    </row>
    <row r="166" spans="1:27" ht="16.5">
      <c r="B166" s="57" t="s">
        <v>428</v>
      </c>
      <c r="K166" s="57" t="s">
        <v>429</v>
      </c>
      <c r="T166" s="57" t="s">
        <v>430</v>
      </c>
    </row>
    <row r="167" spans="1:27" ht="78.5">
      <c r="B167" s="872"/>
      <c r="C167" s="147" t="s">
        <v>347</v>
      </c>
      <c r="D167" s="147" t="s">
        <v>364</v>
      </c>
      <c r="E167" s="147" t="s">
        <v>351</v>
      </c>
      <c r="F167" s="147" t="s">
        <v>347</v>
      </c>
      <c r="G167" s="147" t="s">
        <v>364</v>
      </c>
      <c r="H167" s="147" t="s">
        <v>351</v>
      </c>
      <c r="I167" s="873" t="s">
        <v>263</v>
      </c>
      <c r="K167" s="874"/>
      <c r="L167" s="147" t="s">
        <v>347</v>
      </c>
      <c r="M167" s="147" t="s">
        <v>364</v>
      </c>
      <c r="N167" s="147" t="s">
        <v>351</v>
      </c>
      <c r="O167" s="147" t="s">
        <v>347</v>
      </c>
      <c r="P167" s="147" t="s">
        <v>364</v>
      </c>
      <c r="Q167" s="147" t="s">
        <v>351</v>
      </c>
      <c r="R167" s="873" t="s">
        <v>263</v>
      </c>
      <c r="T167" s="874"/>
      <c r="U167" s="147" t="s">
        <v>347</v>
      </c>
      <c r="V167" s="147" t="s">
        <v>364</v>
      </c>
      <c r="W167" s="147" t="s">
        <v>351</v>
      </c>
      <c r="X167" s="147" t="s">
        <v>347</v>
      </c>
      <c r="Y167" s="147" t="s">
        <v>364</v>
      </c>
      <c r="Z167" s="147" t="s">
        <v>351</v>
      </c>
      <c r="AA167" s="873" t="s">
        <v>263</v>
      </c>
    </row>
    <row r="168" spans="1:27">
      <c r="B168" s="874" t="s">
        <v>431</v>
      </c>
      <c r="C168" s="145" t="s">
        <v>175</v>
      </c>
      <c r="D168" s="145" t="s">
        <v>175</v>
      </c>
      <c r="E168" s="145" t="s">
        <v>175</v>
      </c>
      <c r="F168" s="145" t="s">
        <v>172</v>
      </c>
      <c r="G168" s="145" t="s">
        <v>172</v>
      </c>
      <c r="H168" s="145" t="s">
        <v>172</v>
      </c>
      <c r="I168" s="875"/>
      <c r="K168" s="874" t="s">
        <v>432</v>
      </c>
      <c r="L168" s="145" t="s">
        <v>175</v>
      </c>
      <c r="M168" s="145" t="s">
        <v>175</v>
      </c>
      <c r="N168" s="145" t="s">
        <v>175</v>
      </c>
      <c r="O168" s="145" t="s">
        <v>172</v>
      </c>
      <c r="P168" s="145" t="s">
        <v>172</v>
      </c>
      <c r="Q168" s="145" t="s">
        <v>172</v>
      </c>
      <c r="R168" s="875"/>
      <c r="T168" s="874" t="s">
        <v>432</v>
      </c>
      <c r="U168" s="145" t="s">
        <v>175</v>
      </c>
      <c r="V168" s="145" t="s">
        <v>175</v>
      </c>
      <c r="W168" s="145" t="s">
        <v>175</v>
      </c>
      <c r="X168" s="145" t="s">
        <v>172</v>
      </c>
      <c r="Y168" s="145" t="s">
        <v>172</v>
      </c>
      <c r="Z168" s="145" t="s">
        <v>172</v>
      </c>
      <c r="AA168" s="860"/>
    </row>
    <row r="169" spans="1:27">
      <c r="B169" s="22" t="s">
        <v>433</v>
      </c>
      <c r="C169" s="144">
        <f>SUMIFS('Mobile-Data'!$I$9:$I$1048576,'Mobile-Data'!$D$9:$D$1048576,"&lt;=1980",'Mobile-Data'!$E$9:$E$1048576,'Mobile-Detail Calcs'!C$167,'Mobile-Data'!$G$9:$G$1048576,'Mobile-Detail Calcs'!C$168,'Mobile-Data'!$C$9:$C$1048576,'Mobile-Detail Calcs'!$C$162)</f>
        <v>0</v>
      </c>
      <c r="D169" s="144">
        <f>SUMIFS('Mobile-Data'!$I$9:$I$1048576,'Mobile-Data'!$D$9:$D$1048576,"&lt;=1980",'Mobile-Data'!$E$9:$E$1048576,'Mobile-Detail Calcs'!D$167,'Mobile-Data'!$G$9:$G$1048576,'Mobile-Detail Calcs'!D$168,'Mobile-Data'!$C$9:$C$1048576,'Mobile-Detail Calcs'!$C$162)</f>
        <v>0</v>
      </c>
      <c r="E169" s="144">
        <f>SUMIFS('Mobile-Data'!$I$9:$I$1048576,'Mobile-Data'!$D$9:$D$1048576,"&lt;=1980",'Mobile-Data'!$E$9:$E$1048576,'Mobile-Detail Calcs'!E$167,'Mobile-Data'!$G$9:$G$1048576,'Mobile-Detail Calcs'!E$168,'Mobile-Data'!$C$9:$C$1048576,'Mobile-Detail Calcs'!$C$162)</f>
        <v>0</v>
      </c>
      <c r="F169" s="144">
        <f>SUMIFS('Mobile-Data'!$I$9:$I$1048576,'Mobile-Data'!$D$9:$D$1048576,"&lt;=1980",'Mobile-Data'!$E$9:$E$1048576,'Mobile-Detail Calcs'!F$167,'Mobile-Data'!$G$9:$G$1048576,'Mobile-Detail Calcs'!F$168,'Mobile-Data'!$C$9:$C$1048576,'Mobile-Detail Calcs'!$C$162)</f>
        <v>0</v>
      </c>
      <c r="G169" s="144">
        <f>SUMIFS('Mobile-Data'!$I$9:$I$1048576,'Mobile-Data'!$D$9:$D$1048576,"&lt;=1980",'Mobile-Data'!$E$9:$E$1048576,'Mobile-Detail Calcs'!G$167,'Mobile-Data'!$G$9:$G$1048576,'Mobile-Detail Calcs'!G$168,'Mobile-Data'!$C$9:$C$1048576,'Mobile-Detail Calcs'!$C$162)</f>
        <v>0</v>
      </c>
      <c r="H169" s="144">
        <f>SUMIFS('Mobile-Data'!$I$9:$I$1048576,'Mobile-Data'!$D$9:$D$1048576,"&lt;=1980",'Mobile-Data'!$E$9:$E$1048576,'Mobile-Detail Calcs'!H$167,'Mobile-Data'!$G$9:$G$1048576,'Mobile-Detail Calcs'!H$168,'Mobile-Data'!$C$9:$C$1048576,'Mobile-Detail Calcs'!$C$162)</f>
        <v>0</v>
      </c>
      <c r="I169" s="148">
        <f>SUM(C169:H169)</f>
        <v>0</v>
      </c>
      <c r="K169" s="22" t="s">
        <v>433</v>
      </c>
      <c r="L169" s="146">
        <f>C169*Factors!C213*g_kg*kg_mt*GWP_CH4</f>
        <v>0</v>
      </c>
      <c r="M169" s="146">
        <f>D169*Factors!D213*g_kg*kg_mt*GWP_CH4</f>
        <v>0</v>
      </c>
      <c r="N169" s="146">
        <f>E169*Factors!E213*g_kg*kg_mt*GWP_CH4</f>
        <v>0</v>
      </c>
      <c r="O169" s="146">
        <f>F169*Factors!F213*g_kg*kg_mt*GWP_CH4</f>
        <v>0</v>
      </c>
      <c r="P169" s="146">
        <f>G169*Factors!G213*g_kg*kg_mt*GWP_CH4</f>
        <v>0</v>
      </c>
      <c r="Q169" s="146">
        <f>H169*Factors!H213*g_kg*kg_mt*GWP_CH4</f>
        <v>0</v>
      </c>
      <c r="R169" s="151">
        <f>SUM(L169:Q169)</f>
        <v>0</v>
      </c>
      <c r="T169" s="22" t="s">
        <v>433</v>
      </c>
      <c r="U169" s="146">
        <f>C169*Factors!K213*g_kg*kg_mt*GWP_N2O</f>
        <v>0</v>
      </c>
      <c r="V169" s="146">
        <f>D169*Factors!L213*g_kg*kg_mt*GWP_N2O</f>
        <v>0</v>
      </c>
      <c r="W169" s="146">
        <f>E169*Factors!M213*g_kg*kg_mt*GWP_N2O</f>
        <v>0</v>
      </c>
      <c r="X169" s="146">
        <f>F169*Factors!N213*g_kg*kg_mt*GWP_N2O</f>
        <v>0</v>
      </c>
      <c r="Y169" s="146">
        <f>G169*Factors!O213*g_kg*kg_mt*GWP_N2O</f>
        <v>0</v>
      </c>
      <c r="Z169" s="146">
        <f>H169*Factors!P213*g_kg*kg_mt*GWP_N2O</f>
        <v>0</v>
      </c>
      <c r="AA169" s="153">
        <f>SUM(U169:Z169)</f>
        <v>0</v>
      </c>
    </row>
    <row r="170" spans="1:27">
      <c r="B170" s="22">
        <v>1981</v>
      </c>
      <c r="C170" s="144">
        <f>SUMIFS('Mobile-Data'!$I$9:$I$1048576,'Mobile-Data'!$D$9:$D$1048576,$B170,'Mobile-Data'!$E$9:$E$1048576,'Mobile-Detail Calcs'!C$167,'Mobile-Data'!$G$9:$G$1048576,'Mobile-Detail Calcs'!C$168,'Mobile-Data'!$C$9:$C$1048576,'Mobile-Detail Calcs'!$C$162)</f>
        <v>0</v>
      </c>
      <c r="D170" s="144">
        <f>SUMIFS('Mobile-Data'!$I$9:$I$1048576,'Mobile-Data'!$D$9:$D$1048576,$B170,'Mobile-Data'!$E$9:$E$1048576,'Mobile-Detail Calcs'!D$167,'Mobile-Data'!$G$9:$G$1048576,'Mobile-Detail Calcs'!D$168,'Mobile-Data'!$C$9:$C$1048576,'Mobile-Detail Calcs'!$C$162)</f>
        <v>0</v>
      </c>
      <c r="E170" s="144">
        <f>SUMIFS('Mobile-Data'!$I$9:$I$1048576,'Mobile-Data'!$D$9:$D$1048576,$B170,'Mobile-Data'!$E$9:$E$1048576,'Mobile-Detail Calcs'!E$167,'Mobile-Data'!$G$9:$G$1048576,'Mobile-Detail Calcs'!E$168,'Mobile-Data'!$C$9:$C$1048576,'Mobile-Detail Calcs'!$C$162)</f>
        <v>0</v>
      </c>
      <c r="F170" s="144">
        <f>SUMIFS('Mobile-Data'!$I$9:$I$1048576,'Mobile-Data'!$D$9:$D$1048576,$B170,'Mobile-Data'!$E$9:$E$1048576,'Mobile-Detail Calcs'!F$167,'Mobile-Data'!$G$9:$G$1048576,'Mobile-Detail Calcs'!F$168,'Mobile-Data'!$C$9:$C$1048576,'Mobile-Detail Calcs'!$C$162)</f>
        <v>0</v>
      </c>
      <c r="G170" s="144">
        <f>SUMIFS('Mobile-Data'!$I$9:$I$1048576,'Mobile-Data'!$D$9:$D$1048576,$B170,'Mobile-Data'!$E$9:$E$1048576,'Mobile-Detail Calcs'!G$167,'Mobile-Data'!$G$9:$G$1048576,'Mobile-Detail Calcs'!G$168,'Mobile-Data'!$C$9:$C$1048576,'Mobile-Detail Calcs'!$C$162)</f>
        <v>0</v>
      </c>
      <c r="H170" s="144">
        <f>SUMIFS('Mobile-Data'!$I$9:$I$1048576,'Mobile-Data'!$D$9:$D$1048576,$B170,'Mobile-Data'!$E$9:$E$1048576,'Mobile-Detail Calcs'!H$167,'Mobile-Data'!$G$9:$G$1048576,'Mobile-Detail Calcs'!H$168,'Mobile-Data'!$C$9:$C$1048576,'Mobile-Detail Calcs'!$C$162)</f>
        <v>0</v>
      </c>
      <c r="I170" s="148">
        <f t="shared" ref="I170:I210" si="94">SUM(C170:H170)</f>
        <v>0</v>
      </c>
      <c r="K170" s="22">
        <v>1981</v>
      </c>
      <c r="L170" s="146">
        <f>C170*Factors!C214*g_kg*kg_mt*GWP_CH4</f>
        <v>0</v>
      </c>
      <c r="M170" s="146">
        <f>D170*Factors!D214*g_kg*kg_mt*GWP_CH4</f>
        <v>0</v>
      </c>
      <c r="N170" s="146">
        <f>E170*Factors!E214*g_kg*kg_mt*GWP_CH4</f>
        <v>0</v>
      </c>
      <c r="O170" s="146">
        <f>F170*Factors!F214*g_kg*kg_mt*GWP_CH4</f>
        <v>0</v>
      </c>
      <c r="P170" s="146">
        <f>G170*Factors!G214*g_kg*kg_mt*GWP_CH4</f>
        <v>0</v>
      </c>
      <c r="Q170" s="146">
        <f>H170*Factors!H214*g_kg*kg_mt*GWP_CH4</f>
        <v>0</v>
      </c>
      <c r="R170" s="151">
        <f t="shared" ref="R170:R210" si="95">SUM(L170:Q170)</f>
        <v>0</v>
      </c>
      <c r="T170" s="22">
        <v>1981</v>
      </c>
      <c r="U170" s="146">
        <f>C170*Factors!K214*g_kg*kg_mt*GWP_N2O</f>
        <v>0</v>
      </c>
      <c r="V170" s="146">
        <f>D170*Factors!L214*g_kg*kg_mt*GWP_N2O</f>
        <v>0</v>
      </c>
      <c r="W170" s="146">
        <f>E170*Factors!M214*g_kg*kg_mt*GWP_N2O</f>
        <v>0</v>
      </c>
      <c r="X170" s="146">
        <f>F170*Factors!N214*g_kg*kg_mt*GWP_N2O</f>
        <v>0</v>
      </c>
      <c r="Y170" s="146">
        <f>G170*Factors!O214*g_kg*kg_mt*GWP_N2O</f>
        <v>0</v>
      </c>
      <c r="Z170" s="146">
        <f>H170*Factors!P214*g_kg*kg_mt*GWP_N2O</f>
        <v>0</v>
      </c>
      <c r="AA170" s="153">
        <f t="shared" ref="AA170:AA210" si="96">SUM(U170:Z170)</f>
        <v>0</v>
      </c>
    </row>
    <row r="171" spans="1:27">
      <c r="B171" s="22">
        <v>1982</v>
      </c>
      <c r="C171" s="144">
        <f>SUMIFS('Mobile-Data'!$I$9:$I$1048576,'Mobile-Data'!$D$9:$D$1048576,$B171,'Mobile-Data'!$E$9:$E$1048576,'Mobile-Detail Calcs'!C$167,'Mobile-Data'!$G$9:$G$1048576,'Mobile-Detail Calcs'!C$168,'Mobile-Data'!$C$9:$C$1048576,'Mobile-Detail Calcs'!$C$162)</f>
        <v>0</v>
      </c>
      <c r="D171" s="144">
        <f>SUMIFS('Mobile-Data'!$I$9:$I$1048576,'Mobile-Data'!$D$9:$D$1048576,$B171,'Mobile-Data'!$E$9:$E$1048576,'Mobile-Detail Calcs'!D$167,'Mobile-Data'!$G$9:$G$1048576,'Mobile-Detail Calcs'!D$168,'Mobile-Data'!$C$9:$C$1048576,'Mobile-Detail Calcs'!$C$162)</f>
        <v>0</v>
      </c>
      <c r="E171" s="144">
        <f>SUMIFS('Mobile-Data'!$I$9:$I$1048576,'Mobile-Data'!$D$9:$D$1048576,$B171,'Mobile-Data'!$E$9:$E$1048576,'Mobile-Detail Calcs'!E$167,'Mobile-Data'!$G$9:$G$1048576,'Mobile-Detail Calcs'!E$168,'Mobile-Data'!$C$9:$C$1048576,'Mobile-Detail Calcs'!$C$162)</f>
        <v>0</v>
      </c>
      <c r="F171" s="144">
        <f>SUMIFS('Mobile-Data'!$I$9:$I$1048576,'Mobile-Data'!$D$9:$D$1048576,$B171,'Mobile-Data'!$E$9:$E$1048576,'Mobile-Detail Calcs'!F$167,'Mobile-Data'!$G$9:$G$1048576,'Mobile-Detail Calcs'!F$168,'Mobile-Data'!$C$9:$C$1048576,'Mobile-Detail Calcs'!$C$162)</f>
        <v>0</v>
      </c>
      <c r="G171" s="144">
        <f>SUMIFS('Mobile-Data'!$I$9:$I$1048576,'Mobile-Data'!$D$9:$D$1048576,$B171,'Mobile-Data'!$E$9:$E$1048576,'Mobile-Detail Calcs'!G$167,'Mobile-Data'!$G$9:$G$1048576,'Mobile-Detail Calcs'!G$168,'Mobile-Data'!$C$9:$C$1048576,'Mobile-Detail Calcs'!$C$162)</f>
        <v>0</v>
      </c>
      <c r="H171" s="144">
        <f>SUMIFS('Mobile-Data'!$I$9:$I$1048576,'Mobile-Data'!$D$9:$D$1048576,$B171,'Mobile-Data'!$E$9:$E$1048576,'Mobile-Detail Calcs'!H$167,'Mobile-Data'!$G$9:$G$1048576,'Mobile-Detail Calcs'!H$168,'Mobile-Data'!$C$9:$C$1048576,'Mobile-Detail Calcs'!$C$162)</f>
        <v>0</v>
      </c>
      <c r="I171" s="148">
        <f t="shared" si="94"/>
        <v>0</v>
      </c>
      <c r="K171" s="22">
        <v>1982</v>
      </c>
      <c r="L171" s="146">
        <f>C171*Factors!C215*g_kg*kg_mt*GWP_CH4</f>
        <v>0</v>
      </c>
      <c r="M171" s="146">
        <f>D171*Factors!D215*g_kg*kg_mt*GWP_CH4</f>
        <v>0</v>
      </c>
      <c r="N171" s="146">
        <f>E171*Factors!E215*g_kg*kg_mt*GWP_CH4</f>
        <v>0</v>
      </c>
      <c r="O171" s="146">
        <f>F171*Factors!F215*g_kg*kg_mt*GWP_CH4</f>
        <v>0</v>
      </c>
      <c r="P171" s="146">
        <f>G171*Factors!G215*g_kg*kg_mt*GWP_CH4</f>
        <v>0</v>
      </c>
      <c r="Q171" s="146">
        <f>H171*Factors!H215*g_kg*kg_mt*GWP_CH4</f>
        <v>0</v>
      </c>
      <c r="R171" s="151">
        <f t="shared" si="95"/>
        <v>0</v>
      </c>
      <c r="T171" s="22">
        <v>1982</v>
      </c>
      <c r="U171" s="146">
        <f>C171*Factors!K215*g_kg*kg_mt*GWP_N2O</f>
        <v>0</v>
      </c>
      <c r="V171" s="146">
        <f>D171*Factors!L215*g_kg*kg_mt*GWP_N2O</f>
        <v>0</v>
      </c>
      <c r="W171" s="146">
        <f>E171*Factors!M215*g_kg*kg_mt*GWP_N2O</f>
        <v>0</v>
      </c>
      <c r="X171" s="146">
        <f>F171*Factors!N215*g_kg*kg_mt*GWP_N2O</f>
        <v>0</v>
      </c>
      <c r="Y171" s="146">
        <f>G171*Factors!O215*g_kg*kg_mt*GWP_N2O</f>
        <v>0</v>
      </c>
      <c r="Z171" s="146">
        <f>H171*Factors!P215*g_kg*kg_mt*GWP_N2O</f>
        <v>0</v>
      </c>
      <c r="AA171" s="153">
        <f t="shared" si="96"/>
        <v>0</v>
      </c>
    </row>
    <row r="172" spans="1:27">
      <c r="B172" s="22">
        <v>1983</v>
      </c>
      <c r="C172" s="144">
        <f>SUMIFS('Mobile-Data'!$I$9:$I$1048576,'Mobile-Data'!$D$9:$D$1048576,$B172,'Mobile-Data'!$E$9:$E$1048576,'Mobile-Detail Calcs'!C$167,'Mobile-Data'!$G$9:$G$1048576,'Mobile-Detail Calcs'!C$168,'Mobile-Data'!$C$9:$C$1048576,'Mobile-Detail Calcs'!$C$162)</f>
        <v>0</v>
      </c>
      <c r="D172" s="144">
        <f>SUMIFS('Mobile-Data'!$I$9:$I$1048576,'Mobile-Data'!$D$9:$D$1048576,$B172,'Mobile-Data'!$E$9:$E$1048576,'Mobile-Detail Calcs'!D$167,'Mobile-Data'!$G$9:$G$1048576,'Mobile-Detail Calcs'!D$168,'Mobile-Data'!$C$9:$C$1048576,'Mobile-Detail Calcs'!$C$162)</f>
        <v>0</v>
      </c>
      <c r="E172" s="144">
        <f>SUMIFS('Mobile-Data'!$I$9:$I$1048576,'Mobile-Data'!$D$9:$D$1048576,$B172,'Mobile-Data'!$E$9:$E$1048576,'Mobile-Detail Calcs'!E$167,'Mobile-Data'!$G$9:$G$1048576,'Mobile-Detail Calcs'!E$168,'Mobile-Data'!$C$9:$C$1048576,'Mobile-Detail Calcs'!$C$162)</f>
        <v>0</v>
      </c>
      <c r="F172" s="144">
        <f>SUMIFS('Mobile-Data'!$I$9:$I$1048576,'Mobile-Data'!$D$9:$D$1048576,$B172,'Mobile-Data'!$E$9:$E$1048576,'Mobile-Detail Calcs'!F$167,'Mobile-Data'!$G$9:$G$1048576,'Mobile-Detail Calcs'!F$168,'Mobile-Data'!$C$9:$C$1048576,'Mobile-Detail Calcs'!$C$162)</f>
        <v>0</v>
      </c>
      <c r="G172" s="144">
        <f>SUMIFS('Mobile-Data'!$I$9:$I$1048576,'Mobile-Data'!$D$9:$D$1048576,$B172,'Mobile-Data'!$E$9:$E$1048576,'Mobile-Detail Calcs'!G$167,'Mobile-Data'!$G$9:$G$1048576,'Mobile-Detail Calcs'!G$168,'Mobile-Data'!$C$9:$C$1048576,'Mobile-Detail Calcs'!$C$162)</f>
        <v>0</v>
      </c>
      <c r="H172" s="144">
        <f>SUMIFS('Mobile-Data'!$I$9:$I$1048576,'Mobile-Data'!$D$9:$D$1048576,$B172,'Mobile-Data'!$E$9:$E$1048576,'Mobile-Detail Calcs'!H$167,'Mobile-Data'!$G$9:$G$1048576,'Mobile-Detail Calcs'!H$168,'Mobile-Data'!$C$9:$C$1048576,'Mobile-Detail Calcs'!$C$162)</f>
        <v>0</v>
      </c>
      <c r="I172" s="148">
        <f t="shared" si="94"/>
        <v>0</v>
      </c>
      <c r="K172" s="22">
        <v>1983</v>
      </c>
      <c r="L172" s="146">
        <f>C172*Factors!C216*g_kg*kg_mt*GWP_CH4</f>
        <v>0</v>
      </c>
      <c r="M172" s="146">
        <f>D172*Factors!D216*g_kg*kg_mt*GWP_CH4</f>
        <v>0</v>
      </c>
      <c r="N172" s="146">
        <f>E172*Factors!E216*g_kg*kg_mt*GWP_CH4</f>
        <v>0</v>
      </c>
      <c r="O172" s="146">
        <f>F172*Factors!F216*g_kg*kg_mt*GWP_CH4</f>
        <v>0</v>
      </c>
      <c r="P172" s="146">
        <f>G172*Factors!G216*g_kg*kg_mt*GWP_CH4</f>
        <v>0</v>
      </c>
      <c r="Q172" s="146">
        <f>H172*Factors!H216*g_kg*kg_mt*GWP_CH4</f>
        <v>0</v>
      </c>
      <c r="R172" s="151">
        <f t="shared" si="95"/>
        <v>0</v>
      </c>
      <c r="T172" s="22">
        <v>1983</v>
      </c>
      <c r="U172" s="146">
        <f>C172*Factors!K216*g_kg*kg_mt*GWP_N2O</f>
        <v>0</v>
      </c>
      <c r="V172" s="146">
        <f>D172*Factors!L216*g_kg*kg_mt*GWP_N2O</f>
        <v>0</v>
      </c>
      <c r="W172" s="146">
        <f>E172*Factors!M216*g_kg*kg_mt*GWP_N2O</f>
        <v>0</v>
      </c>
      <c r="X172" s="146">
        <f>F172*Factors!N216*g_kg*kg_mt*GWP_N2O</f>
        <v>0</v>
      </c>
      <c r="Y172" s="146">
        <f>G172*Factors!O216*g_kg*kg_mt*GWP_N2O</f>
        <v>0</v>
      </c>
      <c r="Z172" s="146">
        <f>H172*Factors!P216*g_kg*kg_mt*GWP_N2O</f>
        <v>0</v>
      </c>
      <c r="AA172" s="153">
        <f t="shared" si="96"/>
        <v>0</v>
      </c>
    </row>
    <row r="173" spans="1:27">
      <c r="B173" s="22">
        <v>1984</v>
      </c>
      <c r="C173" s="144">
        <f>SUMIFS('Mobile-Data'!$I$9:$I$1048576,'Mobile-Data'!$D$9:$D$1048576,$B173,'Mobile-Data'!$E$9:$E$1048576,'Mobile-Detail Calcs'!C$167,'Mobile-Data'!$G$9:$G$1048576,'Mobile-Detail Calcs'!C$168,'Mobile-Data'!$C$9:$C$1048576,'Mobile-Detail Calcs'!$C$162)</f>
        <v>0</v>
      </c>
      <c r="D173" s="144">
        <f>SUMIFS('Mobile-Data'!$I$9:$I$1048576,'Mobile-Data'!$D$9:$D$1048576,$B173,'Mobile-Data'!$E$9:$E$1048576,'Mobile-Detail Calcs'!D$167,'Mobile-Data'!$G$9:$G$1048576,'Mobile-Detail Calcs'!D$168,'Mobile-Data'!$C$9:$C$1048576,'Mobile-Detail Calcs'!$C$162)</f>
        <v>0</v>
      </c>
      <c r="E173" s="144">
        <f>SUMIFS('Mobile-Data'!$I$9:$I$1048576,'Mobile-Data'!$D$9:$D$1048576,$B173,'Mobile-Data'!$E$9:$E$1048576,'Mobile-Detail Calcs'!E$167,'Mobile-Data'!$G$9:$G$1048576,'Mobile-Detail Calcs'!E$168,'Mobile-Data'!$C$9:$C$1048576,'Mobile-Detail Calcs'!$C$162)</f>
        <v>0</v>
      </c>
      <c r="F173" s="144">
        <f>SUMIFS('Mobile-Data'!$I$9:$I$1048576,'Mobile-Data'!$D$9:$D$1048576,$B173,'Mobile-Data'!$E$9:$E$1048576,'Mobile-Detail Calcs'!F$167,'Mobile-Data'!$G$9:$G$1048576,'Mobile-Detail Calcs'!F$168,'Mobile-Data'!$C$9:$C$1048576,'Mobile-Detail Calcs'!$C$162)</f>
        <v>0</v>
      </c>
      <c r="G173" s="144">
        <f>SUMIFS('Mobile-Data'!$I$9:$I$1048576,'Mobile-Data'!$D$9:$D$1048576,$B173,'Mobile-Data'!$E$9:$E$1048576,'Mobile-Detail Calcs'!G$167,'Mobile-Data'!$G$9:$G$1048576,'Mobile-Detail Calcs'!G$168,'Mobile-Data'!$C$9:$C$1048576,'Mobile-Detail Calcs'!$C$162)</f>
        <v>0</v>
      </c>
      <c r="H173" s="144">
        <f>SUMIFS('Mobile-Data'!$I$9:$I$1048576,'Mobile-Data'!$D$9:$D$1048576,$B173,'Mobile-Data'!$E$9:$E$1048576,'Mobile-Detail Calcs'!H$167,'Mobile-Data'!$G$9:$G$1048576,'Mobile-Detail Calcs'!H$168,'Mobile-Data'!$C$9:$C$1048576,'Mobile-Detail Calcs'!$C$162)</f>
        <v>0</v>
      </c>
      <c r="I173" s="148">
        <f t="shared" si="94"/>
        <v>0</v>
      </c>
      <c r="K173" s="22">
        <v>1984</v>
      </c>
      <c r="L173" s="146">
        <f>C173*Factors!C217*g_kg*kg_mt*GWP_CH4</f>
        <v>0</v>
      </c>
      <c r="M173" s="146">
        <f>D173*Factors!D217*g_kg*kg_mt*GWP_CH4</f>
        <v>0</v>
      </c>
      <c r="N173" s="146">
        <f>E173*Factors!E217*g_kg*kg_mt*GWP_CH4</f>
        <v>0</v>
      </c>
      <c r="O173" s="146">
        <f>F173*Factors!F217*g_kg*kg_mt*GWP_CH4</f>
        <v>0</v>
      </c>
      <c r="P173" s="146">
        <f>G173*Factors!G217*g_kg*kg_mt*GWP_CH4</f>
        <v>0</v>
      </c>
      <c r="Q173" s="146">
        <f>H173*Factors!H217*g_kg*kg_mt*GWP_CH4</f>
        <v>0</v>
      </c>
      <c r="R173" s="151">
        <f t="shared" si="95"/>
        <v>0</v>
      </c>
      <c r="T173" s="22">
        <v>1984</v>
      </c>
      <c r="U173" s="146">
        <f>C173*Factors!K217*g_kg*kg_mt*GWP_N2O</f>
        <v>0</v>
      </c>
      <c r="V173" s="146">
        <f>D173*Factors!L217*g_kg*kg_mt*GWP_N2O</f>
        <v>0</v>
      </c>
      <c r="W173" s="146">
        <f>E173*Factors!M217*g_kg*kg_mt*GWP_N2O</f>
        <v>0</v>
      </c>
      <c r="X173" s="146">
        <f>F173*Factors!N217*g_kg*kg_mt*GWP_N2O</f>
        <v>0</v>
      </c>
      <c r="Y173" s="146">
        <f>G173*Factors!O217*g_kg*kg_mt*GWP_N2O</f>
        <v>0</v>
      </c>
      <c r="Z173" s="146">
        <f>H173*Factors!P217*g_kg*kg_mt*GWP_N2O</f>
        <v>0</v>
      </c>
      <c r="AA173" s="153">
        <f t="shared" si="96"/>
        <v>0</v>
      </c>
    </row>
    <row r="174" spans="1:27">
      <c r="B174" s="22">
        <v>1985</v>
      </c>
      <c r="C174" s="144">
        <f>SUMIFS('Mobile-Data'!$I$9:$I$1048576,'Mobile-Data'!$D$9:$D$1048576,$B174,'Mobile-Data'!$E$9:$E$1048576,'Mobile-Detail Calcs'!C$167,'Mobile-Data'!$G$9:$G$1048576,'Mobile-Detail Calcs'!C$168,'Mobile-Data'!$C$9:$C$1048576,'Mobile-Detail Calcs'!$C$162)</f>
        <v>0</v>
      </c>
      <c r="D174" s="144">
        <f>SUMIFS('Mobile-Data'!$I$9:$I$1048576,'Mobile-Data'!$D$9:$D$1048576,$B174,'Mobile-Data'!$E$9:$E$1048576,'Mobile-Detail Calcs'!D$167,'Mobile-Data'!$G$9:$G$1048576,'Mobile-Detail Calcs'!D$168,'Mobile-Data'!$C$9:$C$1048576,'Mobile-Detail Calcs'!$C$162)</f>
        <v>0</v>
      </c>
      <c r="E174" s="144">
        <f>SUMIFS('Mobile-Data'!$I$9:$I$1048576,'Mobile-Data'!$D$9:$D$1048576,$B174,'Mobile-Data'!$E$9:$E$1048576,'Mobile-Detail Calcs'!E$167,'Mobile-Data'!$G$9:$G$1048576,'Mobile-Detail Calcs'!E$168,'Mobile-Data'!$C$9:$C$1048576,'Mobile-Detail Calcs'!$C$162)</f>
        <v>0</v>
      </c>
      <c r="F174" s="144">
        <f>SUMIFS('Mobile-Data'!$I$9:$I$1048576,'Mobile-Data'!$D$9:$D$1048576,$B174,'Mobile-Data'!$E$9:$E$1048576,'Mobile-Detail Calcs'!F$167,'Mobile-Data'!$G$9:$G$1048576,'Mobile-Detail Calcs'!F$168,'Mobile-Data'!$C$9:$C$1048576,'Mobile-Detail Calcs'!$C$162)</f>
        <v>0</v>
      </c>
      <c r="G174" s="144">
        <f>SUMIFS('Mobile-Data'!$I$9:$I$1048576,'Mobile-Data'!$D$9:$D$1048576,$B174,'Mobile-Data'!$E$9:$E$1048576,'Mobile-Detail Calcs'!G$167,'Mobile-Data'!$G$9:$G$1048576,'Mobile-Detail Calcs'!G$168,'Mobile-Data'!$C$9:$C$1048576,'Mobile-Detail Calcs'!$C$162)</f>
        <v>0</v>
      </c>
      <c r="H174" s="144">
        <f>SUMIFS('Mobile-Data'!$I$9:$I$1048576,'Mobile-Data'!$D$9:$D$1048576,$B174,'Mobile-Data'!$E$9:$E$1048576,'Mobile-Detail Calcs'!H$167,'Mobile-Data'!$G$9:$G$1048576,'Mobile-Detail Calcs'!H$168,'Mobile-Data'!$C$9:$C$1048576,'Mobile-Detail Calcs'!$C$162)</f>
        <v>0</v>
      </c>
      <c r="I174" s="148">
        <f t="shared" si="94"/>
        <v>0</v>
      </c>
      <c r="K174" s="22">
        <v>1985</v>
      </c>
      <c r="L174" s="146">
        <f>C174*Factors!C218*g_kg*kg_mt*GWP_CH4</f>
        <v>0</v>
      </c>
      <c r="M174" s="146">
        <f>D174*Factors!D218*g_kg*kg_mt*GWP_CH4</f>
        <v>0</v>
      </c>
      <c r="N174" s="146">
        <f>E174*Factors!E218*g_kg*kg_mt*GWP_CH4</f>
        <v>0</v>
      </c>
      <c r="O174" s="146">
        <f>F174*Factors!F218*g_kg*kg_mt*GWP_CH4</f>
        <v>0</v>
      </c>
      <c r="P174" s="146">
        <f>G174*Factors!G218*g_kg*kg_mt*GWP_CH4</f>
        <v>0</v>
      </c>
      <c r="Q174" s="146">
        <f>H174*Factors!H218*g_kg*kg_mt*GWP_CH4</f>
        <v>0</v>
      </c>
      <c r="R174" s="151">
        <f t="shared" si="95"/>
        <v>0</v>
      </c>
      <c r="T174" s="22">
        <v>1985</v>
      </c>
      <c r="U174" s="146">
        <f>C174*Factors!K218*g_kg*kg_mt*GWP_N2O</f>
        <v>0</v>
      </c>
      <c r="V174" s="146">
        <f>D174*Factors!L218*g_kg*kg_mt*GWP_N2O</f>
        <v>0</v>
      </c>
      <c r="W174" s="146">
        <f>E174*Factors!M218*g_kg*kg_mt*GWP_N2O</f>
        <v>0</v>
      </c>
      <c r="X174" s="146">
        <f>F174*Factors!N218*g_kg*kg_mt*GWP_N2O</f>
        <v>0</v>
      </c>
      <c r="Y174" s="146">
        <f>G174*Factors!O218*g_kg*kg_mt*GWP_N2O</f>
        <v>0</v>
      </c>
      <c r="Z174" s="146">
        <f>H174*Factors!P218*g_kg*kg_mt*GWP_N2O</f>
        <v>0</v>
      </c>
      <c r="AA174" s="153">
        <f t="shared" si="96"/>
        <v>0</v>
      </c>
    </row>
    <row r="175" spans="1:27">
      <c r="B175" s="22">
        <v>1986</v>
      </c>
      <c r="C175" s="144">
        <f>SUMIFS('Mobile-Data'!$I$9:$I$1048576,'Mobile-Data'!$D$9:$D$1048576,$B175,'Mobile-Data'!$E$9:$E$1048576,'Mobile-Detail Calcs'!C$167,'Mobile-Data'!$G$9:$G$1048576,'Mobile-Detail Calcs'!C$168,'Mobile-Data'!$C$9:$C$1048576,'Mobile-Detail Calcs'!$C$162)</f>
        <v>0</v>
      </c>
      <c r="D175" s="144">
        <f>SUMIFS('Mobile-Data'!$I$9:$I$1048576,'Mobile-Data'!$D$9:$D$1048576,$B175,'Mobile-Data'!$E$9:$E$1048576,'Mobile-Detail Calcs'!D$167,'Mobile-Data'!$G$9:$G$1048576,'Mobile-Detail Calcs'!D$168,'Mobile-Data'!$C$9:$C$1048576,'Mobile-Detail Calcs'!$C$162)</f>
        <v>0</v>
      </c>
      <c r="E175" s="144">
        <f>SUMIFS('Mobile-Data'!$I$9:$I$1048576,'Mobile-Data'!$D$9:$D$1048576,$B175,'Mobile-Data'!$E$9:$E$1048576,'Mobile-Detail Calcs'!E$167,'Mobile-Data'!$G$9:$G$1048576,'Mobile-Detail Calcs'!E$168,'Mobile-Data'!$C$9:$C$1048576,'Mobile-Detail Calcs'!$C$162)</f>
        <v>0</v>
      </c>
      <c r="F175" s="144">
        <f>SUMIFS('Mobile-Data'!$I$9:$I$1048576,'Mobile-Data'!$D$9:$D$1048576,$B175,'Mobile-Data'!$E$9:$E$1048576,'Mobile-Detail Calcs'!F$167,'Mobile-Data'!$G$9:$G$1048576,'Mobile-Detail Calcs'!F$168,'Mobile-Data'!$C$9:$C$1048576,'Mobile-Detail Calcs'!$C$162)</f>
        <v>0</v>
      </c>
      <c r="G175" s="144">
        <f>SUMIFS('Mobile-Data'!$I$9:$I$1048576,'Mobile-Data'!$D$9:$D$1048576,$B175,'Mobile-Data'!$E$9:$E$1048576,'Mobile-Detail Calcs'!G$167,'Mobile-Data'!$G$9:$G$1048576,'Mobile-Detail Calcs'!G$168,'Mobile-Data'!$C$9:$C$1048576,'Mobile-Detail Calcs'!$C$162)</f>
        <v>0</v>
      </c>
      <c r="H175" s="144">
        <f>SUMIFS('Mobile-Data'!$I$9:$I$1048576,'Mobile-Data'!$D$9:$D$1048576,$B175,'Mobile-Data'!$E$9:$E$1048576,'Mobile-Detail Calcs'!H$167,'Mobile-Data'!$G$9:$G$1048576,'Mobile-Detail Calcs'!H$168,'Mobile-Data'!$C$9:$C$1048576,'Mobile-Detail Calcs'!$C$162)</f>
        <v>0</v>
      </c>
      <c r="I175" s="148">
        <f t="shared" si="94"/>
        <v>0</v>
      </c>
      <c r="K175" s="22">
        <v>1986</v>
      </c>
      <c r="L175" s="146">
        <f>C175*Factors!C219*g_kg*kg_mt*GWP_CH4</f>
        <v>0</v>
      </c>
      <c r="M175" s="146">
        <f>D175*Factors!D219*g_kg*kg_mt*GWP_CH4</f>
        <v>0</v>
      </c>
      <c r="N175" s="146">
        <f>E175*Factors!E219*g_kg*kg_mt*GWP_CH4</f>
        <v>0</v>
      </c>
      <c r="O175" s="146">
        <f>F175*Factors!F219*g_kg*kg_mt*GWP_CH4</f>
        <v>0</v>
      </c>
      <c r="P175" s="146">
        <f>G175*Factors!G219*g_kg*kg_mt*GWP_CH4</f>
        <v>0</v>
      </c>
      <c r="Q175" s="146">
        <f>H175*Factors!H219*g_kg*kg_mt*GWP_CH4</f>
        <v>0</v>
      </c>
      <c r="R175" s="151">
        <f t="shared" si="95"/>
        <v>0</v>
      </c>
      <c r="T175" s="22">
        <v>1986</v>
      </c>
      <c r="U175" s="146">
        <f>C175*Factors!K219*g_kg*kg_mt*GWP_N2O</f>
        <v>0</v>
      </c>
      <c r="V175" s="146">
        <f>D175*Factors!L219*g_kg*kg_mt*GWP_N2O</f>
        <v>0</v>
      </c>
      <c r="W175" s="146">
        <f>E175*Factors!M219*g_kg*kg_mt*GWP_N2O</f>
        <v>0</v>
      </c>
      <c r="X175" s="146">
        <f>F175*Factors!N219*g_kg*kg_mt*GWP_N2O</f>
        <v>0</v>
      </c>
      <c r="Y175" s="146">
        <f>G175*Factors!O219*g_kg*kg_mt*GWP_N2O</f>
        <v>0</v>
      </c>
      <c r="Z175" s="146">
        <f>H175*Factors!P219*g_kg*kg_mt*GWP_N2O</f>
        <v>0</v>
      </c>
      <c r="AA175" s="153">
        <f t="shared" si="96"/>
        <v>0</v>
      </c>
    </row>
    <row r="176" spans="1:27">
      <c r="B176" s="22">
        <v>1987</v>
      </c>
      <c r="C176" s="144">
        <f>SUMIFS('Mobile-Data'!$I$9:$I$1048576,'Mobile-Data'!$D$9:$D$1048576,$B176,'Mobile-Data'!$E$9:$E$1048576,'Mobile-Detail Calcs'!C$167,'Mobile-Data'!$G$9:$G$1048576,'Mobile-Detail Calcs'!C$168,'Mobile-Data'!$C$9:$C$1048576,'Mobile-Detail Calcs'!$C$162)</f>
        <v>0</v>
      </c>
      <c r="D176" s="144">
        <f>SUMIFS('Mobile-Data'!$I$9:$I$1048576,'Mobile-Data'!$D$9:$D$1048576,$B176,'Mobile-Data'!$E$9:$E$1048576,'Mobile-Detail Calcs'!D$167,'Mobile-Data'!$G$9:$G$1048576,'Mobile-Detail Calcs'!D$168,'Mobile-Data'!$C$9:$C$1048576,'Mobile-Detail Calcs'!$C$162)</f>
        <v>0</v>
      </c>
      <c r="E176" s="144">
        <f>SUMIFS('Mobile-Data'!$I$9:$I$1048576,'Mobile-Data'!$D$9:$D$1048576,$B176,'Mobile-Data'!$E$9:$E$1048576,'Mobile-Detail Calcs'!E$167,'Mobile-Data'!$G$9:$G$1048576,'Mobile-Detail Calcs'!E$168,'Mobile-Data'!$C$9:$C$1048576,'Mobile-Detail Calcs'!$C$162)</f>
        <v>0</v>
      </c>
      <c r="F176" s="144">
        <f>SUMIFS('Mobile-Data'!$I$9:$I$1048576,'Mobile-Data'!$D$9:$D$1048576,$B176,'Mobile-Data'!$E$9:$E$1048576,'Mobile-Detail Calcs'!F$167,'Mobile-Data'!$G$9:$G$1048576,'Mobile-Detail Calcs'!F$168,'Mobile-Data'!$C$9:$C$1048576,'Mobile-Detail Calcs'!$C$162)</f>
        <v>0</v>
      </c>
      <c r="G176" s="144">
        <f>SUMIFS('Mobile-Data'!$I$9:$I$1048576,'Mobile-Data'!$D$9:$D$1048576,$B176,'Mobile-Data'!$E$9:$E$1048576,'Mobile-Detail Calcs'!G$167,'Mobile-Data'!$G$9:$G$1048576,'Mobile-Detail Calcs'!G$168,'Mobile-Data'!$C$9:$C$1048576,'Mobile-Detail Calcs'!$C$162)</f>
        <v>0</v>
      </c>
      <c r="H176" s="144">
        <f>SUMIFS('Mobile-Data'!$I$9:$I$1048576,'Mobile-Data'!$D$9:$D$1048576,$B176,'Mobile-Data'!$E$9:$E$1048576,'Mobile-Detail Calcs'!H$167,'Mobile-Data'!$G$9:$G$1048576,'Mobile-Detail Calcs'!H$168,'Mobile-Data'!$C$9:$C$1048576,'Mobile-Detail Calcs'!$C$162)</f>
        <v>0</v>
      </c>
      <c r="I176" s="148">
        <f t="shared" si="94"/>
        <v>0</v>
      </c>
      <c r="K176" s="22">
        <v>1987</v>
      </c>
      <c r="L176" s="146">
        <f>C176*Factors!C220*g_kg*kg_mt*GWP_CH4</f>
        <v>0</v>
      </c>
      <c r="M176" s="146">
        <f>D176*Factors!D220*g_kg*kg_mt*GWP_CH4</f>
        <v>0</v>
      </c>
      <c r="N176" s="146">
        <f>E176*Factors!E220*g_kg*kg_mt*GWP_CH4</f>
        <v>0</v>
      </c>
      <c r="O176" s="146">
        <f>F176*Factors!F220*g_kg*kg_mt*GWP_CH4</f>
        <v>0</v>
      </c>
      <c r="P176" s="146">
        <f>G176*Factors!G220*g_kg*kg_mt*GWP_CH4</f>
        <v>0</v>
      </c>
      <c r="Q176" s="146">
        <f>H176*Factors!H220*g_kg*kg_mt*GWP_CH4</f>
        <v>0</v>
      </c>
      <c r="R176" s="151">
        <f t="shared" si="95"/>
        <v>0</v>
      </c>
      <c r="T176" s="22">
        <v>1987</v>
      </c>
      <c r="U176" s="146">
        <f>C176*Factors!K220*g_kg*kg_mt*GWP_N2O</f>
        <v>0</v>
      </c>
      <c r="V176" s="146">
        <f>D176*Factors!L220*g_kg*kg_mt*GWP_N2O</f>
        <v>0</v>
      </c>
      <c r="W176" s="146">
        <f>E176*Factors!M220*g_kg*kg_mt*GWP_N2O</f>
        <v>0</v>
      </c>
      <c r="X176" s="146">
        <f>F176*Factors!N220*g_kg*kg_mt*GWP_N2O</f>
        <v>0</v>
      </c>
      <c r="Y176" s="146">
        <f>G176*Factors!O220*g_kg*kg_mt*GWP_N2O</f>
        <v>0</v>
      </c>
      <c r="Z176" s="146">
        <f>H176*Factors!P220*g_kg*kg_mt*GWP_N2O</f>
        <v>0</v>
      </c>
      <c r="AA176" s="153">
        <f t="shared" si="96"/>
        <v>0</v>
      </c>
    </row>
    <row r="177" spans="2:27">
      <c r="B177" s="22">
        <v>1988</v>
      </c>
      <c r="C177" s="144">
        <f>SUMIFS('Mobile-Data'!$I$9:$I$1048576,'Mobile-Data'!$D$9:$D$1048576,$B177,'Mobile-Data'!$E$9:$E$1048576,'Mobile-Detail Calcs'!C$167,'Mobile-Data'!$G$9:$G$1048576,'Mobile-Detail Calcs'!C$168,'Mobile-Data'!$C$9:$C$1048576,'Mobile-Detail Calcs'!$C$162)</f>
        <v>0</v>
      </c>
      <c r="D177" s="144">
        <f>SUMIFS('Mobile-Data'!$I$9:$I$1048576,'Mobile-Data'!$D$9:$D$1048576,$B177,'Mobile-Data'!$E$9:$E$1048576,'Mobile-Detail Calcs'!D$167,'Mobile-Data'!$G$9:$G$1048576,'Mobile-Detail Calcs'!D$168,'Mobile-Data'!$C$9:$C$1048576,'Mobile-Detail Calcs'!$C$162)</f>
        <v>0</v>
      </c>
      <c r="E177" s="144">
        <f>SUMIFS('Mobile-Data'!$I$9:$I$1048576,'Mobile-Data'!$D$9:$D$1048576,$B177,'Mobile-Data'!$E$9:$E$1048576,'Mobile-Detail Calcs'!E$167,'Mobile-Data'!$G$9:$G$1048576,'Mobile-Detail Calcs'!E$168,'Mobile-Data'!$C$9:$C$1048576,'Mobile-Detail Calcs'!$C$162)</f>
        <v>0</v>
      </c>
      <c r="F177" s="144">
        <f>SUMIFS('Mobile-Data'!$I$9:$I$1048576,'Mobile-Data'!$D$9:$D$1048576,$B177,'Mobile-Data'!$E$9:$E$1048576,'Mobile-Detail Calcs'!F$167,'Mobile-Data'!$G$9:$G$1048576,'Mobile-Detail Calcs'!F$168,'Mobile-Data'!$C$9:$C$1048576,'Mobile-Detail Calcs'!$C$162)</f>
        <v>0</v>
      </c>
      <c r="G177" s="144">
        <f>SUMIFS('Mobile-Data'!$I$9:$I$1048576,'Mobile-Data'!$D$9:$D$1048576,$B177,'Mobile-Data'!$E$9:$E$1048576,'Mobile-Detail Calcs'!G$167,'Mobile-Data'!$G$9:$G$1048576,'Mobile-Detail Calcs'!G$168,'Mobile-Data'!$C$9:$C$1048576,'Mobile-Detail Calcs'!$C$162)</f>
        <v>0</v>
      </c>
      <c r="H177" s="144">
        <f>SUMIFS('Mobile-Data'!$I$9:$I$1048576,'Mobile-Data'!$D$9:$D$1048576,$B177,'Mobile-Data'!$E$9:$E$1048576,'Mobile-Detail Calcs'!H$167,'Mobile-Data'!$G$9:$G$1048576,'Mobile-Detail Calcs'!H$168,'Mobile-Data'!$C$9:$C$1048576,'Mobile-Detail Calcs'!$C$162)</f>
        <v>0</v>
      </c>
      <c r="I177" s="148">
        <f t="shared" si="94"/>
        <v>0</v>
      </c>
      <c r="K177" s="22">
        <v>1988</v>
      </c>
      <c r="L177" s="146">
        <f>C177*Factors!C221*g_kg*kg_mt*GWP_CH4</f>
        <v>0</v>
      </c>
      <c r="M177" s="146">
        <f>D177*Factors!D221*g_kg*kg_mt*GWP_CH4</f>
        <v>0</v>
      </c>
      <c r="N177" s="146">
        <f>E177*Factors!E221*g_kg*kg_mt*GWP_CH4</f>
        <v>0</v>
      </c>
      <c r="O177" s="146">
        <f>F177*Factors!F221*g_kg*kg_mt*GWP_CH4</f>
        <v>0</v>
      </c>
      <c r="P177" s="146">
        <f>G177*Factors!G221*g_kg*kg_mt*GWP_CH4</f>
        <v>0</v>
      </c>
      <c r="Q177" s="146">
        <f>H177*Factors!H221*g_kg*kg_mt*GWP_CH4</f>
        <v>0</v>
      </c>
      <c r="R177" s="151">
        <f t="shared" si="95"/>
        <v>0</v>
      </c>
      <c r="T177" s="22">
        <v>1988</v>
      </c>
      <c r="U177" s="146">
        <f>C177*Factors!K221*g_kg*kg_mt*GWP_N2O</f>
        <v>0</v>
      </c>
      <c r="V177" s="146">
        <f>D177*Factors!L221*g_kg*kg_mt*GWP_N2O</f>
        <v>0</v>
      </c>
      <c r="W177" s="146">
        <f>E177*Factors!M221*g_kg*kg_mt*GWP_N2O</f>
        <v>0</v>
      </c>
      <c r="X177" s="146">
        <f>F177*Factors!N221*g_kg*kg_mt*GWP_N2O</f>
        <v>0</v>
      </c>
      <c r="Y177" s="146">
        <f>G177*Factors!O221*g_kg*kg_mt*GWP_N2O</f>
        <v>0</v>
      </c>
      <c r="Z177" s="146">
        <f>H177*Factors!P221*g_kg*kg_mt*GWP_N2O</f>
        <v>0</v>
      </c>
      <c r="AA177" s="153">
        <f t="shared" si="96"/>
        <v>0</v>
      </c>
    </row>
    <row r="178" spans="2:27">
      <c r="B178" s="22">
        <v>1989</v>
      </c>
      <c r="C178" s="144">
        <f>SUMIFS('Mobile-Data'!$I$9:$I$1048576,'Mobile-Data'!$D$9:$D$1048576,$B178,'Mobile-Data'!$E$9:$E$1048576,'Mobile-Detail Calcs'!C$167,'Mobile-Data'!$G$9:$G$1048576,'Mobile-Detail Calcs'!C$168,'Mobile-Data'!$C$9:$C$1048576,'Mobile-Detail Calcs'!$C$162)</f>
        <v>0</v>
      </c>
      <c r="D178" s="144">
        <f>SUMIFS('Mobile-Data'!$I$9:$I$1048576,'Mobile-Data'!$D$9:$D$1048576,$B178,'Mobile-Data'!$E$9:$E$1048576,'Mobile-Detail Calcs'!D$167,'Mobile-Data'!$G$9:$G$1048576,'Mobile-Detail Calcs'!D$168,'Mobile-Data'!$C$9:$C$1048576,'Mobile-Detail Calcs'!$C$162)</f>
        <v>0</v>
      </c>
      <c r="E178" s="144">
        <f>SUMIFS('Mobile-Data'!$I$9:$I$1048576,'Mobile-Data'!$D$9:$D$1048576,$B178,'Mobile-Data'!$E$9:$E$1048576,'Mobile-Detail Calcs'!E$167,'Mobile-Data'!$G$9:$G$1048576,'Mobile-Detail Calcs'!E$168,'Mobile-Data'!$C$9:$C$1048576,'Mobile-Detail Calcs'!$C$162)</f>
        <v>0</v>
      </c>
      <c r="F178" s="144">
        <f>SUMIFS('Mobile-Data'!$I$9:$I$1048576,'Mobile-Data'!$D$9:$D$1048576,$B178,'Mobile-Data'!$E$9:$E$1048576,'Mobile-Detail Calcs'!F$167,'Mobile-Data'!$G$9:$G$1048576,'Mobile-Detail Calcs'!F$168,'Mobile-Data'!$C$9:$C$1048576,'Mobile-Detail Calcs'!$C$162)</f>
        <v>0</v>
      </c>
      <c r="G178" s="144">
        <f>SUMIFS('Mobile-Data'!$I$9:$I$1048576,'Mobile-Data'!$D$9:$D$1048576,$B178,'Mobile-Data'!$E$9:$E$1048576,'Mobile-Detail Calcs'!G$167,'Mobile-Data'!$G$9:$G$1048576,'Mobile-Detail Calcs'!G$168,'Mobile-Data'!$C$9:$C$1048576,'Mobile-Detail Calcs'!$C$162)</f>
        <v>0</v>
      </c>
      <c r="H178" s="144">
        <f>SUMIFS('Mobile-Data'!$I$9:$I$1048576,'Mobile-Data'!$D$9:$D$1048576,$B178,'Mobile-Data'!$E$9:$E$1048576,'Mobile-Detail Calcs'!H$167,'Mobile-Data'!$G$9:$G$1048576,'Mobile-Detail Calcs'!H$168,'Mobile-Data'!$C$9:$C$1048576,'Mobile-Detail Calcs'!$C$162)</f>
        <v>0</v>
      </c>
      <c r="I178" s="148">
        <f t="shared" si="94"/>
        <v>0</v>
      </c>
      <c r="K178" s="22">
        <v>1989</v>
      </c>
      <c r="L178" s="146">
        <f>C178*Factors!C222*g_kg*kg_mt*GWP_CH4</f>
        <v>0</v>
      </c>
      <c r="M178" s="146">
        <f>D178*Factors!D222*g_kg*kg_mt*GWP_CH4</f>
        <v>0</v>
      </c>
      <c r="N178" s="146">
        <f>E178*Factors!E222*g_kg*kg_mt*GWP_CH4</f>
        <v>0</v>
      </c>
      <c r="O178" s="146">
        <f>F178*Factors!F222*g_kg*kg_mt*GWP_CH4</f>
        <v>0</v>
      </c>
      <c r="P178" s="146">
        <f>G178*Factors!G222*g_kg*kg_mt*GWP_CH4</f>
        <v>0</v>
      </c>
      <c r="Q178" s="146">
        <f>H178*Factors!H222*g_kg*kg_mt*GWP_CH4</f>
        <v>0</v>
      </c>
      <c r="R178" s="151">
        <f t="shared" si="95"/>
        <v>0</v>
      </c>
      <c r="T178" s="22">
        <v>1989</v>
      </c>
      <c r="U178" s="146">
        <f>C178*Factors!K222*g_kg*kg_mt*GWP_N2O</f>
        <v>0</v>
      </c>
      <c r="V178" s="146">
        <f>D178*Factors!L222*g_kg*kg_mt*GWP_N2O</f>
        <v>0</v>
      </c>
      <c r="W178" s="146">
        <f>E178*Factors!M222*g_kg*kg_mt*GWP_N2O</f>
        <v>0</v>
      </c>
      <c r="X178" s="146">
        <f>F178*Factors!N222*g_kg*kg_mt*GWP_N2O</f>
        <v>0</v>
      </c>
      <c r="Y178" s="146">
        <f>G178*Factors!O222*g_kg*kg_mt*GWP_N2O</f>
        <v>0</v>
      </c>
      <c r="Z178" s="146">
        <f>H178*Factors!P222*g_kg*kg_mt*GWP_N2O</f>
        <v>0</v>
      </c>
      <c r="AA178" s="153">
        <f t="shared" si="96"/>
        <v>0</v>
      </c>
    </row>
    <row r="179" spans="2:27">
      <c r="B179" s="22">
        <v>1990</v>
      </c>
      <c r="C179" s="144">
        <f>SUMIFS('Mobile-Data'!$I$9:$I$1048576,'Mobile-Data'!$D$9:$D$1048576,$B179,'Mobile-Data'!$E$9:$E$1048576,'Mobile-Detail Calcs'!C$167,'Mobile-Data'!$G$9:$G$1048576,'Mobile-Detail Calcs'!C$168,'Mobile-Data'!$C$9:$C$1048576,'Mobile-Detail Calcs'!$C$162)</f>
        <v>0</v>
      </c>
      <c r="D179" s="144">
        <f>SUMIFS('Mobile-Data'!$I$9:$I$1048576,'Mobile-Data'!$D$9:$D$1048576,$B179,'Mobile-Data'!$E$9:$E$1048576,'Mobile-Detail Calcs'!D$167,'Mobile-Data'!$G$9:$G$1048576,'Mobile-Detail Calcs'!D$168,'Mobile-Data'!$C$9:$C$1048576,'Mobile-Detail Calcs'!$C$162)</f>
        <v>0</v>
      </c>
      <c r="E179" s="144">
        <f>SUMIFS('Mobile-Data'!$I$9:$I$1048576,'Mobile-Data'!$D$9:$D$1048576,$B179,'Mobile-Data'!$E$9:$E$1048576,'Mobile-Detail Calcs'!E$167,'Mobile-Data'!$G$9:$G$1048576,'Mobile-Detail Calcs'!E$168,'Mobile-Data'!$C$9:$C$1048576,'Mobile-Detail Calcs'!$C$162)</f>
        <v>0</v>
      </c>
      <c r="F179" s="144">
        <f>SUMIFS('Mobile-Data'!$I$9:$I$1048576,'Mobile-Data'!$D$9:$D$1048576,$B179,'Mobile-Data'!$E$9:$E$1048576,'Mobile-Detail Calcs'!F$167,'Mobile-Data'!$G$9:$G$1048576,'Mobile-Detail Calcs'!F$168,'Mobile-Data'!$C$9:$C$1048576,'Mobile-Detail Calcs'!$C$162)</f>
        <v>0</v>
      </c>
      <c r="G179" s="144">
        <f>SUMIFS('Mobile-Data'!$I$9:$I$1048576,'Mobile-Data'!$D$9:$D$1048576,$B179,'Mobile-Data'!$E$9:$E$1048576,'Mobile-Detail Calcs'!G$167,'Mobile-Data'!$G$9:$G$1048576,'Mobile-Detail Calcs'!G$168,'Mobile-Data'!$C$9:$C$1048576,'Mobile-Detail Calcs'!$C$162)</f>
        <v>0</v>
      </c>
      <c r="H179" s="144">
        <f>SUMIFS('Mobile-Data'!$I$9:$I$1048576,'Mobile-Data'!$D$9:$D$1048576,$B179,'Mobile-Data'!$E$9:$E$1048576,'Mobile-Detail Calcs'!H$167,'Mobile-Data'!$G$9:$G$1048576,'Mobile-Detail Calcs'!H$168,'Mobile-Data'!$C$9:$C$1048576,'Mobile-Detail Calcs'!$C$162)</f>
        <v>0</v>
      </c>
      <c r="I179" s="148">
        <f t="shared" si="94"/>
        <v>0</v>
      </c>
      <c r="K179" s="22">
        <v>1990</v>
      </c>
      <c r="L179" s="146">
        <f>C179*Factors!C223*g_kg*kg_mt*GWP_CH4</f>
        <v>0</v>
      </c>
      <c r="M179" s="146">
        <f>D179*Factors!D223*g_kg*kg_mt*GWP_CH4</f>
        <v>0</v>
      </c>
      <c r="N179" s="146">
        <f>E179*Factors!E223*g_kg*kg_mt*GWP_CH4</f>
        <v>0</v>
      </c>
      <c r="O179" s="146">
        <f>F179*Factors!F223*g_kg*kg_mt*GWP_CH4</f>
        <v>0</v>
      </c>
      <c r="P179" s="146">
        <f>G179*Factors!G223*g_kg*kg_mt*GWP_CH4</f>
        <v>0</v>
      </c>
      <c r="Q179" s="146">
        <f>H179*Factors!H223*g_kg*kg_mt*GWP_CH4</f>
        <v>0</v>
      </c>
      <c r="R179" s="151">
        <f t="shared" si="95"/>
        <v>0</v>
      </c>
      <c r="T179" s="22">
        <v>1990</v>
      </c>
      <c r="U179" s="146">
        <f>C179*Factors!K223*g_kg*kg_mt*GWP_N2O</f>
        <v>0</v>
      </c>
      <c r="V179" s="146">
        <f>D179*Factors!L223*g_kg*kg_mt*GWP_N2O</f>
        <v>0</v>
      </c>
      <c r="W179" s="146">
        <f>E179*Factors!M223*g_kg*kg_mt*GWP_N2O</f>
        <v>0</v>
      </c>
      <c r="X179" s="146">
        <f>F179*Factors!N223*g_kg*kg_mt*GWP_N2O</f>
        <v>0</v>
      </c>
      <c r="Y179" s="146">
        <f>G179*Factors!O223*g_kg*kg_mt*GWP_N2O</f>
        <v>0</v>
      </c>
      <c r="Z179" s="146">
        <f>H179*Factors!P223*g_kg*kg_mt*GWP_N2O</f>
        <v>0</v>
      </c>
      <c r="AA179" s="153">
        <f t="shared" si="96"/>
        <v>0</v>
      </c>
    </row>
    <row r="180" spans="2:27">
      <c r="B180" s="22">
        <v>1991</v>
      </c>
      <c r="C180" s="144">
        <f>SUMIFS('Mobile-Data'!$I$9:$I$1048576,'Mobile-Data'!$D$9:$D$1048576,$B180,'Mobile-Data'!$E$9:$E$1048576,'Mobile-Detail Calcs'!C$167,'Mobile-Data'!$G$9:$G$1048576,'Mobile-Detail Calcs'!C$168,'Mobile-Data'!$C$9:$C$1048576,'Mobile-Detail Calcs'!$C$162)</f>
        <v>0</v>
      </c>
      <c r="D180" s="144">
        <f>SUMIFS('Mobile-Data'!$I$9:$I$1048576,'Mobile-Data'!$D$9:$D$1048576,$B180,'Mobile-Data'!$E$9:$E$1048576,'Mobile-Detail Calcs'!D$167,'Mobile-Data'!$G$9:$G$1048576,'Mobile-Detail Calcs'!D$168,'Mobile-Data'!$C$9:$C$1048576,'Mobile-Detail Calcs'!$C$162)</f>
        <v>0</v>
      </c>
      <c r="E180" s="144">
        <f>SUMIFS('Mobile-Data'!$I$9:$I$1048576,'Mobile-Data'!$D$9:$D$1048576,$B180,'Mobile-Data'!$E$9:$E$1048576,'Mobile-Detail Calcs'!E$167,'Mobile-Data'!$G$9:$G$1048576,'Mobile-Detail Calcs'!E$168,'Mobile-Data'!$C$9:$C$1048576,'Mobile-Detail Calcs'!$C$162)</f>
        <v>0</v>
      </c>
      <c r="F180" s="144">
        <f>SUMIFS('Mobile-Data'!$I$9:$I$1048576,'Mobile-Data'!$D$9:$D$1048576,$B180,'Mobile-Data'!$E$9:$E$1048576,'Mobile-Detail Calcs'!F$167,'Mobile-Data'!$G$9:$G$1048576,'Mobile-Detail Calcs'!F$168,'Mobile-Data'!$C$9:$C$1048576,'Mobile-Detail Calcs'!$C$162)</f>
        <v>0</v>
      </c>
      <c r="G180" s="144">
        <f>SUMIFS('Mobile-Data'!$I$9:$I$1048576,'Mobile-Data'!$D$9:$D$1048576,$B180,'Mobile-Data'!$E$9:$E$1048576,'Mobile-Detail Calcs'!G$167,'Mobile-Data'!$G$9:$G$1048576,'Mobile-Detail Calcs'!G$168,'Mobile-Data'!$C$9:$C$1048576,'Mobile-Detail Calcs'!$C$162)</f>
        <v>0</v>
      </c>
      <c r="H180" s="144">
        <f>SUMIFS('Mobile-Data'!$I$9:$I$1048576,'Mobile-Data'!$D$9:$D$1048576,$B180,'Mobile-Data'!$E$9:$E$1048576,'Mobile-Detail Calcs'!H$167,'Mobile-Data'!$G$9:$G$1048576,'Mobile-Detail Calcs'!H$168,'Mobile-Data'!$C$9:$C$1048576,'Mobile-Detail Calcs'!$C$162)</f>
        <v>0</v>
      </c>
      <c r="I180" s="148">
        <f t="shared" si="94"/>
        <v>0</v>
      </c>
      <c r="K180" s="22">
        <v>1991</v>
      </c>
      <c r="L180" s="146">
        <f>C180*Factors!C224*g_kg*kg_mt*GWP_CH4</f>
        <v>0</v>
      </c>
      <c r="M180" s="146">
        <f>D180*Factors!D224*g_kg*kg_mt*GWP_CH4</f>
        <v>0</v>
      </c>
      <c r="N180" s="146">
        <f>E180*Factors!E224*g_kg*kg_mt*GWP_CH4</f>
        <v>0</v>
      </c>
      <c r="O180" s="146">
        <f>F180*Factors!F224*g_kg*kg_mt*GWP_CH4</f>
        <v>0</v>
      </c>
      <c r="P180" s="146">
        <f>G180*Factors!G224*g_kg*kg_mt*GWP_CH4</f>
        <v>0</v>
      </c>
      <c r="Q180" s="146">
        <f>H180*Factors!H224*g_kg*kg_mt*GWP_CH4</f>
        <v>0</v>
      </c>
      <c r="R180" s="151">
        <f t="shared" si="95"/>
        <v>0</v>
      </c>
      <c r="T180" s="22">
        <v>1991</v>
      </c>
      <c r="U180" s="146">
        <f>C180*Factors!K224*g_kg*kg_mt*GWP_N2O</f>
        <v>0</v>
      </c>
      <c r="V180" s="146">
        <f>D180*Factors!L224*g_kg*kg_mt*GWP_N2O</f>
        <v>0</v>
      </c>
      <c r="W180" s="146">
        <f>E180*Factors!M224*g_kg*kg_mt*GWP_N2O</f>
        <v>0</v>
      </c>
      <c r="X180" s="146">
        <f>F180*Factors!N224*g_kg*kg_mt*GWP_N2O</f>
        <v>0</v>
      </c>
      <c r="Y180" s="146">
        <f>G180*Factors!O224*g_kg*kg_mt*GWP_N2O</f>
        <v>0</v>
      </c>
      <c r="Z180" s="146">
        <f>H180*Factors!P224*g_kg*kg_mt*GWP_N2O</f>
        <v>0</v>
      </c>
      <c r="AA180" s="153">
        <f t="shared" si="96"/>
        <v>0</v>
      </c>
    </row>
    <row r="181" spans="2:27">
      <c r="B181" s="22">
        <v>1992</v>
      </c>
      <c r="C181" s="144">
        <f>SUMIFS('Mobile-Data'!$I$9:$I$1048576,'Mobile-Data'!$D$9:$D$1048576,$B181,'Mobile-Data'!$E$9:$E$1048576,'Mobile-Detail Calcs'!C$167,'Mobile-Data'!$G$9:$G$1048576,'Mobile-Detail Calcs'!C$168,'Mobile-Data'!$C$9:$C$1048576,'Mobile-Detail Calcs'!$C$162)</f>
        <v>0</v>
      </c>
      <c r="D181" s="144">
        <f>SUMIFS('Mobile-Data'!$I$9:$I$1048576,'Mobile-Data'!$D$9:$D$1048576,$B181,'Mobile-Data'!$E$9:$E$1048576,'Mobile-Detail Calcs'!D$167,'Mobile-Data'!$G$9:$G$1048576,'Mobile-Detail Calcs'!D$168,'Mobile-Data'!$C$9:$C$1048576,'Mobile-Detail Calcs'!$C$162)</f>
        <v>0</v>
      </c>
      <c r="E181" s="144">
        <f>SUMIFS('Mobile-Data'!$I$9:$I$1048576,'Mobile-Data'!$D$9:$D$1048576,$B181,'Mobile-Data'!$E$9:$E$1048576,'Mobile-Detail Calcs'!E$167,'Mobile-Data'!$G$9:$G$1048576,'Mobile-Detail Calcs'!E$168,'Mobile-Data'!$C$9:$C$1048576,'Mobile-Detail Calcs'!$C$162)</f>
        <v>0</v>
      </c>
      <c r="F181" s="144">
        <f>SUMIFS('Mobile-Data'!$I$9:$I$1048576,'Mobile-Data'!$D$9:$D$1048576,$B181,'Mobile-Data'!$E$9:$E$1048576,'Mobile-Detail Calcs'!F$167,'Mobile-Data'!$G$9:$G$1048576,'Mobile-Detail Calcs'!F$168,'Mobile-Data'!$C$9:$C$1048576,'Mobile-Detail Calcs'!$C$162)</f>
        <v>0</v>
      </c>
      <c r="G181" s="144">
        <f>SUMIFS('Mobile-Data'!$I$9:$I$1048576,'Mobile-Data'!$D$9:$D$1048576,$B181,'Mobile-Data'!$E$9:$E$1048576,'Mobile-Detail Calcs'!G$167,'Mobile-Data'!$G$9:$G$1048576,'Mobile-Detail Calcs'!G$168,'Mobile-Data'!$C$9:$C$1048576,'Mobile-Detail Calcs'!$C$162)</f>
        <v>0</v>
      </c>
      <c r="H181" s="144">
        <f>SUMIFS('Mobile-Data'!$I$9:$I$1048576,'Mobile-Data'!$D$9:$D$1048576,$B181,'Mobile-Data'!$E$9:$E$1048576,'Mobile-Detail Calcs'!H$167,'Mobile-Data'!$G$9:$G$1048576,'Mobile-Detail Calcs'!H$168,'Mobile-Data'!$C$9:$C$1048576,'Mobile-Detail Calcs'!$C$162)</f>
        <v>0</v>
      </c>
      <c r="I181" s="148">
        <f t="shared" si="94"/>
        <v>0</v>
      </c>
      <c r="K181" s="22">
        <v>1992</v>
      </c>
      <c r="L181" s="146">
        <f>C181*Factors!C225*g_kg*kg_mt*GWP_CH4</f>
        <v>0</v>
      </c>
      <c r="M181" s="146">
        <f>D181*Factors!D225*g_kg*kg_mt*GWP_CH4</f>
        <v>0</v>
      </c>
      <c r="N181" s="146">
        <f>E181*Factors!E225*g_kg*kg_mt*GWP_CH4</f>
        <v>0</v>
      </c>
      <c r="O181" s="146">
        <f>F181*Factors!F225*g_kg*kg_mt*GWP_CH4</f>
        <v>0</v>
      </c>
      <c r="P181" s="146">
        <f>G181*Factors!G225*g_kg*kg_mt*GWP_CH4</f>
        <v>0</v>
      </c>
      <c r="Q181" s="146">
        <f>H181*Factors!H225*g_kg*kg_mt*GWP_CH4</f>
        <v>0</v>
      </c>
      <c r="R181" s="151">
        <f t="shared" si="95"/>
        <v>0</v>
      </c>
      <c r="T181" s="22">
        <v>1992</v>
      </c>
      <c r="U181" s="146">
        <f>C181*Factors!K225*g_kg*kg_mt*GWP_N2O</f>
        <v>0</v>
      </c>
      <c r="V181" s="146">
        <f>D181*Factors!L225*g_kg*kg_mt*GWP_N2O</f>
        <v>0</v>
      </c>
      <c r="W181" s="146">
        <f>E181*Factors!M225*g_kg*kg_mt*GWP_N2O</f>
        <v>0</v>
      </c>
      <c r="X181" s="146">
        <f>F181*Factors!N225*g_kg*kg_mt*GWP_N2O</f>
        <v>0</v>
      </c>
      <c r="Y181" s="146">
        <f>G181*Factors!O225*g_kg*kg_mt*GWP_N2O</f>
        <v>0</v>
      </c>
      <c r="Z181" s="146">
        <f>H181*Factors!P225*g_kg*kg_mt*GWP_N2O</f>
        <v>0</v>
      </c>
      <c r="AA181" s="153">
        <f t="shared" si="96"/>
        <v>0</v>
      </c>
    </row>
    <row r="182" spans="2:27">
      <c r="B182" s="22">
        <v>1993</v>
      </c>
      <c r="C182" s="144">
        <f>SUMIFS('Mobile-Data'!$I$9:$I$1048576,'Mobile-Data'!$D$9:$D$1048576,$B182,'Mobile-Data'!$E$9:$E$1048576,'Mobile-Detail Calcs'!C$167,'Mobile-Data'!$G$9:$G$1048576,'Mobile-Detail Calcs'!C$168,'Mobile-Data'!$C$9:$C$1048576,'Mobile-Detail Calcs'!$C$162)</f>
        <v>0</v>
      </c>
      <c r="D182" s="144">
        <f>SUMIFS('Mobile-Data'!$I$9:$I$1048576,'Mobile-Data'!$D$9:$D$1048576,$B182,'Mobile-Data'!$E$9:$E$1048576,'Mobile-Detail Calcs'!D$167,'Mobile-Data'!$G$9:$G$1048576,'Mobile-Detail Calcs'!D$168,'Mobile-Data'!$C$9:$C$1048576,'Mobile-Detail Calcs'!$C$162)</f>
        <v>0</v>
      </c>
      <c r="E182" s="144">
        <f>SUMIFS('Mobile-Data'!$I$9:$I$1048576,'Mobile-Data'!$D$9:$D$1048576,$B182,'Mobile-Data'!$E$9:$E$1048576,'Mobile-Detail Calcs'!E$167,'Mobile-Data'!$G$9:$G$1048576,'Mobile-Detail Calcs'!E$168,'Mobile-Data'!$C$9:$C$1048576,'Mobile-Detail Calcs'!$C$162)</f>
        <v>0</v>
      </c>
      <c r="F182" s="144">
        <f>SUMIFS('Mobile-Data'!$I$9:$I$1048576,'Mobile-Data'!$D$9:$D$1048576,$B182,'Mobile-Data'!$E$9:$E$1048576,'Mobile-Detail Calcs'!F$167,'Mobile-Data'!$G$9:$G$1048576,'Mobile-Detail Calcs'!F$168,'Mobile-Data'!$C$9:$C$1048576,'Mobile-Detail Calcs'!$C$162)</f>
        <v>0</v>
      </c>
      <c r="G182" s="144">
        <f>SUMIFS('Mobile-Data'!$I$9:$I$1048576,'Mobile-Data'!$D$9:$D$1048576,$B182,'Mobile-Data'!$E$9:$E$1048576,'Mobile-Detail Calcs'!G$167,'Mobile-Data'!$G$9:$G$1048576,'Mobile-Detail Calcs'!G$168,'Mobile-Data'!$C$9:$C$1048576,'Mobile-Detail Calcs'!$C$162)</f>
        <v>0</v>
      </c>
      <c r="H182" s="144">
        <f>SUMIFS('Mobile-Data'!$I$9:$I$1048576,'Mobile-Data'!$D$9:$D$1048576,$B182,'Mobile-Data'!$E$9:$E$1048576,'Mobile-Detail Calcs'!H$167,'Mobile-Data'!$G$9:$G$1048576,'Mobile-Detail Calcs'!H$168,'Mobile-Data'!$C$9:$C$1048576,'Mobile-Detail Calcs'!$C$162)</f>
        <v>0</v>
      </c>
      <c r="I182" s="148">
        <f t="shared" si="94"/>
        <v>0</v>
      </c>
      <c r="K182" s="22">
        <v>1993</v>
      </c>
      <c r="L182" s="146">
        <f>C182*Factors!C226*g_kg*kg_mt*GWP_CH4</f>
        <v>0</v>
      </c>
      <c r="M182" s="146">
        <f>D182*Factors!D226*g_kg*kg_mt*GWP_CH4</f>
        <v>0</v>
      </c>
      <c r="N182" s="146">
        <f>E182*Factors!E226*g_kg*kg_mt*GWP_CH4</f>
        <v>0</v>
      </c>
      <c r="O182" s="146">
        <f>F182*Factors!F226*g_kg*kg_mt*GWP_CH4</f>
        <v>0</v>
      </c>
      <c r="P182" s="146">
        <f>G182*Factors!G226*g_kg*kg_mt*GWP_CH4</f>
        <v>0</v>
      </c>
      <c r="Q182" s="146">
        <f>H182*Factors!H226*g_kg*kg_mt*GWP_CH4</f>
        <v>0</v>
      </c>
      <c r="R182" s="151">
        <f t="shared" si="95"/>
        <v>0</v>
      </c>
      <c r="T182" s="22">
        <v>1993</v>
      </c>
      <c r="U182" s="146">
        <f>C182*Factors!K226*g_kg*kg_mt*GWP_N2O</f>
        <v>0</v>
      </c>
      <c r="V182" s="146">
        <f>D182*Factors!L226*g_kg*kg_mt*GWP_N2O</f>
        <v>0</v>
      </c>
      <c r="W182" s="146">
        <f>E182*Factors!M226*g_kg*kg_mt*GWP_N2O</f>
        <v>0</v>
      </c>
      <c r="X182" s="146">
        <f>F182*Factors!N226*g_kg*kg_mt*GWP_N2O</f>
        <v>0</v>
      </c>
      <c r="Y182" s="146">
        <f>G182*Factors!O226*g_kg*kg_mt*GWP_N2O</f>
        <v>0</v>
      </c>
      <c r="Z182" s="146">
        <f>H182*Factors!P226*g_kg*kg_mt*GWP_N2O</f>
        <v>0</v>
      </c>
      <c r="AA182" s="153">
        <f t="shared" si="96"/>
        <v>0</v>
      </c>
    </row>
    <row r="183" spans="2:27">
      <c r="B183" s="22">
        <v>1994</v>
      </c>
      <c r="C183" s="144">
        <f>SUMIFS('Mobile-Data'!$I$9:$I$1048576,'Mobile-Data'!$D$9:$D$1048576,$B183,'Mobile-Data'!$E$9:$E$1048576,'Mobile-Detail Calcs'!C$167,'Mobile-Data'!$G$9:$G$1048576,'Mobile-Detail Calcs'!C$168,'Mobile-Data'!$C$9:$C$1048576,'Mobile-Detail Calcs'!$C$162)</f>
        <v>0</v>
      </c>
      <c r="D183" s="144">
        <f>SUMIFS('Mobile-Data'!$I$9:$I$1048576,'Mobile-Data'!$D$9:$D$1048576,$B183,'Mobile-Data'!$E$9:$E$1048576,'Mobile-Detail Calcs'!D$167,'Mobile-Data'!$G$9:$G$1048576,'Mobile-Detail Calcs'!D$168,'Mobile-Data'!$C$9:$C$1048576,'Mobile-Detail Calcs'!$C$162)</f>
        <v>0</v>
      </c>
      <c r="E183" s="144">
        <f>SUMIFS('Mobile-Data'!$I$9:$I$1048576,'Mobile-Data'!$D$9:$D$1048576,$B183,'Mobile-Data'!$E$9:$E$1048576,'Mobile-Detail Calcs'!E$167,'Mobile-Data'!$G$9:$G$1048576,'Mobile-Detail Calcs'!E$168,'Mobile-Data'!$C$9:$C$1048576,'Mobile-Detail Calcs'!$C$162)</f>
        <v>0</v>
      </c>
      <c r="F183" s="144">
        <f>SUMIFS('Mobile-Data'!$I$9:$I$1048576,'Mobile-Data'!$D$9:$D$1048576,$B183,'Mobile-Data'!$E$9:$E$1048576,'Mobile-Detail Calcs'!F$167,'Mobile-Data'!$G$9:$G$1048576,'Mobile-Detail Calcs'!F$168,'Mobile-Data'!$C$9:$C$1048576,'Mobile-Detail Calcs'!$C$162)</f>
        <v>0</v>
      </c>
      <c r="G183" s="144">
        <f>SUMIFS('Mobile-Data'!$I$9:$I$1048576,'Mobile-Data'!$D$9:$D$1048576,$B183,'Mobile-Data'!$E$9:$E$1048576,'Mobile-Detail Calcs'!G$167,'Mobile-Data'!$G$9:$G$1048576,'Mobile-Detail Calcs'!G$168,'Mobile-Data'!$C$9:$C$1048576,'Mobile-Detail Calcs'!$C$162)</f>
        <v>0</v>
      </c>
      <c r="H183" s="144">
        <f>SUMIFS('Mobile-Data'!$I$9:$I$1048576,'Mobile-Data'!$D$9:$D$1048576,$B183,'Mobile-Data'!$E$9:$E$1048576,'Mobile-Detail Calcs'!H$167,'Mobile-Data'!$G$9:$G$1048576,'Mobile-Detail Calcs'!H$168,'Mobile-Data'!$C$9:$C$1048576,'Mobile-Detail Calcs'!$C$162)</f>
        <v>0</v>
      </c>
      <c r="I183" s="148">
        <f t="shared" si="94"/>
        <v>0</v>
      </c>
      <c r="K183" s="22">
        <v>1994</v>
      </c>
      <c r="L183" s="146">
        <f>C183*Factors!C227*g_kg*kg_mt*GWP_CH4</f>
        <v>0</v>
      </c>
      <c r="M183" s="146">
        <f>D183*Factors!D227*g_kg*kg_mt*GWP_CH4</f>
        <v>0</v>
      </c>
      <c r="N183" s="146">
        <f>E183*Factors!E227*g_kg*kg_mt*GWP_CH4</f>
        <v>0</v>
      </c>
      <c r="O183" s="146">
        <f>F183*Factors!F227*g_kg*kg_mt*GWP_CH4</f>
        <v>0</v>
      </c>
      <c r="P183" s="146">
        <f>G183*Factors!G227*g_kg*kg_mt*GWP_CH4</f>
        <v>0</v>
      </c>
      <c r="Q183" s="146">
        <f>H183*Factors!H227*g_kg*kg_mt*GWP_CH4</f>
        <v>0</v>
      </c>
      <c r="R183" s="151">
        <f t="shared" si="95"/>
        <v>0</v>
      </c>
      <c r="T183" s="22">
        <v>1994</v>
      </c>
      <c r="U183" s="146">
        <f>C183*Factors!K227*g_kg*kg_mt*GWP_N2O</f>
        <v>0</v>
      </c>
      <c r="V183" s="146">
        <f>D183*Factors!L227*g_kg*kg_mt*GWP_N2O</f>
        <v>0</v>
      </c>
      <c r="W183" s="146">
        <f>E183*Factors!M227*g_kg*kg_mt*GWP_N2O</f>
        <v>0</v>
      </c>
      <c r="X183" s="146">
        <f>F183*Factors!N227*g_kg*kg_mt*GWP_N2O</f>
        <v>0</v>
      </c>
      <c r="Y183" s="146">
        <f>G183*Factors!O227*g_kg*kg_mt*GWP_N2O</f>
        <v>0</v>
      </c>
      <c r="Z183" s="146">
        <f>H183*Factors!P227*g_kg*kg_mt*GWP_N2O</f>
        <v>0</v>
      </c>
      <c r="AA183" s="153">
        <f t="shared" si="96"/>
        <v>0</v>
      </c>
    </row>
    <row r="184" spans="2:27">
      <c r="B184" s="22">
        <v>1995</v>
      </c>
      <c r="C184" s="144">
        <f>SUMIFS('Mobile-Data'!$I$9:$I$1048576,'Mobile-Data'!$D$9:$D$1048576,$B184,'Mobile-Data'!$E$9:$E$1048576,'Mobile-Detail Calcs'!C$167,'Mobile-Data'!$G$9:$G$1048576,'Mobile-Detail Calcs'!C$168,'Mobile-Data'!$C$9:$C$1048576,'Mobile-Detail Calcs'!$C$162)</f>
        <v>0</v>
      </c>
      <c r="D184" s="144">
        <f>SUMIFS('Mobile-Data'!$I$9:$I$1048576,'Mobile-Data'!$D$9:$D$1048576,$B184,'Mobile-Data'!$E$9:$E$1048576,'Mobile-Detail Calcs'!D$167,'Mobile-Data'!$G$9:$G$1048576,'Mobile-Detail Calcs'!D$168,'Mobile-Data'!$C$9:$C$1048576,'Mobile-Detail Calcs'!$C$162)</f>
        <v>0</v>
      </c>
      <c r="E184" s="144">
        <f>SUMIFS('Mobile-Data'!$I$9:$I$1048576,'Mobile-Data'!$D$9:$D$1048576,$B184,'Mobile-Data'!$E$9:$E$1048576,'Mobile-Detail Calcs'!E$167,'Mobile-Data'!$G$9:$G$1048576,'Mobile-Detail Calcs'!E$168,'Mobile-Data'!$C$9:$C$1048576,'Mobile-Detail Calcs'!$C$162)</f>
        <v>0</v>
      </c>
      <c r="F184" s="144">
        <f>SUMIFS('Mobile-Data'!$I$9:$I$1048576,'Mobile-Data'!$D$9:$D$1048576,$B184,'Mobile-Data'!$E$9:$E$1048576,'Mobile-Detail Calcs'!F$167,'Mobile-Data'!$G$9:$G$1048576,'Mobile-Detail Calcs'!F$168,'Mobile-Data'!$C$9:$C$1048576,'Mobile-Detail Calcs'!$C$162)</f>
        <v>0</v>
      </c>
      <c r="G184" s="144">
        <f>SUMIFS('Mobile-Data'!$I$9:$I$1048576,'Mobile-Data'!$D$9:$D$1048576,$B184,'Mobile-Data'!$E$9:$E$1048576,'Mobile-Detail Calcs'!G$167,'Mobile-Data'!$G$9:$G$1048576,'Mobile-Detail Calcs'!G$168,'Mobile-Data'!$C$9:$C$1048576,'Mobile-Detail Calcs'!$C$162)</f>
        <v>0</v>
      </c>
      <c r="H184" s="144">
        <f>SUMIFS('Mobile-Data'!$I$9:$I$1048576,'Mobile-Data'!$D$9:$D$1048576,$B184,'Mobile-Data'!$E$9:$E$1048576,'Mobile-Detail Calcs'!H$167,'Mobile-Data'!$G$9:$G$1048576,'Mobile-Detail Calcs'!H$168,'Mobile-Data'!$C$9:$C$1048576,'Mobile-Detail Calcs'!$C$162)</f>
        <v>0</v>
      </c>
      <c r="I184" s="148">
        <f t="shared" si="94"/>
        <v>0</v>
      </c>
      <c r="K184" s="22">
        <v>1995</v>
      </c>
      <c r="L184" s="146">
        <f>C184*Factors!C228*g_kg*kg_mt*GWP_CH4</f>
        <v>0</v>
      </c>
      <c r="M184" s="146">
        <f>D184*Factors!D228*g_kg*kg_mt*GWP_CH4</f>
        <v>0</v>
      </c>
      <c r="N184" s="146">
        <f>E184*Factors!E228*g_kg*kg_mt*GWP_CH4</f>
        <v>0</v>
      </c>
      <c r="O184" s="146">
        <f>F184*Factors!F228*g_kg*kg_mt*GWP_CH4</f>
        <v>0</v>
      </c>
      <c r="P184" s="146">
        <f>G184*Factors!G228*g_kg*kg_mt*GWP_CH4</f>
        <v>0</v>
      </c>
      <c r="Q184" s="146">
        <f>H184*Factors!H228*g_kg*kg_mt*GWP_CH4</f>
        <v>0</v>
      </c>
      <c r="R184" s="151">
        <f t="shared" si="95"/>
        <v>0</v>
      </c>
      <c r="T184" s="22">
        <v>1995</v>
      </c>
      <c r="U184" s="146">
        <f>C184*Factors!K228*g_kg*kg_mt*GWP_N2O</f>
        <v>0</v>
      </c>
      <c r="V184" s="146">
        <f>D184*Factors!L228*g_kg*kg_mt*GWP_N2O</f>
        <v>0</v>
      </c>
      <c r="W184" s="146">
        <f>E184*Factors!M228*g_kg*kg_mt*GWP_N2O</f>
        <v>0</v>
      </c>
      <c r="X184" s="146">
        <f>F184*Factors!N228*g_kg*kg_mt*GWP_N2O</f>
        <v>0</v>
      </c>
      <c r="Y184" s="146">
        <f>G184*Factors!O228*g_kg*kg_mt*GWP_N2O</f>
        <v>0</v>
      </c>
      <c r="Z184" s="146">
        <f>H184*Factors!P228*g_kg*kg_mt*GWP_N2O</f>
        <v>0</v>
      </c>
      <c r="AA184" s="153">
        <f t="shared" si="96"/>
        <v>0</v>
      </c>
    </row>
    <row r="185" spans="2:27">
      <c r="B185" s="22">
        <v>1996</v>
      </c>
      <c r="C185" s="144">
        <f>SUMIFS('Mobile-Data'!$I$9:$I$1048576,'Mobile-Data'!$D$9:$D$1048576,$B185,'Mobile-Data'!$E$9:$E$1048576,'Mobile-Detail Calcs'!C$167,'Mobile-Data'!$G$9:$G$1048576,'Mobile-Detail Calcs'!C$168,'Mobile-Data'!$C$9:$C$1048576,'Mobile-Detail Calcs'!$C$162)</f>
        <v>0</v>
      </c>
      <c r="D185" s="144">
        <f>SUMIFS('Mobile-Data'!$I$9:$I$1048576,'Mobile-Data'!$D$9:$D$1048576,$B185,'Mobile-Data'!$E$9:$E$1048576,'Mobile-Detail Calcs'!D$167,'Mobile-Data'!$G$9:$G$1048576,'Mobile-Detail Calcs'!D$168,'Mobile-Data'!$C$9:$C$1048576,'Mobile-Detail Calcs'!$C$162)</f>
        <v>0</v>
      </c>
      <c r="E185" s="144">
        <f>SUMIFS('Mobile-Data'!$I$9:$I$1048576,'Mobile-Data'!$D$9:$D$1048576,$B185,'Mobile-Data'!$E$9:$E$1048576,'Mobile-Detail Calcs'!E$167,'Mobile-Data'!$G$9:$G$1048576,'Mobile-Detail Calcs'!E$168,'Mobile-Data'!$C$9:$C$1048576,'Mobile-Detail Calcs'!$C$162)</f>
        <v>0</v>
      </c>
      <c r="F185" s="144">
        <f>SUMIFS('Mobile-Data'!$I$9:$I$1048576,'Mobile-Data'!$D$9:$D$1048576,$B185,'Mobile-Data'!$E$9:$E$1048576,'Mobile-Detail Calcs'!F$167,'Mobile-Data'!$G$9:$G$1048576,'Mobile-Detail Calcs'!F$168,'Mobile-Data'!$C$9:$C$1048576,'Mobile-Detail Calcs'!$C$162)</f>
        <v>0</v>
      </c>
      <c r="G185" s="144">
        <f>SUMIFS('Mobile-Data'!$I$9:$I$1048576,'Mobile-Data'!$D$9:$D$1048576,$B185,'Mobile-Data'!$E$9:$E$1048576,'Mobile-Detail Calcs'!G$167,'Mobile-Data'!$G$9:$G$1048576,'Mobile-Detail Calcs'!G$168,'Mobile-Data'!$C$9:$C$1048576,'Mobile-Detail Calcs'!$C$162)</f>
        <v>0</v>
      </c>
      <c r="H185" s="144">
        <f>SUMIFS('Mobile-Data'!$I$9:$I$1048576,'Mobile-Data'!$D$9:$D$1048576,$B185,'Mobile-Data'!$E$9:$E$1048576,'Mobile-Detail Calcs'!H$167,'Mobile-Data'!$G$9:$G$1048576,'Mobile-Detail Calcs'!H$168,'Mobile-Data'!$C$9:$C$1048576,'Mobile-Detail Calcs'!$C$162)</f>
        <v>0</v>
      </c>
      <c r="I185" s="148">
        <f t="shared" si="94"/>
        <v>0</v>
      </c>
      <c r="K185" s="22">
        <v>1996</v>
      </c>
      <c r="L185" s="146">
        <f>C185*Factors!C229*g_kg*kg_mt*GWP_CH4</f>
        <v>0</v>
      </c>
      <c r="M185" s="146">
        <f>D185*Factors!D229*g_kg*kg_mt*GWP_CH4</f>
        <v>0</v>
      </c>
      <c r="N185" s="146">
        <f>E185*Factors!E229*g_kg*kg_mt*GWP_CH4</f>
        <v>0</v>
      </c>
      <c r="O185" s="146">
        <f>F185*Factors!F229*g_kg*kg_mt*GWP_CH4</f>
        <v>0</v>
      </c>
      <c r="P185" s="146">
        <f>G185*Factors!G229*g_kg*kg_mt*GWP_CH4</f>
        <v>0</v>
      </c>
      <c r="Q185" s="146">
        <f>H185*Factors!H229*g_kg*kg_mt*GWP_CH4</f>
        <v>0</v>
      </c>
      <c r="R185" s="151">
        <f t="shared" si="95"/>
        <v>0</v>
      </c>
      <c r="T185" s="22">
        <v>1996</v>
      </c>
      <c r="U185" s="146">
        <f>C185*Factors!K229*g_kg*kg_mt*GWP_N2O</f>
        <v>0</v>
      </c>
      <c r="V185" s="146">
        <f>D185*Factors!L229*g_kg*kg_mt*GWP_N2O</f>
        <v>0</v>
      </c>
      <c r="W185" s="146">
        <f>E185*Factors!M229*g_kg*kg_mt*GWP_N2O</f>
        <v>0</v>
      </c>
      <c r="X185" s="146">
        <f>F185*Factors!N229*g_kg*kg_mt*GWP_N2O</f>
        <v>0</v>
      </c>
      <c r="Y185" s="146">
        <f>G185*Factors!O229*g_kg*kg_mt*GWP_N2O</f>
        <v>0</v>
      </c>
      <c r="Z185" s="146">
        <f>H185*Factors!P229*g_kg*kg_mt*GWP_N2O</f>
        <v>0</v>
      </c>
      <c r="AA185" s="153">
        <f t="shared" si="96"/>
        <v>0</v>
      </c>
    </row>
    <row r="186" spans="2:27">
      <c r="B186" s="22">
        <v>1997</v>
      </c>
      <c r="C186" s="144">
        <f>SUMIFS('Mobile-Data'!$I$9:$I$1048576,'Mobile-Data'!$D$9:$D$1048576,$B186,'Mobile-Data'!$E$9:$E$1048576,'Mobile-Detail Calcs'!C$167,'Mobile-Data'!$G$9:$G$1048576,'Mobile-Detail Calcs'!C$168,'Mobile-Data'!$C$9:$C$1048576,'Mobile-Detail Calcs'!$C$162)</f>
        <v>0</v>
      </c>
      <c r="D186" s="144">
        <f>SUMIFS('Mobile-Data'!$I$9:$I$1048576,'Mobile-Data'!$D$9:$D$1048576,$B186,'Mobile-Data'!$E$9:$E$1048576,'Mobile-Detail Calcs'!D$167,'Mobile-Data'!$G$9:$G$1048576,'Mobile-Detail Calcs'!D$168,'Mobile-Data'!$C$9:$C$1048576,'Mobile-Detail Calcs'!$C$162)</f>
        <v>0</v>
      </c>
      <c r="E186" s="144">
        <f>SUMIFS('Mobile-Data'!$I$9:$I$1048576,'Mobile-Data'!$D$9:$D$1048576,$B186,'Mobile-Data'!$E$9:$E$1048576,'Mobile-Detail Calcs'!E$167,'Mobile-Data'!$G$9:$G$1048576,'Mobile-Detail Calcs'!E$168,'Mobile-Data'!$C$9:$C$1048576,'Mobile-Detail Calcs'!$C$162)</f>
        <v>0</v>
      </c>
      <c r="F186" s="144">
        <f>SUMIFS('Mobile-Data'!$I$9:$I$1048576,'Mobile-Data'!$D$9:$D$1048576,$B186,'Mobile-Data'!$E$9:$E$1048576,'Mobile-Detail Calcs'!F$167,'Mobile-Data'!$G$9:$G$1048576,'Mobile-Detail Calcs'!F$168,'Mobile-Data'!$C$9:$C$1048576,'Mobile-Detail Calcs'!$C$162)</f>
        <v>0</v>
      </c>
      <c r="G186" s="144">
        <f>SUMIFS('Mobile-Data'!$I$9:$I$1048576,'Mobile-Data'!$D$9:$D$1048576,$B186,'Mobile-Data'!$E$9:$E$1048576,'Mobile-Detail Calcs'!G$167,'Mobile-Data'!$G$9:$G$1048576,'Mobile-Detail Calcs'!G$168,'Mobile-Data'!$C$9:$C$1048576,'Mobile-Detail Calcs'!$C$162)</f>
        <v>0</v>
      </c>
      <c r="H186" s="144">
        <f>SUMIFS('Mobile-Data'!$I$9:$I$1048576,'Mobile-Data'!$D$9:$D$1048576,$B186,'Mobile-Data'!$E$9:$E$1048576,'Mobile-Detail Calcs'!H$167,'Mobile-Data'!$G$9:$G$1048576,'Mobile-Detail Calcs'!H$168,'Mobile-Data'!$C$9:$C$1048576,'Mobile-Detail Calcs'!$C$162)</f>
        <v>0</v>
      </c>
      <c r="I186" s="148">
        <f t="shared" si="94"/>
        <v>0</v>
      </c>
      <c r="K186" s="22">
        <v>1997</v>
      </c>
      <c r="L186" s="146">
        <f>C186*Factors!C230*g_kg*kg_mt*GWP_CH4</f>
        <v>0</v>
      </c>
      <c r="M186" s="146">
        <f>D186*Factors!D230*g_kg*kg_mt*GWP_CH4</f>
        <v>0</v>
      </c>
      <c r="N186" s="146">
        <f>E186*Factors!E230*g_kg*kg_mt*GWP_CH4</f>
        <v>0</v>
      </c>
      <c r="O186" s="146">
        <f>F186*Factors!F230*g_kg*kg_mt*GWP_CH4</f>
        <v>0</v>
      </c>
      <c r="P186" s="146">
        <f>G186*Factors!G230*g_kg*kg_mt*GWP_CH4</f>
        <v>0</v>
      </c>
      <c r="Q186" s="146">
        <f>H186*Factors!H230*g_kg*kg_mt*GWP_CH4</f>
        <v>0</v>
      </c>
      <c r="R186" s="151">
        <f t="shared" si="95"/>
        <v>0</v>
      </c>
      <c r="T186" s="22">
        <v>1997</v>
      </c>
      <c r="U186" s="146">
        <f>C186*Factors!K230*g_kg*kg_mt*GWP_N2O</f>
        <v>0</v>
      </c>
      <c r="V186" s="146">
        <f>D186*Factors!L230*g_kg*kg_mt*GWP_N2O</f>
        <v>0</v>
      </c>
      <c r="W186" s="146">
        <f>E186*Factors!M230*g_kg*kg_mt*GWP_N2O</f>
        <v>0</v>
      </c>
      <c r="X186" s="146">
        <f>F186*Factors!N230*g_kg*kg_mt*GWP_N2O</f>
        <v>0</v>
      </c>
      <c r="Y186" s="146">
        <f>G186*Factors!O230*g_kg*kg_mt*GWP_N2O</f>
        <v>0</v>
      </c>
      <c r="Z186" s="146">
        <f>H186*Factors!P230*g_kg*kg_mt*GWP_N2O</f>
        <v>0</v>
      </c>
      <c r="AA186" s="153">
        <f t="shared" si="96"/>
        <v>0</v>
      </c>
    </row>
    <row r="187" spans="2:27">
      <c r="B187" s="22">
        <v>1998</v>
      </c>
      <c r="C187" s="144">
        <f>SUMIFS('Mobile-Data'!$I$9:$I$1048576,'Mobile-Data'!$D$9:$D$1048576,$B187,'Mobile-Data'!$E$9:$E$1048576,'Mobile-Detail Calcs'!C$167,'Mobile-Data'!$G$9:$G$1048576,'Mobile-Detail Calcs'!C$168,'Mobile-Data'!$C$9:$C$1048576,'Mobile-Detail Calcs'!$C$162)</f>
        <v>0</v>
      </c>
      <c r="D187" s="144">
        <f>SUMIFS('Mobile-Data'!$I$9:$I$1048576,'Mobile-Data'!$D$9:$D$1048576,$B187,'Mobile-Data'!$E$9:$E$1048576,'Mobile-Detail Calcs'!D$167,'Mobile-Data'!$G$9:$G$1048576,'Mobile-Detail Calcs'!D$168,'Mobile-Data'!$C$9:$C$1048576,'Mobile-Detail Calcs'!$C$162)</f>
        <v>0</v>
      </c>
      <c r="E187" s="144">
        <f>SUMIFS('Mobile-Data'!$I$9:$I$1048576,'Mobile-Data'!$D$9:$D$1048576,$B187,'Mobile-Data'!$E$9:$E$1048576,'Mobile-Detail Calcs'!E$167,'Mobile-Data'!$G$9:$G$1048576,'Mobile-Detail Calcs'!E$168,'Mobile-Data'!$C$9:$C$1048576,'Mobile-Detail Calcs'!$C$162)</f>
        <v>0</v>
      </c>
      <c r="F187" s="144">
        <f>SUMIFS('Mobile-Data'!$I$9:$I$1048576,'Mobile-Data'!$D$9:$D$1048576,$B187,'Mobile-Data'!$E$9:$E$1048576,'Mobile-Detail Calcs'!F$167,'Mobile-Data'!$G$9:$G$1048576,'Mobile-Detail Calcs'!F$168,'Mobile-Data'!$C$9:$C$1048576,'Mobile-Detail Calcs'!$C$162)</f>
        <v>0</v>
      </c>
      <c r="G187" s="144">
        <f>SUMIFS('Mobile-Data'!$I$9:$I$1048576,'Mobile-Data'!$D$9:$D$1048576,$B187,'Mobile-Data'!$E$9:$E$1048576,'Mobile-Detail Calcs'!G$167,'Mobile-Data'!$G$9:$G$1048576,'Mobile-Detail Calcs'!G$168,'Mobile-Data'!$C$9:$C$1048576,'Mobile-Detail Calcs'!$C$162)</f>
        <v>0</v>
      </c>
      <c r="H187" s="144">
        <f>SUMIFS('Mobile-Data'!$I$9:$I$1048576,'Mobile-Data'!$D$9:$D$1048576,$B187,'Mobile-Data'!$E$9:$E$1048576,'Mobile-Detail Calcs'!H$167,'Mobile-Data'!$G$9:$G$1048576,'Mobile-Detail Calcs'!H$168,'Mobile-Data'!$C$9:$C$1048576,'Mobile-Detail Calcs'!$C$162)</f>
        <v>0</v>
      </c>
      <c r="I187" s="148">
        <f t="shared" si="94"/>
        <v>0</v>
      </c>
      <c r="K187" s="22">
        <v>1998</v>
      </c>
      <c r="L187" s="146">
        <f>C187*Factors!C231*g_kg*kg_mt*GWP_CH4</f>
        <v>0</v>
      </c>
      <c r="M187" s="146">
        <f>D187*Factors!D231*g_kg*kg_mt*GWP_CH4</f>
        <v>0</v>
      </c>
      <c r="N187" s="146">
        <f>E187*Factors!E231*g_kg*kg_mt*GWP_CH4</f>
        <v>0</v>
      </c>
      <c r="O187" s="146">
        <f>F187*Factors!F231*g_kg*kg_mt*GWP_CH4</f>
        <v>0</v>
      </c>
      <c r="P187" s="146">
        <f>G187*Factors!G231*g_kg*kg_mt*GWP_CH4</f>
        <v>0</v>
      </c>
      <c r="Q187" s="146">
        <f>H187*Factors!H231*g_kg*kg_mt*GWP_CH4</f>
        <v>0</v>
      </c>
      <c r="R187" s="151">
        <f t="shared" si="95"/>
        <v>0</v>
      </c>
      <c r="T187" s="22">
        <v>1998</v>
      </c>
      <c r="U187" s="146">
        <f>C187*Factors!K231*g_kg*kg_mt*GWP_N2O</f>
        <v>0</v>
      </c>
      <c r="V187" s="146">
        <f>D187*Factors!L231*g_kg*kg_mt*GWP_N2O</f>
        <v>0</v>
      </c>
      <c r="W187" s="146">
        <f>E187*Factors!M231*g_kg*kg_mt*GWP_N2O</f>
        <v>0</v>
      </c>
      <c r="X187" s="146">
        <f>F187*Factors!N231*g_kg*kg_mt*GWP_N2O</f>
        <v>0</v>
      </c>
      <c r="Y187" s="146">
        <f>G187*Factors!O231*g_kg*kg_mt*GWP_N2O</f>
        <v>0</v>
      </c>
      <c r="Z187" s="146">
        <f>H187*Factors!P231*g_kg*kg_mt*GWP_N2O</f>
        <v>0</v>
      </c>
      <c r="AA187" s="153">
        <f t="shared" si="96"/>
        <v>0</v>
      </c>
    </row>
    <row r="188" spans="2:27">
      <c r="B188" s="22">
        <v>1999</v>
      </c>
      <c r="C188" s="144">
        <f>SUMIFS('Mobile-Data'!$I$9:$I$1048576,'Mobile-Data'!$D$9:$D$1048576,$B188,'Mobile-Data'!$E$9:$E$1048576,'Mobile-Detail Calcs'!C$167,'Mobile-Data'!$G$9:$G$1048576,'Mobile-Detail Calcs'!C$168,'Mobile-Data'!$C$9:$C$1048576,'Mobile-Detail Calcs'!$C$162)</f>
        <v>0</v>
      </c>
      <c r="D188" s="144">
        <f>SUMIFS('Mobile-Data'!$I$9:$I$1048576,'Mobile-Data'!$D$9:$D$1048576,$B188,'Mobile-Data'!$E$9:$E$1048576,'Mobile-Detail Calcs'!D$167,'Mobile-Data'!$G$9:$G$1048576,'Mobile-Detail Calcs'!D$168,'Mobile-Data'!$C$9:$C$1048576,'Mobile-Detail Calcs'!$C$162)</f>
        <v>0</v>
      </c>
      <c r="E188" s="144">
        <f>SUMIFS('Mobile-Data'!$I$9:$I$1048576,'Mobile-Data'!$D$9:$D$1048576,$B188,'Mobile-Data'!$E$9:$E$1048576,'Mobile-Detail Calcs'!E$167,'Mobile-Data'!$G$9:$G$1048576,'Mobile-Detail Calcs'!E$168,'Mobile-Data'!$C$9:$C$1048576,'Mobile-Detail Calcs'!$C$162)</f>
        <v>0</v>
      </c>
      <c r="F188" s="144">
        <f>SUMIFS('Mobile-Data'!$I$9:$I$1048576,'Mobile-Data'!$D$9:$D$1048576,$B188,'Mobile-Data'!$E$9:$E$1048576,'Mobile-Detail Calcs'!F$167,'Mobile-Data'!$G$9:$G$1048576,'Mobile-Detail Calcs'!F$168,'Mobile-Data'!$C$9:$C$1048576,'Mobile-Detail Calcs'!$C$162)</f>
        <v>0</v>
      </c>
      <c r="G188" s="144">
        <f>SUMIFS('Mobile-Data'!$I$9:$I$1048576,'Mobile-Data'!$D$9:$D$1048576,$B188,'Mobile-Data'!$E$9:$E$1048576,'Mobile-Detail Calcs'!G$167,'Mobile-Data'!$G$9:$G$1048576,'Mobile-Detail Calcs'!G$168,'Mobile-Data'!$C$9:$C$1048576,'Mobile-Detail Calcs'!$C$162)</f>
        <v>0</v>
      </c>
      <c r="H188" s="144">
        <f>SUMIFS('Mobile-Data'!$I$9:$I$1048576,'Mobile-Data'!$D$9:$D$1048576,$B188,'Mobile-Data'!$E$9:$E$1048576,'Mobile-Detail Calcs'!H$167,'Mobile-Data'!$G$9:$G$1048576,'Mobile-Detail Calcs'!H$168,'Mobile-Data'!$C$9:$C$1048576,'Mobile-Detail Calcs'!$C$162)</f>
        <v>0</v>
      </c>
      <c r="I188" s="148">
        <f t="shared" si="94"/>
        <v>0</v>
      </c>
      <c r="K188" s="22">
        <v>1999</v>
      </c>
      <c r="L188" s="146">
        <f>C188*Factors!C232*g_kg*kg_mt*GWP_CH4</f>
        <v>0</v>
      </c>
      <c r="M188" s="146">
        <f>D188*Factors!D232*g_kg*kg_mt*GWP_CH4</f>
        <v>0</v>
      </c>
      <c r="N188" s="146">
        <f>E188*Factors!E232*g_kg*kg_mt*GWP_CH4</f>
        <v>0</v>
      </c>
      <c r="O188" s="146">
        <f>F188*Factors!F232*g_kg*kg_mt*GWP_CH4</f>
        <v>0</v>
      </c>
      <c r="P188" s="146">
        <f>G188*Factors!G232*g_kg*kg_mt*GWP_CH4</f>
        <v>0</v>
      </c>
      <c r="Q188" s="146">
        <f>H188*Factors!H232*g_kg*kg_mt*GWP_CH4</f>
        <v>0</v>
      </c>
      <c r="R188" s="151">
        <f t="shared" si="95"/>
        <v>0</v>
      </c>
      <c r="T188" s="22">
        <v>1999</v>
      </c>
      <c r="U188" s="146">
        <f>C188*Factors!K232*g_kg*kg_mt*GWP_N2O</f>
        <v>0</v>
      </c>
      <c r="V188" s="146">
        <f>D188*Factors!L232*g_kg*kg_mt*GWP_N2O</f>
        <v>0</v>
      </c>
      <c r="W188" s="146">
        <f>E188*Factors!M232*g_kg*kg_mt*GWP_N2O</f>
        <v>0</v>
      </c>
      <c r="X188" s="146">
        <f>F188*Factors!N232*g_kg*kg_mt*GWP_N2O</f>
        <v>0</v>
      </c>
      <c r="Y188" s="146">
        <f>G188*Factors!O232*g_kg*kg_mt*GWP_N2O</f>
        <v>0</v>
      </c>
      <c r="Z188" s="146">
        <f>H188*Factors!P232*g_kg*kg_mt*GWP_N2O</f>
        <v>0</v>
      </c>
      <c r="AA188" s="153">
        <f t="shared" si="96"/>
        <v>0</v>
      </c>
    </row>
    <row r="189" spans="2:27">
      <c r="B189" s="22">
        <v>2000</v>
      </c>
      <c r="C189" s="144">
        <f>SUMIFS('Mobile-Data'!$I$9:$I$1048576,'Mobile-Data'!$D$9:$D$1048576,$B189,'Mobile-Data'!$E$9:$E$1048576,'Mobile-Detail Calcs'!C$167,'Mobile-Data'!$G$9:$G$1048576,'Mobile-Detail Calcs'!C$168,'Mobile-Data'!$C$9:$C$1048576,'Mobile-Detail Calcs'!$C$162)</f>
        <v>0</v>
      </c>
      <c r="D189" s="144">
        <f>SUMIFS('Mobile-Data'!$I$9:$I$1048576,'Mobile-Data'!$D$9:$D$1048576,$B189,'Mobile-Data'!$E$9:$E$1048576,'Mobile-Detail Calcs'!D$167,'Mobile-Data'!$G$9:$G$1048576,'Mobile-Detail Calcs'!D$168,'Mobile-Data'!$C$9:$C$1048576,'Mobile-Detail Calcs'!$C$162)</f>
        <v>0</v>
      </c>
      <c r="E189" s="144">
        <f>SUMIFS('Mobile-Data'!$I$9:$I$1048576,'Mobile-Data'!$D$9:$D$1048576,$B189,'Mobile-Data'!$E$9:$E$1048576,'Mobile-Detail Calcs'!E$167,'Mobile-Data'!$G$9:$G$1048576,'Mobile-Detail Calcs'!E$168,'Mobile-Data'!$C$9:$C$1048576,'Mobile-Detail Calcs'!$C$162)</f>
        <v>0</v>
      </c>
      <c r="F189" s="144">
        <f>SUMIFS('Mobile-Data'!$I$9:$I$1048576,'Mobile-Data'!$D$9:$D$1048576,$B189,'Mobile-Data'!$E$9:$E$1048576,'Mobile-Detail Calcs'!F$167,'Mobile-Data'!$G$9:$G$1048576,'Mobile-Detail Calcs'!F$168,'Mobile-Data'!$C$9:$C$1048576,'Mobile-Detail Calcs'!$C$162)</f>
        <v>0</v>
      </c>
      <c r="G189" s="144">
        <f>SUMIFS('Mobile-Data'!$I$9:$I$1048576,'Mobile-Data'!$D$9:$D$1048576,$B189,'Mobile-Data'!$E$9:$E$1048576,'Mobile-Detail Calcs'!G$167,'Mobile-Data'!$G$9:$G$1048576,'Mobile-Detail Calcs'!G$168,'Mobile-Data'!$C$9:$C$1048576,'Mobile-Detail Calcs'!$C$162)</f>
        <v>0</v>
      </c>
      <c r="H189" s="144">
        <f>SUMIFS('Mobile-Data'!$I$9:$I$1048576,'Mobile-Data'!$D$9:$D$1048576,$B189,'Mobile-Data'!$E$9:$E$1048576,'Mobile-Detail Calcs'!H$167,'Mobile-Data'!$G$9:$G$1048576,'Mobile-Detail Calcs'!H$168,'Mobile-Data'!$C$9:$C$1048576,'Mobile-Detail Calcs'!$C$162)</f>
        <v>0</v>
      </c>
      <c r="I189" s="148">
        <f t="shared" si="94"/>
        <v>0</v>
      </c>
      <c r="K189" s="22">
        <v>2000</v>
      </c>
      <c r="L189" s="146">
        <f>C189*Factors!C233*g_kg*kg_mt*GWP_CH4</f>
        <v>0</v>
      </c>
      <c r="M189" s="146">
        <f>D189*Factors!D233*g_kg*kg_mt*GWP_CH4</f>
        <v>0</v>
      </c>
      <c r="N189" s="146">
        <f>E189*Factors!E233*g_kg*kg_mt*GWP_CH4</f>
        <v>0</v>
      </c>
      <c r="O189" s="146">
        <f>F189*Factors!F233*g_kg*kg_mt*GWP_CH4</f>
        <v>0</v>
      </c>
      <c r="P189" s="146">
        <f>G189*Factors!G233*g_kg*kg_mt*GWP_CH4</f>
        <v>0</v>
      </c>
      <c r="Q189" s="146">
        <f>H189*Factors!H233*g_kg*kg_mt*GWP_CH4</f>
        <v>0</v>
      </c>
      <c r="R189" s="151">
        <f t="shared" si="95"/>
        <v>0</v>
      </c>
      <c r="T189" s="22">
        <v>2000</v>
      </c>
      <c r="U189" s="146">
        <f>C189*Factors!K233*g_kg*kg_mt*GWP_N2O</f>
        <v>0</v>
      </c>
      <c r="V189" s="146">
        <f>D189*Factors!L233*g_kg*kg_mt*GWP_N2O</f>
        <v>0</v>
      </c>
      <c r="W189" s="146">
        <f>E189*Factors!M233*g_kg*kg_mt*GWP_N2O</f>
        <v>0</v>
      </c>
      <c r="X189" s="146">
        <f>F189*Factors!N233*g_kg*kg_mt*GWP_N2O</f>
        <v>0</v>
      </c>
      <c r="Y189" s="146">
        <f>G189*Factors!O233*g_kg*kg_mt*GWP_N2O</f>
        <v>0</v>
      </c>
      <c r="Z189" s="146">
        <f>H189*Factors!P233*g_kg*kg_mt*GWP_N2O</f>
        <v>0</v>
      </c>
      <c r="AA189" s="153">
        <f t="shared" si="96"/>
        <v>0</v>
      </c>
    </row>
    <row r="190" spans="2:27">
      <c r="B190" s="22">
        <v>2001</v>
      </c>
      <c r="C190" s="144">
        <f>SUMIFS('Mobile-Data'!$I$9:$I$1048576,'Mobile-Data'!$D$9:$D$1048576,$B190,'Mobile-Data'!$E$9:$E$1048576,'Mobile-Detail Calcs'!C$167,'Mobile-Data'!$G$9:$G$1048576,'Mobile-Detail Calcs'!C$168,'Mobile-Data'!$C$9:$C$1048576,'Mobile-Detail Calcs'!$C$162)</f>
        <v>0</v>
      </c>
      <c r="D190" s="144">
        <f>SUMIFS('Mobile-Data'!$I$9:$I$1048576,'Mobile-Data'!$D$9:$D$1048576,$B190,'Mobile-Data'!$E$9:$E$1048576,'Mobile-Detail Calcs'!D$167,'Mobile-Data'!$G$9:$G$1048576,'Mobile-Detail Calcs'!D$168,'Mobile-Data'!$C$9:$C$1048576,'Mobile-Detail Calcs'!$C$162)</f>
        <v>0</v>
      </c>
      <c r="E190" s="144">
        <f>SUMIFS('Mobile-Data'!$I$9:$I$1048576,'Mobile-Data'!$D$9:$D$1048576,$B190,'Mobile-Data'!$E$9:$E$1048576,'Mobile-Detail Calcs'!E$167,'Mobile-Data'!$G$9:$G$1048576,'Mobile-Detail Calcs'!E$168,'Mobile-Data'!$C$9:$C$1048576,'Mobile-Detail Calcs'!$C$162)</f>
        <v>0</v>
      </c>
      <c r="F190" s="144">
        <f>SUMIFS('Mobile-Data'!$I$9:$I$1048576,'Mobile-Data'!$D$9:$D$1048576,$B190,'Mobile-Data'!$E$9:$E$1048576,'Mobile-Detail Calcs'!F$167,'Mobile-Data'!$G$9:$G$1048576,'Mobile-Detail Calcs'!F$168,'Mobile-Data'!$C$9:$C$1048576,'Mobile-Detail Calcs'!$C$162)</f>
        <v>0</v>
      </c>
      <c r="G190" s="144">
        <f>SUMIFS('Mobile-Data'!$I$9:$I$1048576,'Mobile-Data'!$D$9:$D$1048576,$B190,'Mobile-Data'!$E$9:$E$1048576,'Mobile-Detail Calcs'!G$167,'Mobile-Data'!$G$9:$G$1048576,'Mobile-Detail Calcs'!G$168,'Mobile-Data'!$C$9:$C$1048576,'Mobile-Detail Calcs'!$C$162)</f>
        <v>0</v>
      </c>
      <c r="H190" s="144">
        <f>SUMIFS('Mobile-Data'!$I$9:$I$1048576,'Mobile-Data'!$D$9:$D$1048576,$B190,'Mobile-Data'!$E$9:$E$1048576,'Mobile-Detail Calcs'!H$167,'Mobile-Data'!$G$9:$G$1048576,'Mobile-Detail Calcs'!H$168,'Mobile-Data'!$C$9:$C$1048576,'Mobile-Detail Calcs'!$C$162)</f>
        <v>0</v>
      </c>
      <c r="I190" s="148">
        <f t="shared" si="94"/>
        <v>0</v>
      </c>
      <c r="K190" s="22">
        <v>2001</v>
      </c>
      <c r="L190" s="146">
        <f>C190*Factors!C234*g_kg*kg_mt*GWP_CH4</f>
        <v>0</v>
      </c>
      <c r="M190" s="146">
        <f>D190*Factors!D234*g_kg*kg_mt*GWP_CH4</f>
        <v>0</v>
      </c>
      <c r="N190" s="146">
        <f>E190*Factors!E234*g_kg*kg_mt*GWP_CH4</f>
        <v>0</v>
      </c>
      <c r="O190" s="146">
        <f>F190*Factors!F234*g_kg*kg_mt*GWP_CH4</f>
        <v>0</v>
      </c>
      <c r="P190" s="146">
        <f>G190*Factors!G234*g_kg*kg_mt*GWP_CH4</f>
        <v>0</v>
      </c>
      <c r="Q190" s="146">
        <f>H190*Factors!H234*g_kg*kg_mt*GWP_CH4</f>
        <v>0</v>
      </c>
      <c r="R190" s="151">
        <f t="shared" si="95"/>
        <v>0</v>
      </c>
      <c r="T190" s="22">
        <v>2001</v>
      </c>
      <c r="U190" s="146">
        <f>C190*Factors!K234*g_kg*kg_mt*GWP_N2O</f>
        <v>0</v>
      </c>
      <c r="V190" s="146">
        <f>D190*Factors!L234*g_kg*kg_mt*GWP_N2O</f>
        <v>0</v>
      </c>
      <c r="W190" s="146">
        <f>E190*Factors!M234*g_kg*kg_mt*GWP_N2O</f>
        <v>0</v>
      </c>
      <c r="X190" s="146">
        <f>F190*Factors!N234*g_kg*kg_mt*GWP_N2O</f>
        <v>0</v>
      </c>
      <c r="Y190" s="146">
        <f>G190*Factors!O234*g_kg*kg_mt*GWP_N2O</f>
        <v>0</v>
      </c>
      <c r="Z190" s="146">
        <f>H190*Factors!P234*g_kg*kg_mt*GWP_N2O</f>
        <v>0</v>
      </c>
      <c r="AA190" s="153">
        <f t="shared" si="96"/>
        <v>0</v>
      </c>
    </row>
    <row r="191" spans="2:27">
      <c r="B191" s="22">
        <v>2002</v>
      </c>
      <c r="C191" s="144">
        <f>SUMIFS('Mobile-Data'!$I$9:$I$1048576,'Mobile-Data'!$D$9:$D$1048576,$B191,'Mobile-Data'!$E$9:$E$1048576,'Mobile-Detail Calcs'!C$167,'Mobile-Data'!$G$9:$G$1048576,'Mobile-Detail Calcs'!C$168,'Mobile-Data'!$C$9:$C$1048576,'Mobile-Detail Calcs'!$C$162)</f>
        <v>0</v>
      </c>
      <c r="D191" s="144">
        <f>SUMIFS('Mobile-Data'!$I$9:$I$1048576,'Mobile-Data'!$D$9:$D$1048576,$B191,'Mobile-Data'!$E$9:$E$1048576,'Mobile-Detail Calcs'!D$167,'Mobile-Data'!$G$9:$G$1048576,'Mobile-Detail Calcs'!D$168,'Mobile-Data'!$C$9:$C$1048576,'Mobile-Detail Calcs'!$C$162)</f>
        <v>0</v>
      </c>
      <c r="E191" s="144">
        <f>SUMIFS('Mobile-Data'!$I$9:$I$1048576,'Mobile-Data'!$D$9:$D$1048576,$B191,'Mobile-Data'!$E$9:$E$1048576,'Mobile-Detail Calcs'!E$167,'Mobile-Data'!$G$9:$G$1048576,'Mobile-Detail Calcs'!E$168,'Mobile-Data'!$C$9:$C$1048576,'Mobile-Detail Calcs'!$C$162)</f>
        <v>0</v>
      </c>
      <c r="F191" s="144">
        <f>SUMIFS('Mobile-Data'!$I$9:$I$1048576,'Mobile-Data'!$D$9:$D$1048576,$B191,'Mobile-Data'!$E$9:$E$1048576,'Mobile-Detail Calcs'!F$167,'Mobile-Data'!$G$9:$G$1048576,'Mobile-Detail Calcs'!F$168,'Mobile-Data'!$C$9:$C$1048576,'Mobile-Detail Calcs'!$C$162)</f>
        <v>0</v>
      </c>
      <c r="G191" s="144">
        <f>SUMIFS('Mobile-Data'!$I$9:$I$1048576,'Mobile-Data'!$D$9:$D$1048576,$B191,'Mobile-Data'!$E$9:$E$1048576,'Mobile-Detail Calcs'!G$167,'Mobile-Data'!$G$9:$G$1048576,'Mobile-Detail Calcs'!G$168,'Mobile-Data'!$C$9:$C$1048576,'Mobile-Detail Calcs'!$C$162)</f>
        <v>0</v>
      </c>
      <c r="H191" s="144">
        <f>SUMIFS('Mobile-Data'!$I$9:$I$1048576,'Mobile-Data'!$D$9:$D$1048576,$B191,'Mobile-Data'!$E$9:$E$1048576,'Mobile-Detail Calcs'!H$167,'Mobile-Data'!$G$9:$G$1048576,'Mobile-Detail Calcs'!H$168,'Mobile-Data'!$C$9:$C$1048576,'Mobile-Detail Calcs'!$C$162)</f>
        <v>0</v>
      </c>
      <c r="I191" s="148">
        <f t="shared" si="94"/>
        <v>0</v>
      </c>
      <c r="K191" s="22">
        <v>2002</v>
      </c>
      <c r="L191" s="146">
        <f>C191*Factors!C235*g_kg*kg_mt*GWP_CH4</f>
        <v>0</v>
      </c>
      <c r="M191" s="146">
        <f>D191*Factors!D235*g_kg*kg_mt*GWP_CH4</f>
        <v>0</v>
      </c>
      <c r="N191" s="146">
        <f>E191*Factors!E235*g_kg*kg_mt*GWP_CH4</f>
        <v>0</v>
      </c>
      <c r="O191" s="146">
        <f>F191*Factors!F235*g_kg*kg_mt*GWP_CH4</f>
        <v>0</v>
      </c>
      <c r="P191" s="146">
        <f>G191*Factors!G235*g_kg*kg_mt*GWP_CH4</f>
        <v>0</v>
      </c>
      <c r="Q191" s="146">
        <f>H191*Factors!H235*g_kg*kg_mt*GWP_CH4</f>
        <v>0</v>
      </c>
      <c r="R191" s="151">
        <f t="shared" si="95"/>
        <v>0</v>
      </c>
      <c r="T191" s="22">
        <v>2002</v>
      </c>
      <c r="U191" s="146">
        <f>C191*Factors!K235*g_kg*kg_mt*GWP_N2O</f>
        <v>0</v>
      </c>
      <c r="V191" s="146">
        <f>D191*Factors!L235*g_kg*kg_mt*GWP_N2O</f>
        <v>0</v>
      </c>
      <c r="W191" s="146">
        <f>E191*Factors!M235*g_kg*kg_mt*GWP_N2O</f>
        <v>0</v>
      </c>
      <c r="X191" s="146">
        <f>F191*Factors!N235*g_kg*kg_mt*GWP_N2O</f>
        <v>0</v>
      </c>
      <c r="Y191" s="146">
        <f>G191*Factors!O235*g_kg*kg_mt*GWP_N2O</f>
        <v>0</v>
      </c>
      <c r="Z191" s="146">
        <f>H191*Factors!P235*g_kg*kg_mt*GWP_N2O</f>
        <v>0</v>
      </c>
      <c r="AA191" s="153">
        <f t="shared" si="96"/>
        <v>0</v>
      </c>
    </row>
    <row r="192" spans="2:27">
      <c r="B192" s="22">
        <v>2003</v>
      </c>
      <c r="C192" s="144">
        <f>SUMIFS('Mobile-Data'!$I$9:$I$1048576,'Mobile-Data'!$D$9:$D$1048576,$B192,'Mobile-Data'!$E$9:$E$1048576,'Mobile-Detail Calcs'!C$167,'Mobile-Data'!$G$9:$G$1048576,'Mobile-Detail Calcs'!C$168,'Mobile-Data'!$C$9:$C$1048576,'Mobile-Detail Calcs'!$C$162)</f>
        <v>0</v>
      </c>
      <c r="D192" s="144">
        <f>SUMIFS('Mobile-Data'!$I$9:$I$1048576,'Mobile-Data'!$D$9:$D$1048576,$B192,'Mobile-Data'!$E$9:$E$1048576,'Mobile-Detail Calcs'!D$167,'Mobile-Data'!$G$9:$G$1048576,'Mobile-Detail Calcs'!D$168,'Mobile-Data'!$C$9:$C$1048576,'Mobile-Detail Calcs'!$C$162)</f>
        <v>0</v>
      </c>
      <c r="E192" s="144">
        <f>SUMIFS('Mobile-Data'!$I$9:$I$1048576,'Mobile-Data'!$D$9:$D$1048576,$B192,'Mobile-Data'!$E$9:$E$1048576,'Mobile-Detail Calcs'!E$167,'Mobile-Data'!$G$9:$G$1048576,'Mobile-Detail Calcs'!E$168,'Mobile-Data'!$C$9:$C$1048576,'Mobile-Detail Calcs'!$C$162)</f>
        <v>0</v>
      </c>
      <c r="F192" s="144">
        <f>SUMIFS('Mobile-Data'!$I$9:$I$1048576,'Mobile-Data'!$D$9:$D$1048576,$B192,'Mobile-Data'!$E$9:$E$1048576,'Mobile-Detail Calcs'!F$167,'Mobile-Data'!$G$9:$G$1048576,'Mobile-Detail Calcs'!F$168,'Mobile-Data'!$C$9:$C$1048576,'Mobile-Detail Calcs'!$C$162)</f>
        <v>0</v>
      </c>
      <c r="G192" s="144">
        <f>SUMIFS('Mobile-Data'!$I$9:$I$1048576,'Mobile-Data'!$D$9:$D$1048576,$B192,'Mobile-Data'!$E$9:$E$1048576,'Mobile-Detail Calcs'!G$167,'Mobile-Data'!$G$9:$G$1048576,'Mobile-Detail Calcs'!G$168,'Mobile-Data'!$C$9:$C$1048576,'Mobile-Detail Calcs'!$C$162)</f>
        <v>0</v>
      </c>
      <c r="H192" s="144">
        <f>SUMIFS('Mobile-Data'!$I$9:$I$1048576,'Mobile-Data'!$D$9:$D$1048576,$B192,'Mobile-Data'!$E$9:$E$1048576,'Mobile-Detail Calcs'!H$167,'Mobile-Data'!$G$9:$G$1048576,'Mobile-Detail Calcs'!H$168,'Mobile-Data'!$C$9:$C$1048576,'Mobile-Detail Calcs'!$C$162)</f>
        <v>0</v>
      </c>
      <c r="I192" s="148">
        <f t="shared" si="94"/>
        <v>0</v>
      </c>
      <c r="K192" s="22">
        <v>2003</v>
      </c>
      <c r="L192" s="146">
        <f>C192*Factors!C236*g_kg*kg_mt*GWP_CH4</f>
        <v>0</v>
      </c>
      <c r="M192" s="146">
        <f>D192*Factors!D236*g_kg*kg_mt*GWP_CH4</f>
        <v>0</v>
      </c>
      <c r="N192" s="146">
        <f>E192*Factors!E236*g_kg*kg_mt*GWP_CH4</f>
        <v>0</v>
      </c>
      <c r="O192" s="146">
        <f>F192*Factors!F236*g_kg*kg_mt*GWP_CH4</f>
        <v>0</v>
      </c>
      <c r="P192" s="146">
        <f>G192*Factors!G236*g_kg*kg_mt*GWP_CH4</f>
        <v>0</v>
      </c>
      <c r="Q192" s="146">
        <f>H192*Factors!H236*g_kg*kg_mt*GWP_CH4</f>
        <v>0</v>
      </c>
      <c r="R192" s="151">
        <f t="shared" si="95"/>
        <v>0</v>
      </c>
      <c r="T192" s="22">
        <v>2003</v>
      </c>
      <c r="U192" s="146">
        <f>C192*Factors!K236*g_kg*kg_mt*GWP_N2O</f>
        <v>0</v>
      </c>
      <c r="V192" s="146">
        <f>D192*Factors!L236*g_kg*kg_mt*GWP_N2O</f>
        <v>0</v>
      </c>
      <c r="W192" s="146">
        <f>E192*Factors!M236*g_kg*kg_mt*GWP_N2O</f>
        <v>0</v>
      </c>
      <c r="X192" s="146">
        <f>F192*Factors!N236*g_kg*kg_mt*GWP_N2O</f>
        <v>0</v>
      </c>
      <c r="Y192" s="146">
        <f>G192*Factors!O236*g_kg*kg_mt*GWP_N2O</f>
        <v>0</v>
      </c>
      <c r="Z192" s="146">
        <f>H192*Factors!P236*g_kg*kg_mt*GWP_N2O</f>
        <v>0</v>
      </c>
      <c r="AA192" s="153">
        <f t="shared" si="96"/>
        <v>0</v>
      </c>
    </row>
    <row r="193" spans="2:27">
      <c r="B193" s="22">
        <v>2004</v>
      </c>
      <c r="C193" s="144">
        <f>SUMIFS('Mobile-Data'!$I$9:$I$1048576,'Mobile-Data'!$D$9:$D$1048576,$B193,'Mobile-Data'!$E$9:$E$1048576,'Mobile-Detail Calcs'!C$167,'Mobile-Data'!$G$9:$G$1048576,'Mobile-Detail Calcs'!C$168,'Mobile-Data'!$C$9:$C$1048576,'Mobile-Detail Calcs'!$C$162)</f>
        <v>0</v>
      </c>
      <c r="D193" s="144">
        <f>SUMIFS('Mobile-Data'!$I$9:$I$1048576,'Mobile-Data'!$D$9:$D$1048576,$B193,'Mobile-Data'!$E$9:$E$1048576,'Mobile-Detail Calcs'!D$167,'Mobile-Data'!$G$9:$G$1048576,'Mobile-Detail Calcs'!D$168,'Mobile-Data'!$C$9:$C$1048576,'Mobile-Detail Calcs'!$C$162)</f>
        <v>0</v>
      </c>
      <c r="E193" s="144">
        <f>SUMIFS('Mobile-Data'!$I$9:$I$1048576,'Mobile-Data'!$D$9:$D$1048576,$B193,'Mobile-Data'!$E$9:$E$1048576,'Mobile-Detail Calcs'!E$167,'Mobile-Data'!$G$9:$G$1048576,'Mobile-Detail Calcs'!E$168,'Mobile-Data'!$C$9:$C$1048576,'Mobile-Detail Calcs'!$C$162)</f>
        <v>0</v>
      </c>
      <c r="F193" s="144">
        <f>SUMIFS('Mobile-Data'!$I$9:$I$1048576,'Mobile-Data'!$D$9:$D$1048576,$B193,'Mobile-Data'!$E$9:$E$1048576,'Mobile-Detail Calcs'!F$167,'Mobile-Data'!$G$9:$G$1048576,'Mobile-Detail Calcs'!F$168,'Mobile-Data'!$C$9:$C$1048576,'Mobile-Detail Calcs'!$C$162)</f>
        <v>0</v>
      </c>
      <c r="G193" s="144">
        <f>SUMIFS('Mobile-Data'!$I$9:$I$1048576,'Mobile-Data'!$D$9:$D$1048576,$B193,'Mobile-Data'!$E$9:$E$1048576,'Mobile-Detail Calcs'!G$167,'Mobile-Data'!$G$9:$G$1048576,'Mobile-Detail Calcs'!G$168,'Mobile-Data'!$C$9:$C$1048576,'Mobile-Detail Calcs'!$C$162)</f>
        <v>0</v>
      </c>
      <c r="H193" s="144">
        <f>SUMIFS('Mobile-Data'!$I$9:$I$1048576,'Mobile-Data'!$D$9:$D$1048576,$B193,'Mobile-Data'!$E$9:$E$1048576,'Mobile-Detail Calcs'!H$167,'Mobile-Data'!$G$9:$G$1048576,'Mobile-Detail Calcs'!H$168,'Mobile-Data'!$C$9:$C$1048576,'Mobile-Detail Calcs'!$C$162)</f>
        <v>0</v>
      </c>
      <c r="I193" s="148">
        <f t="shared" si="94"/>
        <v>0</v>
      </c>
      <c r="K193" s="22">
        <v>2004</v>
      </c>
      <c r="L193" s="146">
        <f>C193*Factors!C237*g_kg*kg_mt*GWP_CH4</f>
        <v>0</v>
      </c>
      <c r="M193" s="146">
        <f>D193*Factors!D237*g_kg*kg_mt*GWP_CH4</f>
        <v>0</v>
      </c>
      <c r="N193" s="146">
        <f>E193*Factors!E237*g_kg*kg_mt*GWP_CH4</f>
        <v>0</v>
      </c>
      <c r="O193" s="146">
        <f>F193*Factors!F237*g_kg*kg_mt*GWP_CH4</f>
        <v>0</v>
      </c>
      <c r="P193" s="146">
        <f>G193*Factors!G237*g_kg*kg_mt*GWP_CH4</f>
        <v>0</v>
      </c>
      <c r="Q193" s="146">
        <f>H193*Factors!H237*g_kg*kg_mt*GWP_CH4</f>
        <v>0</v>
      </c>
      <c r="R193" s="151">
        <f t="shared" si="95"/>
        <v>0</v>
      </c>
      <c r="T193" s="22">
        <v>2004</v>
      </c>
      <c r="U193" s="146">
        <f>C193*Factors!K237*g_kg*kg_mt*GWP_N2O</f>
        <v>0</v>
      </c>
      <c r="V193" s="146">
        <f>D193*Factors!L237*g_kg*kg_mt*GWP_N2O</f>
        <v>0</v>
      </c>
      <c r="W193" s="146">
        <f>E193*Factors!M237*g_kg*kg_mt*GWP_N2O</f>
        <v>0</v>
      </c>
      <c r="X193" s="146">
        <f>F193*Factors!N237*g_kg*kg_mt*GWP_N2O</f>
        <v>0</v>
      </c>
      <c r="Y193" s="146">
        <f>G193*Factors!O237*g_kg*kg_mt*GWP_N2O</f>
        <v>0</v>
      </c>
      <c r="Z193" s="146">
        <f>H193*Factors!P237*g_kg*kg_mt*GWP_N2O</f>
        <v>0</v>
      </c>
      <c r="AA193" s="153">
        <f t="shared" si="96"/>
        <v>0</v>
      </c>
    </row>
    <row r="194" spans="2:27">
      <c r="B194" s="22">
        <v>2005</v>
      </c>
      <c r="C194" s="144">
        <f>SUMIFS('Mobile-Data'!$I$9:$I$1048576,'Mobile-Data'!$D$9:$D$1048576,$B194,'Mobile-Data'!$E$9:$E$1048576,'Mobile-Detail Calcs'!C$167,'Mobile-Data'!$G$9:$G$1048576,'Mobile-Detail Calcs'!C$168,'Mobile-Data'!$C$9:$C$1048576,'Mobile-Detail Calcs'!$C$162)</f>
        <v>0</v>
      </c>
      <c r="D194" s="144">
        <f>SUMIFS('Mobile-Data'!$I$9:$I$1048576,'Mobile-Data'!$D$9:$D$1048576,$B194,'Mobile-Data'!$E$9:$E$1048576,'Mobile-Detail Calcs'!D$167,'Mobile-Data'!$G$9:$G$1048576,'Mobile-Detail Calcs'!D$168,'Mobile-Data'!$C$9:$C$1048576,'Mobile-Detail Calcs'!$C$162)</f>
        <v>0</v>
      </c>
      <c r="E194" s="144">
        <f>SUMIFS('Mobile-Data'!$I$9:$I$1048576,'Mobile-Data'!$D$9:$D$1048576,$B194,'Mobile-Data'!$E$9:$E$1048576,'Mobile-Detail Calcs'!E$167,'Mobile-Data'!$G$9:$G$1048576,'Mobile-Detail Calcs'!E$168,'Mobile-Data'!$C$9:$C$1048576,'Mobile-Detail Calcs'!$C$162)</f>
        <v>0</v>
      </c>
      <c r="F194" s="144">
        <f>SUMIFS('Mobile-Data'!$I$9:$I$1048576,'Mobile-Data'!$D$9:$D$1048576,$B194,'Mobile-Data'!$E$9:$E$1048576,'Mobile-Detail Calcs'!F$167,'Mobile-Data'!$G$9:$G$1048576,'Mobile-Detail Calcs'!F$168,'Mobile-Data'!$C$9:$C$1048576,'Mobile-Detail Calcs'!$C$162)</f>
        <v>0</v>
      </c>
      <c r="G194" s="144">
        <f>SUMIFS('Mobile-Data'!$I$9:$I$1048576,'Mobile-Data'!$D$9:$D$1048576,$B194,'Mobile-Data'!$E$9:$E$1048576,'Mobile-Detail Calcs'!G$167,'Mobile-Data'!$G$9:$G$1048576,'Mobile-Detail Calcs'!G$168,'Mobile-Data'!$C$9:$C$1048576,'Mobile-Detail Calcs'!$C$162)</f>
        <v>0</v>
      </c>
      <c r="H194" s="144">
        <f>SUMIFS('Mobile-Data'!$I$9:$I$1048576,'Mobile-Data'!$D$9:$D$1048576,$B194,'Mobile-Data'!$E$9:$E$1048576,'Mobile-Detail Calcs'!H$167,'Mobile-Data'!$G$9:$G$1048576,'Mobile-Detail Calcs'!H$168,'Mobile-Data'!$C$9:$C$1048576,'Mobile-Detail Calcs'!$C$162)</f>
        <v>0</v>
      </c>
      <c r="I194" s="148">
        <f t="shared" si="94"/>
        <v>0</v>
      </c>
      <c r="K194" s="22">
        <v>2005</v>
      </c>
      <c r="L194" s="146">
        <f>C194*Factors!C238*g_kg*kg_mt*GWP_CH4</f>
        <v>0</v>
      </c>
      <c r="M194" s="146">
        <f>D194*Factors!D238*g_kg*kg_mt*GWP_CH4</f>
        <v>0</v>
      </c>
      <c r="N194" s="146">
        <f>E194*Factors!E238*g_kg*kg_mt*GWP_CH4</f>
        <v>0</v>
      </c>
      <c r="O194" s="146">
        <f>F194*Factors!F238*g_kg*kg_mt*GWP_CH4</f>
        <v>0</v>
      </c>
      <c r="P194" s="146">
        <f>G194*Factors!G238*g_kg*kg_mt*GWP_CH4</f>
        <v>0</v>
      </c>
      <c r="Q194" s="146">
        <f>H194*Factors!H238*g_kg*kg_mt*GWP_CH4</f>
        <v>0</v>
      </c>
      <c r="R194" s="151">
        <f t="shared" si="95"/>
        <v>0</v>
      </c>
      <c r="T194" s="22">
        <v>2005</v>
      </c>
      <c r="U194" s="146">
        <f>C194*Factors!K238*g_kg*kg_mt*GWP_N2O</f>
        <v>0</v>
      </c>
      <c r="V194" s="146">
        <f>D194*Factors!L238*g_kg*kg_mt*GWP_N2O</f>
        <v>0</v>
      </c>
      <c r="W194" s="146">
        <f>E194*Factors!M238*g_kg*kg_mt*GWP_N2O</f>
        <v>0</v>
      </c>
      <c r="X194" s="146">
        <f>F194*Factors!N238*g_kg*kg_mt*GWP_N2O</f>
        <v>0</v>
      </c>
      <c r="Y194" s="146">
        <f>G194*Factors!O238*g_kg*kg_mt*GWP_N2O</f>
        <v>0</v>
      </c>
      <c r="Z194" s="146">
        <f>H194*Factors!P238*g_kg*kg_mt*GWP_N2O</f>
        <v>0</v>
      </c>
      <c r="AA194" s="153">
        <f t="shared" si="96"/>
        <v>0</v>
      </c>
    </row>
    <row r="195" spans="2:27">
      <c r="B195" s="22">
        <v>2006</v>
      </c>
      <c r="C195" s="144">
        <f>SUMIFS('Mobile-Data'!$I$9:$I$1048576,'Mobile-Data'!$D$9:$D$1048576,$B195,'Mobile-Data'!$E$9:$E$1048576,'Mobile-Detail Calcs'!C$167,'Mobile-Data'!$G$9:$G$1048576,'Mobile-Detail Calcs'!C$168,'Mobile-Data'!$C$9:$C$1048576,'Mobile-Detail Calcs'!$C$162)</f>
        <v>0</v>
      </c>
      <c r="D195" s="144">
        <f>SUMIFS('Mobile-Data'!$I$9:$I$1048576,'Mobile-Data'!$D$9:$D$1048576,$B195,'Mobile-Data'!$E$9:$E$1048576,'Mobile-Detail Calcs'!D$167,'Mobile-Data'!$G$9:$G$1048576,'Mobile-Detail Calcs'!D$168,'Mobile-Data'!$C$9:$C$1048576,'Mobile-Detail Calcs'!$C$162)</f>
        <v>0</v>
      </c>
      <c r="E195" s="144">
        <f>SUMIFS('Mobile-Data'!$I$9:$I$1048576,'Mobile-Data'!$D$9:$D$1048576,$B195,'Mobile-Data'!$E$9:$E$1048576,'Mobile-Detail Calcs'!E$167,'Mobile-Data'!$G$9:$G$1048576,'Mobile-Detail Calcs'!E$168,'Mobile-Data'!$C$9:$C$1048576,'Mobile-Detail Calcs'!$C$162)</f>
        <v>0</v>
      </c>
      <c r="F195" s="144">
        <f>SUMIFS('Mobile-Data'!$I$9:$I$1048576,'Mobile-Data'!$D$9:$D$1048576,$B195,'Mobile-Data'!$E$9:$E$1048576,'Mobile-Detail Calcs'!F$167,'Mobile-Data'!$G$9:$G$1048576,'Mobile-Detail Calcs'!F$168,'Mobile-Data'!$C$9:$C$1048576,'Mobile-Detail Calcs'!$C$162)</f>
        <v>0</v>
      </c>
      <c r="G195" s="144">
        <f>SUMIFS('Mobile-Data'!$I$9:$I$1048576,'Mobile-Data'!$D$9:$D$1048576,$B195,'Mobile-Data'!$E$9:$E$1048576,'Mobile-Detail Calcs'!G$167,'Mobile-Data'!$G$9:$G$1048576,'Mobile-Detail Calcs'!G$168,'Mobile-Data'!$C$9:$C$1048576,'Mobile-Detail Calcs'!$C$162)</f>
        <v>0</v>
      </c>
      <c r="H195" s="144">
        <f>SUMIFS('Mobile-Data'!$I$9:$I$1048576,'Mobile-Data'!$D$9:$D$1048576,$B195,'Mobile-Data'!$E$9:$E$1048576,'Mobile-Detail Calcs'!H$167,'Mobile-Data'!$G$9:$G$1048576,'Mobile-Detail Calcs'!H$168,'Mobile-Data'!$C$9:$C$1048576,'Mobile-Detail Calcs'!$C$162)</f>
        <v>0</v>
      </c>
      <c r="I195" s="148">
        <f t="shared" si="94"/>
        <v>0</v>
      </c>
      <c r="K195" s="22">
        <v>2006</v>
      </c>
      <c r="L195" s="146">
        <f>C195*Factors!C239*g_kg*kg_mt*GWP_CH4</f>
        <v>0</v>
      </c>
      <c r="M195" s="146">
        <f>D195*Factors!D239*g_kg*kg_mt*GWP_CH4</f>
        <v>0</v>
      </c>
      <c r="N195" s="146">
        <f>E195*Factors!E239*g_kg*kg_mt*GWP_CH4</f>
        <v>0</v>
      </c>
      <c r="O195" s="146">
        <f>F195*Factors!F239*g_kg*kg_mt*GWP_CH4</f>
        <v>0</v>
      </c>
      <c r="P195" s="146">
        <f>G195*Factors!G239*g_kg*kg_mt*GWP_CH4</f>
        <v>0</v>
      </c>
      <c r="Q195" s="146">
        <f>H195*Factors!H239*g_kg*kg_mt*GWP_CH4</f>
        <v>0</v>
      </c>
      <c r="R195" s="151">
        <f t="shared" si="95"/>
        <v>0</v>
      </c>
      <c r="T195" s="22">
        <v>2006</v>
      </c>
      <c r="U195" s="146">
        <f>C195*Factors!K239*g_kg*kg_mt*GWP_N2O</f>
        <v>0</v>
      </c>
      <c r="V195" s="146">
        <f>D195*Factors!L239*g_kg*kg_mt*GWP_N2O</f>
        <v>0</v>
      </c>
      <c r="W195" s="146">
        <f>E195*Factors!M239*g_kg*kg_mt*GWP_N2O</f>
        <v>0</v>
      </c>
      <c r="X195" s="146">
        <f>F195*Factors!N239*g_kg*kg_mt*GWP_N2O</f>
        <v>0</v>
      </c>
      <c r="Y195" s="146">
        <f>G195*Factors!O239*g_kg*kg_mt*GWP_N2O</f>
        <v>0</v>
      </c>
      <c r="Z195" s="146">
        <f>H195*Factors!P239*g_kg*kg_mt*GWP_N2O</f>
        <v>0</v>
      </c>
      <c r="AA195" s="153">
        <f t="shared" si="96"/>
        <v>0</v>
      </c>
    </row>
    <row r="196" spans="2:27">
      <c r="B196" s="22">
        <v>2007</v>
      </c>
      <c r="C196" s="144">
        <f>SUMIFS('Mobile-Data'!$I$9:$I$1048576,'Mobile-Data'!$D$9:$D$1048576,$B196,'Mobile-Data'!$E$9:$E$1048576,'Mobile-Detail Calcs'!C$167,'Mobile-Data'!$G$9:$G$1048576,'Mobile-Detail Calcs'!C$168,'Mobile-Data'!$C$9:$C$1048576,'Mobile-Detail Calcs'!$C$162)</f>
        <v>0</v>
      </c>
      <c r="D196" s="144">
        <f>SUMIFS('Mobile-Data'!$I$9:$I$1048576,'Mobile-Data'!$D$9:$D$1048576,$B196,'Mobile-Data'!$E$9:$E$1048576,'Mobile-Detail Calcs'!D$167,'Mobile-Data'!$G$9:$G$1048576,'Mobile-Detail Calcs'!D$168,'Mobile-Data'!$C$9:$C$1048576,'Mobile-Detail Calcs'!$C$162)</f>
        <v>0</v>
      </c>
      <c r="E196" s="144">
        <f>SUMIFS('Mobile-Data'!$I$9:$I$1048576,'Mobile-Data'!$D$9:$D$1048576,$B196,'Mobile-Data'!$E$9:$E$1048576,'Mobile-Detail Calcs'!E$167,'Mobile-Data'!$G$9:$G$1048576,'Mobile-Detail Calcs'!E$168,'Mobile-Data'!$C$9:$C$1048576,'Mobile-Detail Calcs'!$C$162)</f>
        <v>0</v>
      </c>
      <c r="F196" s="144">
        <f>SUMIFS('Mobile-Data'!$I$9:$I$1048576,'Mobile-Data'!$D$9:$D$1048576,$B196,'Mobile-Data'!$E$9:$E$1048576,'Mobile-Detail Calcs'!F$167,'Mobile-Data'!$G$9:$G$1048576,'Mobile-Detail Calcs'!F$168,'Mobile-Data'!$C$9:$C$1048576,'Mobile-Detail Calcs'!$C$162)</f>
        <v>0</v>
      </c>
      <c r="G196" s="144">
        <f>SUMIFS('Mobile-Data'!$I$9:$I$1048576,'Mobile-Data'!$D$9:$D$1048576,$B196,'Mobile-Data'!$E$9:$E$1048576,'Mobile-Detail Calcs'!G$167,'Mobile-Data'!$G$9:$G$1048576,'Mobile-Detail Calcs'!G$168,'Mobile-Data'!$C$9:$C$1048576,'Mobile-Detail Calcs'!$C$162)</f>
        <v>0</v>
      </c>
      <c r="H196" s="144">
        <f>SUMIFS('Mobile-Data'!$I$9:$I$1048576,'Mobile-Data'!$D$9:$D$1048576,$B196,'Mobile-Data'!$E$9:$E$1048576,'Mobile-Detail Calcs'!H$167,'Mobile-Data'!$G$9:$G$1048576,'Mobile-Detail Calcs'!H$168,'Mobile-Data'!$C$9:$C$1048576,'Mobile-Detail Calcs'!$C$162)</f>
        <v>0</v>
      </c>
      <c r="I196" s="148">
        <f t="shared" si="94"/>
        <v>0</v>
      </c>
      <c r="K196" s="22">
        <v>2007</v>
      </c>
      <c r="L196" s="146">
        <f>C196*Factors!C240*g_kg*kg_mt*GWP_CH4</f>
        <v>0</v>
      </c>
      <c r="M196" s="146">
        <f>D196*Factors!D240*g_kg*kg_mt*GWP_CH4</f>
        <v>0</v>
      </c>
      <c r="N196" s="146">
        <f>E196*Factors!E240*g_kg*kg_mt*GWP_CH4</f>
        <v>0</v>
      </c>
      <c r="O196" s="146">
        <f>F196*Factors!F240*g_kg*kg_mt*GWP_CH4</f>
        <v>0</v>
      </c>
      <c r="P196" s="146">
        <f>G196*Factors!G240*g_kg*kg_mt*GWP_CH4</f>
        <v>0</v>
      </c>
      <c r="Q196" s="146">
        <f>H196*Factors!H240*g_kg*kg_mt*GWP_CH4</f>
        <v>0</v>
      </c>
      <c r="R196" s="151">
        <f t="shared" si="95"/>
        <v>0</v>
      </c>
      <c r="T196" s="22">
        <v>2007</v>
      </c>
      <c r="U196" s="146">
        <f>C196*Factors!K240*g_kg*kg_mt*GWP_N2O</f>
        <v>0</v>
      </c>
      <c r="V196" s="146">
        <f>D196*Factors!L240*g_kg*kg_mt*GWP_N2O</f>
        <v>0</v>
      </c>
      <c r="W196" s="146">
        <f>E196*Factors!M240*g_kg*kg_mt*GWP_N2O</f>
        <v>0</v>
      </c>
      <c r="X196" s="146">
        <f>F196*Factors!N240*g_kg*kg_mt*GWP_N2O</f>
        <v>0</v>
      </c>
      <c r="Y196" s="146">
        <f>G196*Factors!O240*g_kg*kg_mt*GWP_N2O</f>
        <v>0</v>
      </c>
      <c r="Z196" s="146">
        <f>H196*Factors!P240*g_kg*kg_mt*GWP_N2O</f>
        <v>0</v>
      </c>
      <c r="AA196" s="153">
        <f t="shared" si="96"/>
        <v>0</v>
      </c>
    </row>
    <row r="197" spans="2:27">
      <c r="B197" s="22">
        <v>2008</v>
      </c>
      <c r="C197" s="144">
        <f>SUMIFS('Mobile-Data'!$I$9:$I$1048576,'Mobile-Data'!$D$9:$D$1048576,$B197,'Mobile-Data'!$E$9:$E$1048576,'Mobile-Detail Calcs'!C$167,'Mobile-Data'!$G$9:$G$1048576,'Mobile-Detail Calcs'!C$168,'Mobile-Data'!$C$9:$C$1048576,'Mobile-Detail Calcs'!$C$162)</f>
        <v>0</v>
      </c>
      <c r="D197" s="144">
        <f>SUMIFS('Mobile-Data'!$I$9:$I$1048576,'Mobile-Data'!$D$9:$D$1048576,$B197,'Mobile-Data'!$E$9:$E$1048576,'Mobile-Detail Calcs'!D$167,'Mobile-Data'!$G$9:$G$1048576,'Mobile-Detail Calcs'!D$168,'Mobile-Data'!$C$9:$C$1048576,'Mobile-Detail Calcs'!$C$162)</f>
        <v>0</v>
      </c>
      <c r="E197" s="144">
        <f>SUMIFS('Mobile-Data'!$I$9:$I$1048576,'Mobile-Data'!$D$9:$D$1048576,$B197,'Mobile-Data'!$E$9:$E$1048576,'Mobile-Detail Calcs'!E$167,'Mobile-Data'!$G$9:$G$1048576,'Mobile-Detail Calcs'!E$168,'Mobile-Data'!$C$9:$C$1048576,'Mobile-Detail Calcs'!$C$162)</f>
        <v>0</v>
      </c>
      <c r="F197" s="144">
        <f>SUMIFS('Mobile-Data'!$I$9:$I$1048576,'Mobile-Data'!$D$9:$D$1048576,$B197,'Mobile-Data'!$E$9:$E$1048576,'Mobile-Detail Calcs'!F$167,'Mobile-Data'!$G$9:$G$1048576,'Mobile-Detail Calcs'!F$168,'Mobile-Data'!$C$9:$C$1048576,'Mobile-Detail Calcs'!$C$162)</f>
        <v>0</v>
      </c>
      <c r="G197" s="144">
        <f>SUMIFS('Mobile-Data'!$I$9:$I$1048576,'Mobile-Data'!$D$9:$D$1048576,$B197,'Mobile-Data'!$E$9:$E$1048576,'Mobile-Detail Calcs'!G$167,'Mobile-Data'!$G$9:$G$1048576,'Mobile-Detail Calcs'!G$168,'Mobile-Data'!$C$9:$C$1048576,'Mobile-Detail Calcs'!$C$162)</f>
        <v>0</v>
      </c>
      <c r="H197" s="144">
        <f>SUMIFS('Mobile-Data'!$I$9:$I$1048576,'Mobile-Data'!$D$9:$D$1048576,$B197,'Mobile-Data'!$E$9:$E$1048576,'Mobile-Detail Calcs'!H$167,'Mobile-Data'!$G$9:$G$1048576,'Mobile-Detail Calcs'!H$168,'Mobile-Data'!$C$9:$C$1048576,'Mobile-Detail Calcs'!$C$162)</f>
        <v>0</v>
      </c>
      <c r="I197" s="148">
        <f t="shared" si="94"/>
        <v>0</v>
      </c>
      <c r="K197" s="22">
        <v>2008</v>
      </c>
      <c r="L197" s="146">
        <f>C197*Factors!C241*g_kg*kg_mt*GWP_CH4</f>
        <v>0</v>
      </c>
      <c r="M197" s="146">
        <f>D197*Factors!D241*g_kg*kg_mt*GWP_CH4</f>
        <v>0</v>
      </c>
      <c r="N197" s="146">
        <f>E197*Factors!E241*g_kg*kg_mt*GWP_CH4</f>
        <v>0</v>
      </c>
      <c r="O197" s="146">
        <f>F197*Factors!F241*g_kg*kg_mt*GWP_CH4</f>
        <v>0</v>
      </c>
      <c r="P197" s="146">
        <f>G197*Factors!G241*g_kg*kg_mt*GWP_CH4</f>
        <v>0</v>
      </c>
      <c r="Q197" s="146">
        <f>H197*Factors!H241*g_kg*kg_mt*GWP_CH4</f>
        <v>0</v>
      </c>
      <c r="R197" s="151">
        <f t="shared" si="95"/>
        <v>0</v>
      </c>
      <c r="T197" s="22">
        <v>2008</v>
      </c>
      <c r="U197" s="146">
        <f>C197*Factors!K241*g_kg*kg_mt*GWP_N2O</f>
        <v>0</v>
      </c>
      <c r="V197" s="146">
        <f>D197*Factors!L241*g_kg*kg_mt*GWP_N2O</f>
        <v>0</v>
      </c>
      <c r="W197" s="146">
        <f>E197*Factors!M241*g_kg*kg_mt*GWP_N2O</f>
        <v>0</v>
      </c>
      <c r="X197" s="146">
        <f>F197*Factors!N241*g_kg*kg_mt*GWP_N2O</f>
        <v>0</v>
      </c>
      <c r="Y197" s="146">
        <f>G197*Factors!O241*g_kg*kg_mt*GWP_N2O</f>
        <v>0</v>
      </c>
      <c r="Z197" s="146">
        <f>H197*Factors!P241*g_kg*kg_mt*GWP_N2O</f>
        <v>0</v>
      </c>
      <c r="AA197" s="153">
        <f t="shared" si="96"/>
        <v>0</v>
      </c>
    </row>
    <row r="198" spans="2:27">
      <c r="B198" s="22">
        <v>2009</v>
      </c>
      <c r="C198" s="144">
        <f>SUMIFS('Mobile-Data'!$I$9:$I$1048576,'Mobile-Data'!$D$9:$D$1048576,$B198,'Mobile-Data'!$E$9:$E$1048576,'Mobile-Detail Calcs'!C$167,'Mobile-Data'!$G$9:$G$1048576,'Mobile-Detail Calcs'!C$168,'Mobile-Data'!$C$9:$C$1048576,'Mobile-Detail Calcs'!$C$162)</f>
        <v>0</v>
      </c>
      <c r="D198" s="144">
        <f>SUMIFS('Mobile-Data'!$I$9:$I$1048576,'Mobile-Data'!$D$9:$D$1048576,$B198,'Mobile-Data'!$E$9:$E$1048576,'Mobile-Detail Calcs'!D$167,'Mobile-Data'!$G$9:$G$1048576,'Mobile-Detail Calcs'!D$168,'Mobile-Data'!$C$9:$C$1048576,'Mobile-Detail Calcs'!$C$162)</f>
        <v>0</v>
      </c>
      <c r="E198" s="144">
        <f>SUMIFS('Mobile-Data'!$I$9:$I$1048576,'Mobile-Data'!$D$9:$D$1048576,$B198,'Mobile-Data'!$E$9:$E$1048576,'Mobile-Detail Calcs'!E$167,'Mobile-Data'!$G$9:$G$1048576,'Mobile-Detail Calcs'!E$168,'Mobile-Data'!$C$9:$C$1048576,'Mobile-Detail Calcs'!$C$162)</f>
        <v>0</v>
      </c>
      <c r="F198" s="144">
        <f>SUMIFS('Mobile-Data'!$I$9:$I$1048576,'Mobile-Data'!$D$9:$D$1048576,$B198,'Mobile-Data'!$E$9:$E$1048576,'Mobile-Detail Calcs'!F$167,'Mobile-Data'!$G$9:$G$1048576,'Mobile-Detail Calcs'!F$168,'Mobile-Data'!$C$9:$C$1048576,'Mobile-Detail Calcs'!$C$162)</f>
        <v>0</v>
      </c>
      <c r="G198" s="144">
        <f>SUMIFS('Mobile-Data'!$I$9:$I$1048576,'Mobile-Data'!$D$9:$D$1048576,$B198,'Mobile-Data'!$E$9:$E$1048576,'Mobile-Detail Calcs'!G$167,'Mobile-Data'!$G$9:$G$1048576,'Mobile-Detail Calcs'!G$168,'Mobile-Data'!$C$9:$C$1048576,'Mobile-Detail Calcs'!$C$162)</f>
        <v>0</v>
      </c>
      <c r="H198" s="144">
        <f>SUMIFS('Mobile-Data'!$I$9:$I$1048576,'Mobile-Data'!$D$9:$D$1048576,$B198,'Mobile-Data'!$E$9:$E$1048576,'Mobile-Detail Calcs'!H$167,'Mobile-Data'!$G$9:$G$1048576,'Mobile-Detail Calcs'!H$168,'Mobile-Data'!$C$9:$C$1048576,'Mobile-Detail Calcs'!$C$162)</f>
        <v>0</v>
      </c>
      <c r="I198" s="148">
        <f t="shared" si="94"/>
        <v>0</v>
      </c>
      <c r="K198" s="22">
        <v>2009</v>
      </c>
      <c r="L198" s="146">
        <f>C198*Factors!C242*g_kg*kg_mt*GWP_CH4</f>
        <v>0</v>
      </c>
      <c r="M198" s="146">
        <f>D198*Factors!D242*g_kg*kg_mt*GWP_CH4</f>
        <v>0</v>
      </c>
      <c r="N198" s="146">
        <f>E198*Factors!E242*g_kg*kg_mt*GWP_CH4</f>
        <v>0</v>
      </c>
      <c r="O198" s="146">
        <f>F198*Factors!F242*g_kg*kg_mt*GWP_CH4</f>
        <v>0</v>
      </c>
      <c r="P198" s="146">
        <f>G198*Factors!G242*g_kg*kg_mt*GWP_CH4</f>
        <v>0</v>
      </c>
      <c r="Q198" s="146">
        <f>H198*Factors!H242*g_kg*kg_mt*GWP_CH4</f>
        <v>0</v>
      </c>
      <c r="R198" s="151">
        <f t="shared" si="95"/>
        <v>0</v>
      </c>
      <c r="T198" s="22">
        <v>2009</v>
      </c>
      <c r="U198" s="146">
        <f>C198*Factors!K242*g_kg*kg_mt*GWP_N2O</f>
        <v>0</v>
      </c>
      <c r="V198" s="146">
        <f>D198*Factors!L242*g_kg*kg_mt*GWP_N2O</f>
        <v>0</v>
      </c>
      <c r="W198" s="146">
        <f>E198*Factors!M242*g_kg*kg_mt*GWP_N2O</f>
        <v>0</v>
      </c>
      <c r="X198" s="146">
        <f>F198*Factors!N242*g_kg*kg_mt*GWP_N2O</f>
        <v>0</v>
      </c>
      <c r="Y198" s="146">
        <f>G198*Factors!O242*g_kg*kg_mt*GWP_N2O</f>
        <v>0</v>
      </c>
      <c r="Z198" s="146">
        <f>H198*Factors!P242*g_kg*kg_mt*GWP_N2O</f>
        <v>0</v>
      </c>
      <c r="AA198" s="153">
        <f t="shared" si="96"/>
        <v>0</v>
      </c>
    </row>
    <row r="199" spans="2:27">
      <c r="B199" s="22">
        <v>2010</v>
      </c>
      <c r="C199" s="144">
        <f>SUMIFS('Mobile-Data'!$I$9:$I$1048576,'Mobile-Data'!$D$9:$D$1048576,$B199,'Mobile-Data'!$E$9:$E$1048576,'Mobile-Detail Calcs'!C$167,'Mobile-Data'!$G$9:$G$1048576,'Mobile-Detail Calcs'!C$168,'Mobile-Data'!$C$9:$C$1048576,'Mobile-Detail Calcs'!$C$162)</f>
        <v>0</v>
      </c>
      <c r="D199" s="144">
        <f>SUMIFS('Mobile-Data'!$I$9:$I$1048576,'Mobile-Data'!$D$9:$D$1048576,$B199,'Mobile-Data'!$E$9:$E$1048576,'Mobile-Detail Calcs'!D$167,'Mobile-Data'!$G$9:$G$1048576,'Mobile-Detail Calcs'!D$168,'Mobile-Data'!$C$9:$C$1048576,'Mobile-Detail Calcs'!$C$162)</f>
        <v>0</v>
      </c>
      <c r="E199" s="144">
        <f>SUMIFS('Mobile-Data'!$I$9:$I$1048576,'Mobile-Data'!$D$9:$D$1048576,$B199,'Mobile-Data'!$E$9:$E$1048576,'Mobile-Detail Calcs'!E$167,'Mobile-Data'!$G$9:$G$1048576,'Mobile-Detail Calcs'!E$168,'Mobile-Data'!$C$9:$C$1048576,'Mobile-Detail Calcs'!$C$162)</f>
        <v>0</v>
      </c>
      <c r="F199" s="144">
        <f>SUMIFS('Mobile-Data'!$I$9:$I$1048576,'Mobile-Data'!$D$9:$D$1048576,$B199,'Mobile-Data'!$E$9:$E$1048576,'Mobile-Detail Calcs'!F$167,'Mobile-Data'!$G$9:$G$1048576,'Mobile-Detail Calcs'!F$168,'Mobile-Data'!$C$9:$C$1048576,'Mobile-Detail Calcs'!$C$162)</f>
        <v>0</v>
      </c>
      <c r="G199" s="144">
        <f>SUMIFS('Mobile-Data'!$I$9:$I$1048576,'Mobile-Data'!$D$9:$D$1048576,$B199,'Mobile-Data'!$E$9:$E$1048576,'Mobile-Detail Calcs'!G$167,'Mobile-Data'!$G$9:$G$1048576,'Mobile-Detail Calcs'!G$168,'Mobile-Data'!$C$9:$C$1048576,'Mobile-Detail Calcs'!$C$162)</f>
        <v>0</v>
      </c>
      <c r="H199" s="144">
        <f>SUMIFS('Mobile-Data'!$I$9:$I$1048576,'Mobile-Data'!$D$9:$D$1048576,$B199,'Mobile-Data'!$E$9:$E$1048576,'Mobile-Detail Calcs'!H$167,'Mobile-Data'!$G$9:$G$1048576,'Mobile-Detail Calcs'!H$168,'Mobile-Data'!$C$9:$C$1048576,'Mobile-Detail Calcs'!$C$162)</f>
        <v>0</v>
      </c>
      <c r="I199" s="148">
        <f t="shared" si="94"/>
        <v>0</v>
      </c>
      <c r="K199" s="22">
        <v>2010</v>
      </c>
      <c r="L199" s="146">
        <f>C199*Factors!C243*g_kg*kg_mt*GWP_CH4</f>
        <v>0</v>
      </c>
      <c r="M199" s="146">
        <f>D199*Factors!D243*g_kg*kg_mt*GWP_CH4</f>
        <v>0</v>
      </c>
      <c r="N199" s="146">
        <f>E199*Factors!E243*g_kg*kg_mt*GWP_CH4</f>
        <v>0</v>
      </c>
      <c r="O199" s="146">
        <f>F199*Factors!F243*g_kg*kg_mt*GWP_CH4</f>
        <v>0</v>
      </c>
      <c r="P199" s="146">
        <f>G199*Factors!G243*g_kg*kg_mt*GWP_CH4</f>
        <v>0</v>
      </c>
      <c r="Q199" s="146">
        <f>H199*Factors!H243*g_kg*kg_mt*GWP_CH4</f>
        <v>0</v>
      </c>
      <c r="R199" s="151">
        <f t="shared" si="95"/>
        <v>0</v>
      </c>
      <c r="T199" s="22">
        <v>2010</v>
      </c>
      <c r="U199" s="146">
        <f>C199*Factors!K243*g_kg*kg_mt*GWP_N2O</f>
        <v>0</v>
      </c>
      <c r="V199" s="146">
        <f>D199*Factors!L243*g_kg*kg_mt*GWP_N2O</f>
        <v>0</v>
      </c>
      <c r="W199" s="146">
        <f>E199*Factors!M243*g_kg*kg_mt*GWP_N2O</f>
        <v>0</v>
      </c>
      <c r="X199" s="146">
        <f>F199*Factors!N243*g_kg*kg_mt*GWP_N2O</f>
        <v>0</v>
      </c>
      <c r="Y199" s="146">
        <f>G199*Factors!O243*g_kg*kg_mt*GWP_N2O</f>
        <v>0</v>
      </c>
      <c r="Z199" s="146">
        <f>H199*Factors!P243*g_kg*kg_mt*GWP_N2O</f>
        <v>0</v>
      </c>
      <c r="AA199" s="153">
        <f t="shared" si="96"/>
        <v>0</v>
      </c>
    </row>
    <row r="200" spans="2:27">
      <c r="B200" s="22">
        <v>2011</v>
      </c>
      <c r="C200" s="144">
        <f>SUMIFS('Mobile-Data'!$I$9:$I$1048576,'Mobile-Data'!$D$9:$D$1048576,$B200,'Mobile-Data'!$E$9:$E$1048576,'Mobile-Detail Calcs'!C$167,'Mobile-Data'!$G$9:$G$1048576,'Mobile-Detail Calcs'!C$168,'Mobile-Data'!$C$9:$C$1048576,'Mobile-Detail Calcs'!$C$162)</f>
        <v>0</v>
      </c>
      <c r="D200" s="144">
        <f>SUMIFS('Mobile-Data'!$I$9:$I$1048576,'Mobile-Data'!$D$9:$D$1048576,$B200,'Mobile-Data'!$E$9:$E$1048576,'Mobile-Detail Calcs'!D$167,'Mobile-Data'!$G$9:$G$1048576,'Mobile-Detail Calcs'!D$168,'Mobile-Data'!$C$9:$C$1048576,'Mobile-Detail Calcs'!$C$162)</f>
        <v>0</v>
      </c>
      <c r="E200" s="144">
        <f>SUMIFS('Mobile-Data'!$I$9:$I$1048576,'Mobile-Data'!$D$9:$D$1048576,$B200,'Mobile-Data'!$E$9:$E$1048576,'Mobile-Detail Calcs'!E$167,'Mobile-Data'!$G$9:$G$1048576,'Mobile-Detail Calcs'!E$168,'Mobile-Data'!$C$9:$C$1048576,'Mobile-Detail Calcs'!$C$162)</f>
        <v>0</v>
      </c>
      <c r="F200" s="144">
        <f>SUMIFS('Mobile-Data'!$I$9:$I$1048576,'Mobile-Data'!$D$9:$D$1048576,$B200,'Mobile-Data'!$E$9:$E$1048576,'Mobile-Detail Calcs'!F$167,'Mobile-Data'!$G$9:$G$1048576,'Mobile-Detail Calcs'!F$168,'Mobile-Data'!$C$9:$C$1048576,'Mobile-Detail Calcs'!$C$162)</f>
        <v>0</v>
      </c>
      <c r="G200" s="144">
        <f>SUMIFS('Mobile-Data'!$I$9:$I$1048576,'Mobile-Data'!$D$9:$D$1048576,$B200,'Mobile-Data'!$E$9:$E$1048576,'Mobile-Detail Calcs'!G$167,'Mobile-Data'!$G$9:$G$1048576,'Mobile-Detail Calcs'!G$168,'Mobile-Data'!$C$9:$C$1048576,'Mobile-Detail Calcs'!$C$162)</f>
        <v>0</v>
      </c>
      <c r="H200" s="144">
        <f>SUMIFS('Mobile-Data'!$I$9:$I$1048576,'Mobile-Data'!$D$9:$D$1048576,$B200,'Mobile-Data'!$E$9:$E$1048576,'Mobile-Detail Calcs'!H$167,'Mobile-Data'!$G$9:$G$1048576,'Mobile-Detail Calcs'!H$168,'Mobile-Data'!$C$9:$C$1048576,'Mobile-Detail Calcs'!$C$162)</f>
        <v>0</v>
      </c>
      <c r="I200" s="148">
        <f t="shared" si="94"/>
        <v>0</v>
      </c>
      <c r="K200" s="22">
        <v>2011</v>
      </c>
      <c r="L200" s="146">
        <f>C200*Factors!C244*g_kg*kg_mt*GWP_CH4</f>
        <v>0</v>
      </c>
      <c r="M200" s="146">
        <f>D200*Factors!D244*g_kg*kg_mt*GWP_CH4</f>
        <v>0</v>
      </c>
      <c r="N200" s="146">
        <f>E200*Factors!E244*g_kg*kg_mt*GWP_CH4</f>
        <v>0</v>
      </c>
      <c r="O200" s="146">
        <f>F200*Factors!F244*g_kg*kg_mt*GWP_CH4</f>
        <v>0</v>
      </c>
      <c r="P200" s="146">
        <f>G200*Factors!G244*g_kg*kg_mt*GWP_CH4</f>
        <v>0</v>
      </c>
      <c r="Q200" s="146">
        <f>H200*Factors!H244*g_kg*kg_mt*GWP_CH4</f>
        <v>0</v>
      </c>
      <c r="R200" s="151">
        <f t="shared" si="95"/>
        <v>0</v>
      </c>
      <c r="T200" s="22">
        <v>2011</v>
      </c>
      <c r="U200" s="146">
        <f>C200*Factors!K244*g_kg*kg_mt*GWP_N2O</f>
        <v>0</v>
      </c>
      <c r="V200" s="146">
        <f>D200*Factors!L244*g_kg*kg_mt*GWP_N2O</f>
        <v>0</v>
      </c>
      <c r="W200" s="146">
        <f>E200*Factors!M244*g_kg*kg_mt*GWP_N2O</f>
        <v>0</v>
      </c>
      <c r="X200" s="146">
        <f>F200*Factors!N244*g_kg*kg_mt*GWP_N2O</f>
        <v>0</v>
      </c>
      <c r="Y200" s="146">
        <f>G200*Factors!O244*g_kg*kg_mt*GWP_N2O</f>
        <v>0</v>
      </c>
      <c r="Z200" s="146">
        <f>H200*Factors!P244*g_kg*kg_mt*GWP_N2O</f>
        <v>0</v>
      </c>
      <c r="AA200" s="153">
        <f t="shared" si="96"/>
        <v>0</v>
      </c>
    </row>
    <row r="201" spans="2:27">
      <c r="B201" s="22">
        <v>2012</v>
      </c>
      <c r="C201" s="144">
        <f>SUMIFS('Mobile-Data'!$I$9:$I$1048576,'Mobile-Data'!$D$9:$D$1048576,$B201,'Mobile-Data'!$E$9:$E$1048576,'Mobile-Detail Calcs'!C$167,'Mobile-Data'!$G$9:$G$1048576,'Mobile-Detail Calcs'!C$168,'Mobile-Data'!$C$9:$C$1048576,'Mobile-Detail Calcs'!$C$162)</f>
        <v>0</v>
      </c>
      <c r="D201" s="144">
        <f>SUMIFS('Mobile-Data'!$I$9:$I$1048576,'Mobile-Data'!$D$9:$D$1048576,$B201,'Mobile-Data'!$E$9:$E$1048576,'Mobile-Detail Calcs'!D$167,'Mobile-Data'!$G$9:$G$1048576,'Mobile-Detail Calcs'!D$168,'Mobile-Data'!$C$9:$C$1048576,'Mobile-Detail Calcs'!$C$162)</f>
        <v>0</v>
      </c>
      <c r="E201" s="144">
        <f>SUMIFS('Mobile-Data'!$I$9:$I$1048576,'Mobile-Data'!$D$9:$D$1048576,$B201,'Mobile-Data'!$E$9:$E$1048576,'Mobile-Detail Calcs'!E$167,'Mobile-Data'!$G$9:$G$1048576,'Mobile-Detail Calcs'!E$168,'Mobile-Data'!$C$9:$C$1048576,'Mobile-Detail Calcs'!$C$162)</f>
        <v>0</v>
      </c>
      <c r="F201" s="144">
        <f>SUMIFS('Mobile-Data'!$I$9:$I$1048576,'Mobile-Data'!$D$9:$D$1048576,$B201,'Mobile-Data'!$E$9:$E$1048576,'Mobile-Detail Calcs'!F$167,'Mobile-Data'!$G$9:$G$1048576,'Mobile-Detail Calcs'!F$168,'Mobile-Data'!$C$9:$C$1048576,'Mobile-Detail Calcs'!$C$162)</f>
        <v>0</v>
      </c>
      <c r="G201" s="144">
        <f>SUMIFS('Mobile-Data'!$I$9:$I$1048576,'Mobile-Data'!$D$9:$D$1048576,$B201,'Mobile-Data'!$E$9:$E$1048576,'Mobile-Detail Calcs'!G$167,'Mobile-Data'!$G$9:$G$1048576,'Mobile-Detail Calcs'!G$168,'Mobile-Data'!$C$9:$C$1048576,'Mobile-Detail Calcs'!$C$162)</f>
        <v>0</v>
      </c>
      <c r="H201" s="144">
        <f>SUMIFS('Mobile-Data'!$I$9:$I$1048576,'Mobile-Data'!$D$9:$D$1048576,$B201,'Mobile-Data'!$E$9:$E$1048576,'Mobile-Detail Calcs'!H$167,'Mobile-Data'!$G$9:$G$1048576,'Mobile-Detail Calcs'!H$168,'Mobile-Data'!$C$9:$C$1048576,'Mobile-Detail Calcs'!$C$162)</f>
        <v>0</v>
      </c>
      <c r="I201" s="148">
        <f t="shared" si="94"/>
        <v>0</v>
      </c>
      <c r="K201" s="22">
        <v>2012</v>
      </c>
      <c r="L201" s="146">
        <f>C201*Factors!C245*g_kg*kg_mt*GWP_CH4</f>
        <v>0</v>
      </c>
      <c r="M201" s="146">
        <f>D201*Factors!D245*g_kg*kg_mt*GWP_CH4</f>
        <v>0</v>
      </c>
      <c r="N201" s="146">
        <f>E201*Factors!E245*g_kg*kg_mt*GWP_CH4</f>
        <v>0</v>
      </c>
      <c r="O201" s="146">
        <f>F201*Factors!F245*g_kg*kg_mt*GWP_CH4</f>
        <v>0</v>
      </c>
      <c r="P201" s="146">
        <f>G201*Factors!G245*g_kg*kg_mt*GWP_CH4</f>
        <v>0</v>
      </c>
      <c r="Q201" s="146">
        <f>H201*Factors!H245*g_kg*kg_mt*GWP_CH4</f>
        <v>0</v>
      </c>
      <c r="R201" s="151">
        <f t="shared" si="95"/>
        <v>0</v>
      </c>
      <c r="T201" s="22">
        <v>2012</v>
      </c>
      <c r="U201" s="146">
        <f>C201*Factors!K245*g_kg*kg_mt*GWP_N2O</f>
        <v>0</v>
      </c>
      <c r="V201" s="146">
        <f>D201*Factors!L245*g_kg*kg_mt*GWP_N2O</f>
        <v>0</v>
      </c>
      <c r="W201" s="146">
        <f>E201*Factors!M245*g_kg*kg_mt*GWP_N2O</f>
        <v>0</v>
      </c>
      <c r="X201" s="146">
        <f>F201*Factors!N245*g_kg*kg_mt*GWP_N2O</f>
        <v>0</v>
      </c>
      <c r="Y201" s="146">
        <f>G201*Factors!O245*g_kg*kg_mt*GWP_N2O</f>
        <v>0</v>
      </c>
      <c r="Z201" s="146">
        <f>H201*Factors!P245*g_kg*kg_mt*GWP_N2O</f>
        <v>0</v>
      </c>
      <c r="AA201" s="153">
        <f t="shared" si="96"/>
        <v>0</v>
      </c>
    </row>
    <row r="202" spans="2:27">
      <c r="B202" s="22">
        <v>2013</v>
      </c>
      <c r="C202" s="144">
        <f>SUMIFS('Mobile-Data'!$I$9:$I$1048576,'Mobile-Data'!$D$9:$D$1048576,$B202,'Mobile-Data'!$E$9:$E$1048576,'Mobile-Detail Calcs'!C$167,'Mobile-Data'!$G$9:$G$1048576,'Mobile-Detail Calcs'!C$168,'Mobile-Data'!$C$9:$C$1048576,'Mobile-Detail Calcs'!$C$162)</f>
        <v>0</v>
      </c>
      <c r="D202" s="144">
        <f>SUMIFS('Mobile-Data'!$I$9:$I$1048576,'Mobile-Data'!$D$9:$D$1048576,$B202,'Mobile-Data'!$E$9:$E$1048576,'Mobile-Detail Calcs'!D$167,'Mobile-Data'!$G$9:$G$1048576,'Mobile-Detail Calcs'!D$168,'Mobile-Data'!$C$9:$C$1048576,'Mobile-Detail Calcs'!$C$162)</f>
        <v>0</v>
      </c>
      <c r="E202" s="144">
        <f>SUMIFS('Mobile-Data'!$I$9:$I$1048576,'Mobile-Data'!$D$9:$D$1048576,$B202,'Mobile-Data'!$E$9:$E$1048576,'Mobile-Detail Calcs'!E$167,'Mobile-Data'!$G$9:$G$1048576,'Mobile-Detail Calcs'!E$168,'Mobile-Data'!$C$9:$C$1048576,'Mobile-Detail Calcs'!$C$162)</f>
        <v>0</v>
      </c>
      <c r="F202" s="144">
        <f>SUMIFS('Mobile-Data'!$I$9:$I$1048576,'Mobile-Data'!$D$9:$D$1048576,$B202,'Mobile-Data'!$E$9:$E$1048576,'Mobile-Detail Calcs'!F$167,'Mobile-Data'!$G$9:$G$1048576,'Mobile-Detail Calcs'!F$168,'Mobile-Data'!$C$9:$C$1048576,'Mobile-Detail Calcs'!$C$162)</f>
        <v>0</v>
      </c>
      <c r="G202" s="144">
        <f>SUMIFS('Mobile-Data'!$I$9:$I$1048576,'Mobile-Data'!$D$9:$D$1048576,$B202,'Mobile-Data'!$E$9:$E$1048576,'Mobile-Detail Calcs'!G$167,'Mobile-Data'!$G$9:$G$1048576,'Mobile-Detail Calcs'!G$168,'Mobile-Data'!$C$9:$C$1048576,'Mobile-Detail Calcs'!$C$162)</f>
        <v>0</v>
      </c>
      <c r="H202" s="144">
        <f>SUMIFS('Mobile-Data'!$I$9:$I$1048576,'Mobile-Data'!$D$9:$D$1048576,$B202,'Mobile-Data'!$E$9:$E$1048576,'Mobile-Detail Calcs'!H$167,'Mobile-Data'!$G$9:$G$1048576,'Mobile-Detail Calcs'!H$168,'Mobile-Data'!$C$9:$C$1048576,'Mobile-Detail Calcs'!$C$162)</f>
        <v>0</v>
      </c>
      <c r="I202" s="148">
        <f t="shared" ref="I202:I209" si="97">SUM(C202:H202)</f>
        <v>0</v>
      </c>
      <c r="K202" s="22">
        <v>2013</v>
      </c>
      <c r="L202" s="146">
        <f>C202*Factors!C246*g_kg*kg_mt*GWP_CH4</f>
        <v>0</v>
      </c>
      <c r="M202" s="146">
        <f>D202*Factors!D246*g_kg*kg_mt*GWP_CH4</f>
        <v>0</v>
      </c>
      <c r="N202" s="146">
        <f>E202*Factors!E246*g_kg*kg_mt*GWP_CH4</f>
        <v>0</v>
      </c>
      <c r="O202" s="146">
        <f>F202*Factors!F246*g_kg*kg_mt*GWP_CH4</f>
        <v>0</v>
      </c>
      <c r="P202" s="146">
        <f>G202*Factors!G246*g_kg*kg_mt*GWP_CH4</f>
        <v>0</v>
      </c>
      <c r="Q202" s="146">
        <f>H202*Factors!H246*g_kg*kg_mt*GWP_CH4</f>
        <v>0</v>
      </c>
      <c r="R202" s="151">
        <f t="shared" ref="R202:R208" si="98">SUM(L202:Q202)</f>
        <v>0</v>
      </c>
      <c r="T202" s="22">
        <v>2013</v>
      </c>
      <c r="U202" s="146">
        <f>C202*Factors!K246*g_kg*kg_mt*GWP_N2O</f>
        <v>0</v>
      </c>
      <c r="V202" s="146">
        <f>D202*Factors!L246*g_kg*kg_mt*GWP_N2O</f>
        <v>0</v>
      </c>
      <c r="W202" s="146">
        <f>E202*Factors!M246*g_kg*kg_mt*GWP_N2O</f>
        <v>0</v>
      </c>
      <c r="X202" s="146">
        <f>F202*Factors!N246*g_kg*kg_mt*GWP_N2O</f>
        <v>0</v>
      </c>
      <c r="Y202" s="146">
        <f>G202*Factors!O246*g_kg*kg_mt*GWP_N2O</f>
        <v>0</v>
      </c>
      <c r="Z202" s="146">
        <f>H202*Factors!P246*g_kg*kg_mt*GWP_N2O</f>
        <v>0</v>
      </c>
      <c r="AA202" s="153">
        <f t="shared" ref="AA202:AA208" si="99">SUM(U202:Z202)</f>
        <v>0</v>
      </c>
    </row>
    <row r="203" spans="2:27">
      <c r="B203" s="22">
        <v>2014</v>
      </c>
      <c r="C203" s="144">
        <f>SUMIFS('Mobile-Data'!$I$9:$I$1048576,'Mobile-Data'!$D$9:$D$1048576,$B203,'Mobile-Data'!$E$9:$E$1048576,'Mobile-Detail Calcs'!C$167,'Mobile-Data'!$G$9:$G$1048576,'Mobile-Detail Calcs'!C$168,'Mobile-Data'!$C$9:$C$1048576,'Mobile-Detail Calcs'!$C$162)</f>
        <v>0</v>
      </c>
      <c r="D203" s="144">
        <f>SUMIFS('Mobile-Data'!$I$9:$I$1048576,'Mobile-Data'!$D$9:$D$1048576,$B203,'Mobile-Data'!$E$9:$E$1048576,'Mobile-Detail Calcs'!D$167,'Mobile-Data'!$G$9:$G$1048576,'Mobile-Detail Calcs'!D$168,'Mobile-Data'!$C$9:$C$1048576,'Mobile-Detail Calcs'!$C$162)</f>
        <v>0</v>
      </c>
      <c r="E203" s="144">
        <f>SUMIFS('Mobile-Data'!$I$9:$I$1048576,'Mobile-Data'!$D$9:$D$1048576,$B203,'Mobile-Data'!$E$9:$E$1048576,'Mobile-Detail Calcs'!E$167,'Mobile-Data'!$G$9:$G$1048576,'Mobile-Detail Calcs'!E$168,'Mobile-Data'!$C$9:$C$1048576,'Mobile-Detail Calcs'!$C$162)</f>
        <v>0</v>
      </c>
      <c r="F203" s="144">
        <f>SUMIFS('Mobile-Data'!$I$9:$I$1048576,'Mobile-Data'!$D$9:$D$1048576,$B203,'Mobile-Data'!$E$9:$E$1048576,'Mobile-Detail Calcs'!F$167,'Mobile-Data'!$G$9:$G$1048576,'Mobile-Detail Calcs'!F$168,'Mobile-Data'!$C$9:$C$1048576,'Mobile-Detail Calcs'!$C$162)</f>
        <v>0</v>
      </c>
      <c r="G203" s="144">
        <f>SUMIFS('Mobile-Data'!$I$9:$I$1048576,'Mobile-Data'!$D$9:$D$1048576,$B203,'Mobile-Data'!$E$9:$E$1048576,'Mobile-Detail Calcs'!G$167,'Mobile-Data'!$G$9:$G$1048576,'Mobile-Detail Calcs'!G$168,'Mobile-Data'!$C$9:$C$1048576,'Mobile-Detail Calcs'!$C$162)</f>
        <v>0</v>
      </c>
      <c r="H203" s="144">
        <f>SUMIFS('Mobile-Data'!$I$9:$I$1048576,'Mobile-Data'!$D$9:$D$1048576,$B203,'Mobile-Data'!$E$9:$E$1048576,'Mobile-Detail Calcs'!H$167,'Mobile-Data'!$G$9:$G$1048576,'Mobile-Detail Calcs'!H$168,'Mobile-Data'!$C$9:$C$1048576,'Mobile-Detail Calcs'!$C$162)</f>
        <v>0</v>
      </c>
      <c r="I203" s="148">
        <f t="shared" si="97"/>
        <v>0</v>
      </c>
      <c r="K203" s="22">
        <v>2014</v>
      </c>
      <c r="L203" s="146">
        <f>C203*Factors!C247*g_kg*kg_mt*GWP_CH4</f>
        <v>0</v>
      </c>
      <c r="M203" s="146">
        <f>D203*Factors!D247*g_kg*kg_mt*GWP_CH4</f>
        <v>0</v>
      </c>
      <c r="N203" s="146">
        <f>E203*Factors!E247*g_kg*kg_mt*GWP_CH4</f>
        <v>0</v>
      </c>
      <c r="O203" s="146">
        <f>F203*Factors!F247*g_kg*kg_mt*GWP_CH4</f>
        <v>0</v>
      </c>
      <c r="P203" s="146">
        <f>G203*Factors!G247*g_kg*kg_mt*GWP_CH4</f>
        <v>0</v>
      </c>
      <c r="Q203" s="146">
        <f>H203*Factors!H247*g_kg*kg_mt*GWP_CH4</f>
        <v>0</v>
      </c>
      <c r="R203" s="151">
        <f t="shared" si="98"/>
        <v>0</v>
      </c>
      <c r="T203" s="22">
        <v>2014</v>
      </c>
      <c r="U203" s="146">
        <f>C203*Factors!K247*g_kg*kg_mt*GWP_N2O</f>
        <v>0</v>
      </c>
      <c r="V203" s="146">
        <f>D203*Factors!L247*g_kg*kg_mt*GWP_N2O</f>
        <v>0</v>
      </c>
      <c r="W203" s="146">
        <f>E203*Factors!M247*g_kg*kg_mt*GWP_N2O</f>
        <v>0</v>
      </c>
      <c r="X203" s="146">
        <f>F203*Factors!N247*g_kg*kg_mt*GWP_N2O</f>
        <v>0</v>
      </c>
      <c r="Y203" s="146">
        <f>G203*Factors!O247*g_kg*kg_mt*GWP_N2O</f>
        <v>0</v>
      </c>
      <c r="Z203" s="146">
        <f>H203*Factors!P247*g_kg*kg_mt*GWP_N2O</f>
        <v>0</v>
      </c>
      <c r="AA203" s="153">
        <f t="shared" si="99"/>
        <v>0</v>
      </c>
    </row>
    <row r="204" spans="2:27">
      <c r="B204" s="22">
        <v>2015</v>
      </c>
      <c r="C204" s="144">
        <f>SUMIFS('Mobile-Data'!$I$9:$I$1048576,'Mobile-Data'!$D$9:$D$1048576,$B204,'Mobile-Data'!$E$9:$E$1048576,'Mobile-Detail Calcs'!C$167,'Mobile-Data'!$G$9:$G$1048576,'Mobile-Detail Calcs'!C$168,'Mobile-Data'!$C$9:$C$1048576,'Mobile-Detail Calcs'!$C$162)</f>
        <v>0</v>
      </c>
      <c r="D204" s="144">
        <f>SUMIFS('Mobile-Data'!$I$9:$I$1048576,'Mobile-Data'!$D$9:$D$1048576,$B204,'Mobile-Data'!$E$9:$E$1048576,'Mobile-Detail Calcs'!D$167,'Mobile-Data'!$G$9:$G$1048576,'Mobile-Detail Calcs'!D$168,'Mobile-Data'!$C$9:$C$1048576,'Mobile-Detail Calcs'!$C$162)</f>
        <v>0</v>
      </c>
      <c r="E204" s="144">
        <f>SUMIFS('Mobile-Data'!$I$9:$I$1048576,'Mobile-Data'!$D$9:$D$1048576,$B204,'Mobile-Data'!$E$9:$E$1048576,'Mobile-Detail Calcs'!E$167,'Mobile-Data'!$G$9:$G$1048576,'Mobile-Detail Calcs'!E$168,'Mobile-Data'!$C$9:$C$1048576,'Mobile-Detail Calcs'!$C$162)</f>
        <v>0</v>
      </c>
      <c r="F204" s="144">
        <f>SUMIFS('Mobile-Data'!$I$9:$I$1048576,'Mobile-Data'!$D$9:$D$1048576,$B204,'Mobile-Data'!$E$9:$E$1048576,'Mobile-Detail Calcs'!F$167,'Mobile-Data'!$G$9:$G$1048576,'Mobile-Detail Calcs'!F$168,'Mobile-Data'!$C$9:$C$1048576,'Mobile-Detail Calcs'!$C$162)</f>
        <v>0</v>
      </c>
      <c r="G204" s="144">
        <f>SUMIFS('Mobile-Data'!$I$9:$I$1048576,'Mobile-Data'!$D$9:$D$1048576,$B204,'Mobile-Data'!$E$9:$E$1048576,'Mobile-Detail Calcs'!G$167,'Mobile-Data'!$G$9:$G$1048576,'Mobile-Detail Calcs'!G$168,'Mobile-Data'!$C$9:$C$1048576,'Mobile-Detail Calcs'!$C$162)</f>
        <v>0</v>
      </c>
      <c r="H204" s="144">
        <f>SUMIFS('Mobile-Data'!$I$9:$I$1048576,'Mobile-Data'!$D$9:$D$1048576,$B204,'Mobile-Data'!$E$9:$E$1048576,'Mobile-Detail Calcs'!H$167,'Mobile-Data'!$G$9:$G$1048576,'Mobile-Detail Calcs'!H$168,'Mobile-Data'!$C$9:$C$1048576,'Mobile-Detail Calcs'!$C$162)</f>
        <v>0</v>
      </c>
      <c r="I204" s="148">
        <f t="shared" si="97"/>
        <v>0</v>
      </c>
      <c r="K204" s="22">
        <v>2015</v>
      </c>
      <c r="L204" s="146">
        <f>C204*Factors!C248*g_kg*kg_mt*GWP_CH4</f>
        <v>0</v>
      </c>
      <c r="M204" s="146">
        <f>D204*Factors!D248*g_kg*kg_mt*GWP_CH4</f>
        <v>0</v>
      </c>
      <c r="N204" s="146">
        <f>E204*Factors!E248*g_kg*kg_mt*GWP_CH4</f>
        <v>0</v>
      </c>
      <c r="O204" s="146">
        <f>F204*Factors!F248*g_kg*kg_mt*GWP_CH4</f>
        <v>0</v>
      </c>
      <c r="P204" s="146">
        <f>G204*Factors!G248*g_kg*kg_mt*GWP_CH4</f>
        <v>0</v>
      </c>
      <c r="Q204" s="146">
        <f>H204*Factors!H248*g_kg*kg_mt*GWP_CH4</f>
        <v>0</v>
      </c>
      <c r="R204" s="151">
        <f t="shared" si="98"/>
        <v>0</v>
      </c>
      <c r="T204" s="22">
        <v>2015</v>
      </c>
      <c r="U204" s="146">
        <f>C204*Factors!K248*g_kg*kg_mt*GWP_N2O</f>
        <v>0</v>
      </c>
      <c r="V204" s="146">
        <f>D204*Factors!L248*g_kg*kg_mt*GWP_N2O</f>
        <v>0</v>
      </c>
      <c r="W204" s="146">
        <f>E204*Factors!M248*g_kg*kg_mt*GWP_N2O</f>
        <v>0</v>
      </c>
      <c r="X204" s="146">
        <f>F204*Factors!N248*g_kg*kg_mt*GWP_N2O</f>
        <v>0</v>
      </c>
      <c r="Y204" s="146">
        <f>G204*Factors!O248*g_kg*kg_mt*GWP_N2O</f>
        <v>0</v>
      </c>
      <c r="Z204" s="146">
        <f>H204*Factors!P248*g_kg*kg_mt*GWP_N2O</f>
        <v>0</v>
      </c>
      <c r="AA204" s="153">
        <f t="shared" si="99"/>
        <v>0</v>
      </c>
    </row>
    <row r="205" spans="2:27">
      <c r="B205" s="22">
        <v>2016</v>
      </c>
      <c r="C205" s="144">
        <f>SUMIFS('Mobile-Data'!$I$9:$I$1048576,'Mobile-Data'!$D$9:$D$1048576,$B205,'Mobile-Data'!$E$9:$E$1048576,'Mobile-Detail Calcs'!C$167,'Mobile-Data'!$G$9:$G$1048576,'Mobile-Detail Calcs'!C$168,'Mobile-Data'!$C$9:$C$1048576,'Mobile-Detail Calcs'!$C$162)</f>
        <v>0</v>
      </c>
      <c r="D205" s="144">
        <f>SUMIFS('Mobile-Data'!$I$9:$I$1048576,'Mobile-Data'!$D$9:$D$1048576,$B205,'Mobile-Data'!$E$9:$E$1048576,'Mobile-Detail Calcs'!D$167,'Mobile-Data'!$G$9:$G$1048576,'Mobile-Detail Calcs'!D$168,'Mobile-Data'!$C$9:$C$1048576,'Mobile-Detail Calcs'!$C$162)</f>
        <v>0</v>
      </c>
      <c r="E205" s="144">
        <f>SUMIFS('Mobile-Data'!$I$9:$I$1048576,'Mobile-Data'!$D$9:$D$1048576,$B205,'Mobile-Data'!$E$9:$E$1048576,'Mobile-Detail Calcs'!E$167,'Mobile-Data'!$G$9:$G$1048576,'Mobile-Detail Calcs'!E$168,'Mobile-Data'!$C$9:$C$1048576,'Mobile-Detail Calcs'!$C$162)</f>
        <v>0</v>
      </c>
      <c r="F205" s="144">
        <f>SUMIFS('Mobile-Data'!$I$9:$I$1048576,'Mobile-Data'!$D$9:$D$1048576,$B205,'Mobile-Data'!$E$9:$E$1048576,'Mobile-Detail Calcs'!F$167,'Mobile-Data'!$G$9:$G$1048576,'Mobile-Detail Calcs'!F$168,'Mobile-Data'!$C$9:$C$1048576,'Mobile-Detail Calcs'!$C$162)</f>
        <v>0</v>
      </c>
      <c r="G205" s="144">
        <f>SUMIFS('Mobile-Data'!$I$9:$I$1048576,'Mobile-Data'!$D$9:$D$1048576,$B205,'Mobile-Data'!$E$9:$E$1048576,'Mobile-Detail Calcs'!G$167,'Mobile-Data'!$G$9:$G$1048576,'Mobile-Detail Calcs'!G$168,'Mobile-Data'!$C$9:$C$1048576,'Mobile-Detail Calcs'!$C$162)</f>
        <v>0</v>
      </c>
      <c r="H205" s="144">
        <f>SUMIFS('Mobile-Data'!$I$9:$I$1048576,'Mobile-Data'!$D$9:$D$1048576,$B205,'Mobile-Data'!$E$9:$E$1048576,'Mobile-Detail Calcs'!H$167,'Mobile-Data'!$G$9:$G$1048576,'Mobile-Detail Calcs'!H$168,'Mobile-Data'!$C$9:$C$1048576,'Mobile-Detail Calcs'!$C$162)</f>
        <v>0</v>
      </c>
      <c r="I205" s="148">
        <f t="shared" si="97"/>
        <v>0</v>
      </c>
      <c r="K205" s="22">
        <v>2016</v>
      </c>
      <c r="L205" s="146">
        <f>C205*Factors!C249*g_kg*kg_mt*GWP_CH4</f>
        <v>0</v>
      </c>
      <c r="M205" s="146">
        <f>D205*Factors!D249*g_kg*kg_mt*GWP_CH4</f>
        <v>0</v>
      </c>
      <c r="N205" s="146">
        <f>E205*Factors!E249*g_kg*kg_mt*GWP_CH4</f>
        <v>0</v>
      </c>
      <c r="O205" s="146">
        <f>F205*Factors!F249*g_kg*kg_mt*GWP_CH4</f>
        <v>0</v>
      </c>
      <c r="P205" s="146">
        <f>G205*Factors!G249*g_kg*kg_mt*GWP_CH4</f>
        <v>0</v>
      </c>
      <c r="Q205" s="146">
        <f>H205*Factors!H249*g_kg*kg_mt*GWP_CH4</f>
        <v>0</v>
      </c>
      <c r="R205" s="151">
        <f t="shared" si="98"/>
        <v>0</v>
      </c>
      <c r="T205" s="22">
        <v>2016</v>
      </c>
      <c r="U205" s="146">
        <f>C205*Factors!K249*g_kg*kg_mt*GWP_N2O</f>
        <v>0</v>
      </c>
      <c r="V205" s="146">
        <f>D205*Factors!L249*g_kg*kg_mt*GWP_N2O</f>
        <v>0</v>
      </c>
      <c r="W205" s="146">
        <f>E205*Factors!M249*g_kg*kg_mt*GWP_N2O</f>
        <v>0</v>
      </c>
      <c r="X205" s="146">
        <f>F205*Factors!N249*g_kg*kg_mt*GWP_N2O</f>
        <v>0</v>
      </c>
      <c r="Y205" s="146">
        <f>G205*Factors!O249*g_kg*kg_mt*GWP_N2O</f>
        <v>0</v>
      </c>
      <c r="Z205" s="146">
        <f>H205*Factors!P249*g_kg*kg_mt*GWP_N2O</f>
        <v>0</v>
      </c>
      <c r="AA205" s="153">
        <f t="shared" si="99"/>
        <v>0</v>
      </c>
    </row>
    <row r="206" spans="2:27">
      <c r="B206" s="22">
        <v>2017</v>
      </c>
      <c r="C206" s="144">
        <f>SUMIFS('Mobile-Data'!$I$9:$I$1048576,'Mobile-Data'!$D$9:$D$1048576,$B206,'Mobile-Data'!$E$9:$E$1048576,'Mobile-Detail Calcs'!C$167,'Mobile-Data'!$G$9:$G$1048576,'Mobile-Detail Calcs'!C$168,'Mobile-Data'!$C$9:$C$1048576,'Mobile-Detail Calcs'!$C$162)</f>
        <v>0</v>
      </c>
      <c r="D206" s="144">
        <f>SUMIFS('Mobile-Data'!$I$9:$I$1048576,'Mobile-Data'!$D$9:$D$1048576,$B206,'Mobile-Data'!$E$9:$E$1048576,'Mobile-Detail Calcs'!D$167,'Mobile-Data'!$G$9:$G$1048576,'Mobile-Detail Calcs'!D$168,'Mobile-Data'!$C$9:$C$1048576,'Mobile-Detail Calcs'!$C$162)</f>
        <v>0</v>
      </c>
      <c r="E206" s="144">
        <f>SUMIFS('Mobile-Data'!$I$9:$I$1048576,'Mobile-Data'!$D$9:$D$1048576,$B206,'Mobile-Data'!$E$9:$E$1048576,'Mobile-Detail Calcs'!E$167,'Mobile-Data'!$G$9:$G$1048576,'Mobile-Detail Calcs'!E$168,'Mobile-Data'!$C$9:$C$1048576,'Mobile-Detail Calcs'!$C$162)</f>
        <v>0</v>
      </c>
      <c r="F206" s="144">
        <f>SUMIFS('Mobile-Data'!$I$9:$I$1048576,'Mobile-Data'!$D$9:$D$1048576,$B206,'Mobile-Data'!$E$9:$E$1048576,'Mobile-Detail Calcs'!F$167,'Mobile-Data'!$G$9:$G$1048576,'Mobile-Detail Calcs'!F$168,'Mobile-Data'!$C$9:$C$1048576,'Mobile-Detail Calcs'!$C$162)</f>
        <v>0</v>
      </c>
      <c r="G206" s="144">
        <f>SUMIFS('Mobile-Data'!$I$9:$I$1048576,'Mobile-Data'!$D$9:$D$1048576,$B206,'Mobile-Data'!$E$9:$E$1048576,'Mobile-Detail Calcs'!G$167,'Mobile-Data'!$G$9:$G$1048576,'Mobile-Detail Calcs'!G$168,'Mobile-Data'!$C$9:$C$1048576,'Mobile-Detail Calcs'!$C$162)</f>
        <v>0</v>
      </c>
      <c r="H206" s="144">
        <f>SUMIFS('Mobile-Data'!$I$9:$I$1048576,'Mobile-Data'!$D$9:$D$1048576,$B206,'Mobile-Data'!$E$9:$E$1048576,'Mobile-Detail Calcs'!H$167,'Mobile-Data'!$G$9:$G$1048576,'Mobile-Detail Calcs'!H$168,'Mobile-Data'!$C$9:$C$1048576,'Mobile-Detail Calcs'!$C$162)</f>
        <v>0</v>
      </c>
      <c r="I206" s="148">
        <f t="shared" si="97"/>
        <v>0</v>
      </c>
      <c r="K206" s="22">
        <v>2017</v>
      </c>
      <c r="L206" s="146">
        <f>C206*Factors!C250*g_kg*kg_mt*GWP_CH4</f>
        <v>0</v>
      </c>
      <c r="M206" s="146">
        <f>D206*Factors!D250*g_kg*kg_mt*GWP_CH4</f>
        <v>0</v>
      </c>
      <c r="N206" s="146">
        <f>E206*Factors!E250*g_kg*kg_mt*GWP_CH4</f>
        <v>0</v>
      </c>
      <c r="O206" s="146">
        <f>F206*Factors!F250*g_kg*kg_mt*GWP_CH4</f>
        <v>0</v>
      </c>
      <c r="P206" s="146">
        <f>G206*Factors!G250*g_kg*kg_mt*GWP_CH4</f>
        <v>0</v>
      </c>
      <c r="Q206" s="146">
        <f>H206*Factors!H250*g_kg*kg_mt*GWP_CH4</f>
        <v>0</v>
      </c>
      <c r="R206" s="151">
        <f t="shared" si="98"/>
        <v>0</v>
      </c>
      <c r="T206" s="22">
        <v>2017</v>
      </c>
      <c r="U206" s="146">
        <f>C206*Factors!K250*g_kg*kg_mt*GWP_N2O</f>
        <v>0</v>
      </c>
      <c r="V206" s="146">
        <f>D206*Factors!L250*g_kg*kg_mt*GWP_N2O</f>
        <v>0</v>
      </c>
      <c r="W206" s="146">
        <f>E206*Factors!M250*g_kg*kg_mt*GWP_N2O</f>
        <v>0</v>
      </c>
      <c r="X206" s="146">
        <f>F206*Factors!N250*g_kg*kg_mt*GWP_N2O</f>
        <v>0</v>
      </c>
      <c r="Y206" s="146">
        <f>G206*Factors!O250*g_kg*kg_mt*GWP_N2O</f>
        <v>0</v>
      </c>
      <c r="Z206" s="146">
        <f>H206*Factors!P250*g_kg*kg_mt*GWP_N2O</f>
        <v>0</v>
      </c>
      <c r="AA206" s="153">
        <f t="shared" si="99"/>
        <v>0</v>
      </c>
    </row>
    <row r="207" spans="2:27">
      <c r="B207" s="22">
        <v>2018</v>
      </c>
      <c r="C207" s="144">
        <f>SUMIFS('Mobile-Data'!$I$9:$I$1048576,'Mobile-Data'!$D$9:$D$1048576,$B207,'Mobile-Data'!$E$9:$E$1048576,'Mobile-Detail Calcs'!C$167,'Mobile-Data'!$G$9:$G$1048576,'Mobile-Detail Calcs'!C$168,'Mobile-Data'!$C$9:$C$1048576,'Mobile-Detail Calcs'!$C$162)</f>
        <v>0</v>
      </c>
      <c r="D207" s="144">
        <f>SUMIFS('Mobile-Data'!$I$9:$I$1048576,'Mobile-Data'!$D$9:$D$1048576,$B207,'Mobile-Data'!$E$9:$E$1048576,'Mobile-Detail Calcs'!D$167,'Mobile-Data'!$G$9:$G$1048576,'Mobile-Detail Calcs'!D$168,'Mobile-Data'!$C$9:$C$1048576,'Mobile-Detail Calcs'!$C$162)</f>
        <v>0</v>
      </c>
      <c r="E207" s="144">
        <f>SUMIFS('Mobile-Data'!$I$9:$I$1048576,'Mobile-Data'!$D$9:$D$1048576,$B207,'Mobile-Data'!$E$9:$E$1048576,'Mobile-Detail Calcs'!E$167,'Mobile-Data'!$G$9:$G$1048576,'Mobile-Detail Calcs'!E$168,'Mobile-Data'!$C$9:$C$1048576,'Mobile-Detail Calcs'!$C$162)</f>
        <v>0</v>
      </c>
      <c r="F207" s="144">
        <f>SUMIFS('Mobile-Data'!$I$9:$I$1048576,'Mobile-Data'!$D$9:$D$1048576,$B207,'Mobile-Data'!$E$9:$E$1048576,'Mobile-Detail Calcs'!F$167,'Mobile-Data'!$G$9:$G$1048576,'Mobile-Detail Calcs'!F$168,'Mobile-Data'!$C$9:$C$1048576,'Mobile-Detail Calcs'!$C$162)</f>
        <v>0</v>
      </c>
      <c r="G207" s="144">
        <f>SUMIFS('Mobile-Data'!$I$9:$I$1048576,'Mobile-Data'!$D$9:$D$1048576,$B207,'Mobile-Data'!$E$9:$E$1048576,'Mobile-Detail Calcs'!G$167,'Mobile-Data'!$G$9:$G$1048576,'Mobile-Detail Calcs'!G$168,'Mobile-Data'!$C$9:$C$1048576,'Mobile-Detail Calcs'!$C$162)</f>
        <v>0</v>
      </c>
      <c r="H207" s="144">
        <f>SUMIFS('Mobile-Data'!$I$9:$I$1048576,'Mobile-Data'!$D$9:$D$1048576,$B207,'Mobile-Data'!$E$9:$E$1048576,'Mobile-Detail Calcs'!H$167,'Mobile-Data'!$G$9:$G$1048576,'Mobile-Detail Calcs'!H$168,'Mobile-Data'!$C$9:$C$1048576,'Mobile-Detail Calcs'!$C$162)</f>
        <v>0</v>
      </c>
      <c r="I207" s="148">
        <f t="shared" si="97"/>
        <v>0</v>
      </c>
      <c r="K207" s="22">
        <v>2018</v>
      </c>
      <c r="L207" s="146">
        <f>C207*Factors!C251*g_kg*kg_mt*GWP_CH4</f>
        <v>0</v>
      </c>
      <c r="M207" s="146">
        <f>D207*Factors!D251*g_kg*kg_mt*GWP_CH4</f>
        <v>0</v>
      </c>
      <c r="N207" s="146">
        <f>E207*Factors!E251*g_kg*kg_mt*GWP_CH4</f>
        <v>0</v>
      </c>
      <c r="O207" s="146">
        <f>F207*Factors!F251*g_kg*kg_mt*GWP_CH4</f>
        <v>0</v>
      </c>
      <c r="P207" s="146">
        <f>G207*Factors!G251*g_kg*kg_mt*GWP_CH4</f>
        <v>0</v>
      </c>
      <c r="Q207" s="146">
        <f>H207*Factors!H251*g_kg*kg_mt*GWP_CH4</f>
        <v>0</v>
      </c>
      <c r="R207" s="151">
        <f t="shared" si="98"/>
        <v>0</v>
      </c>
      <c r="T207" s="22">
        <v>2018</v>
      </c>
      <c r="U207" s="146">
        <f>C207*Factors!K251*g_kg*kg_mt*GWP_N2O</f>
        <v>0</v>
      </c>
      <c r="V207" s="146">
        <f>D207*Factors!L251*g_kg*kg_mt*GWP_N2O</f>
        <v>0</v>
      </c>
      <c r="W207" s="146">
        <f>E207*Factors!M251*g_kg*kg_mt*GWP_N2O</f>
        <v>0</v>
      </c>
      <c r="X207" s="146">
        <f>F207*Factors!N251*g_kg*kg_mt*GWP_N2O</f>
        <v>0</v>
      </c>
      <c r="Y207" s="146">
        <f>G207*Factors!O251*g_kg*kg_mt*GWP_N2O</f>
        <v>0</v>
      </c>
      <c r="Z207" s="146">
        <f>H207*Factors!P251*g_kg*kg_mt*GWP_N2O</f>
        <v>0</v>
      </c>
      <c r="AA207" s="153">
        <f t="shared" si="99"/>
        <v>0</v>
      </c>
    </row>
    <row r="208" spans="2:27">
      <c r="B208" s="22">
        <v>2019</v>
      </c>
      <c r="C208" s="144">
        <f>SUMIFS('Mobile-Data'!$I$9:$I$1048576,'Mobile-Data'!$D$9:$D$1048576,$B208,'Mobile-Data'!$E$9:$E$1048576,'Mobile-Detail Calcs'!C$167,'Mobile-Data'!$G$9:$G$1048576,'Mobile-Detail Calcs'!C$168,'Mobile-Data'!$C$9:$C$1048576,'Mobile-Detail Calcs'!$C$162)</f>
        <v>0</v>
      </c>
      <c r="D208" s="144">
        <f>SUMIFS('Mobile-Data'!$I$9:$I$1048576,'Mobile-Data'!$D$9:$D$1048576,$B208,'Mobile-Data'!$E$9:$E$1048576,'Mobile-Detail Calcs'!D$167,'Mobile-Data'!$G$9:$G$1048576,'Mobile-Detail Calcs'!D$168,'Mobile-Data'!$C$9:$C$1048576,'Mobile-Detail Calcs'!$C$162)</f>
        <v>0</v>
      </c>
      <c r="E208" s="144">
        <f>SUMIFS('Mobile-Data'!$I$9:$I$1048576,'Mobile-Data'!$D$9:$D$1048576,$B208,'Mobile-Data'!$E$9:$E$1048576,'Mobile-Detail Calcs'!E$167,'Mobile-Data'!$G$9:$G$1048576,'Mobile-Detail Calcs'!E$168,'Mobile-Data'!$C$9:$C$1048576,'Mobile-Detail Calcs'!$C$162)</f>
        <v>0</v>
      </c>
      <c r="F208" s="144">
        <f>SUMIFS('Mobile-Data'!$I$9:$I$1048576,'Mobile-Data'!$D$9:$D$1048576,$B208,'Mobile-Data'!$E$9:$E$1048576,'Mobile-Detail Calcs'!F$167,'Mobile-Data'!$G$9:$G$1048576,'Mobile-Detail Calcs'!F$168,'Mobile-Data'!$C$9:$C$1048576,'Mobile-Detail Calcs'!$C$162)</f>
        <v>0</v>
      </c>
      <c r="G208" s="144">
        <f>SUMIFS('Mobile-Data'!$I$9:$I$1048576,'Mobile-Data'!$D$9:$D$1048576,$B208,'Mobile-Data'!$E$9:$E$1048576,'Mobile-Detail Calcs'!G$167,'Mobile-Data'!$G$9:$G$1048576,'Mobile-Detail Calcs'!G$168,'Mobile-Data'!$C$9:$C$1048576,'Mobile-Detail Calcs'!$C$162)</f>
        <v>0</v>
      </c>
      <c r="H208" s="144">
        <f>SUMIFS('Mobile-Data'!$I$9:$I$1048576,'Mobile-Data'!$D$9:$D$1048576,$B208,'Mobile-Data'!$E$9:$E$1048576,'Mobile-Detail Calcs'!H$167,'Mobile-Data'!$G$9:$G$1048576,'Mobile-Detail Calcs'!H$168,'Mobile-Data'!$C$9:$C$1048576,'Mobile-Detail Calcs'!$C$162)</f>
        <v>0</v>
      </c>
      <c r="I208" s="148">
        <f t="shared" si="97"/>
        <v>0</v>
      </c>
      <c r="K208" s="22">
        <v>2019</v>
      </c>
      <c r="L208" s="146">
        <f>C208*Factors!C252*g_kg*kg_mt*GWP_CH4</f>
        <v>0</v>
      </c>
      <c r="M208" s="146">
        <f>D208*Factors!D252*g_kg*kg_mt*GWP_CH4</f>
        <v>0</v>
      </c>
      <c r="N208" s="146">
        <f>E208*Factors!E252*g_kg*kg_mt*GWP_CH4</f>
        <v>0</v>
      </c>
      <c r="O208" s="146">
        <f>F208*Factors!F252*g_kg*kg_mt*GWP_CH4</f>
        <v>0</v>
      </c>
      <c r="P208" s="146">
        <f>G208*Factors!G252*g_kg*kg_mt*GWP_CH4</f>
        <v>0</v>
      </c>
      <c r="Q208" s="146">
        <f>H208*Factors!H252*g_kg*kg_mt*GWP_CH4</f>
        <v>0</v>
      </c>
      <c r="R208" s="151">
        <f t="shared" si="98"/>
        <v>0</v>
      </c>
      <c r="T208" s="22">
        <v>2019</v>
      </c>
      <c r="U208" s="146">
        <f>C208*Factors!K252*g_kg*kg_mt*GWP_N2O</f>
        <v>0</v>
      </c>
      <c r="V208" s="146">
        <f>D208*Factors!L252*g_kg*kg_mt*GWP_N2O</f>
        <v>0</v>
      </c>
      <c r="W208" s="146">
        <f>E208*Factors!M252*g_kg*kg_mt*GWP_N2O</f>
        <v>0</v>
      </c>
      <c r="X208" s="146">
        <f>F208*Factors!N252*g_kg*kg_mt*GWP_N2O</f>
        <v>0</v>
      </c>
      <c r="Y208" s="146">
        <f>G208*Factors!O252*g_kg*kg_mt*GWP_N2O</f>
        <v>0</v>
      </c>
      <c r="Z208" s="146">
        <f>H208*Factors!P252*g_kg*kg_mt*GWP_N2O</f>
        <v>0</v>
      </c>
      <c r="AA208" s="153">
        <f t="shared" si="99"/>
        <v>0</v>
      </c>
    </row>
    <row r="209" spans="1:27">
      <c r="B209" s="22" t="s">
        <v>434</v>
      </c>
      <c r="C209" s="144">
        <f>SUMIFS('Mobile-Data'!$I$9:$I$1048576,'Mobile-Data'!$D$9:$D$1048576,"&gt;=2020",'Mobile-Data'!$E$9:$E$1048576,'Mobile-Detail Calcs'!C$167,'Mobile-Data'!$G$9:$G$1048576,'Mobile-Detail Calcs'!C$168,'Mobile-Data'!$C$9:$C$1048576,'Mobile-Detail Calcs'!$C$162)</f>
        <v>0</v>
      </c>
      <c r="D209" s="144">
        <f>SUMIFS('Mobile-Data'!$I$9:$I$1048576,'Mobile-Data'!$D$9:$D$1048576,"&gt;=2020",'Mobile-Data'!$E$9:$E$1048576,'Mobile-Detail Calcs'!D$167,'Mobile-Data'!$G$9:$G$1048576,'Mobile-Detail Calcs'!D$168,'Mobile-Data'!$C$9:$C$1048576,'Mobile-Detail Calcs'!$C$162)</f>
        <v>0</v>
      </c>
      <c r="E209" s="144">
        <f>SUMIFS('Mobile-Data'!$I$9:$I$1048576,'Mobile-Data'!$D$9:$D$1048576,"&gt;=2020",'Mobile-Data'!$E$9:$E$1048576,'Mobile-Detail Calcs'!E$167,'Mobile-Data'!$G$9:$G$1048576,'Mobile-Detail Calcs'!E$168,'Mobile-Data'!$C$9:$C$1048576,'Mobile-Detail Calcs'!$C$162)</f>
        <v>0</v>
      </c>
      <c r="F209" s="144">
        <f>SUMIFS('Mobile-Data'!$I$9:$I$1048576,'Mobile-Data'!$D$9:$D$1048576,"&gt;=2020",'Mobile-Data'!$E$9:$E$1048576,'Mobile-Detail Calcs'!F$167,'Mobile-Data'!$G$9:$G$1048576,'Mobile-Detail Calcs'!F$168,'Mobile-Data'!$C$9:$C$1048576,'Mobile-Detail Calcs'!$C$162)</f>
        <v>0</v>
      </c>
      <c r="G209" s="144">
        <f>SUMIFS('Mobile-Data'!$I$9:$I$1048576,'Mobile-Data'!$D$9:$D$1048576,"&gt;=2020",'Mobile-Data'!$E$9:$E$1048576,'Mobile-Detail Calcs'!G$167,'Mobile-Data'!$G$9:$G$1048576,'Mobile-Detail Calcs'!G$168,'Mobile-Data'!$C$9:$C$1048576,'Mobile-Detail Calcs'!$C$162)</f>
        <v>0</v>
      </c>
      <c r="H209" s="144">
        <f>SUMIFS('Mobile-Data'!$I$9:$I$1048576,'Mobile-Data'!$D$9:$D$1048576,"&gt;=2020",'Mobile-Data'!$E$9:$E$1048576,'Mobile-Detail Calcs'!H$167,'Mobile-Data'!$G$9:$G$1048576,'Mobile-Detail Calcs'!H$168,'Mobile-Data'!$C$9:$C$1048576,'Mobile-Detail Calcs'!$C$162)</f>
        <v>0</v>
      </c>
      <c r="I209" s="148">
        <f t="shared" si="97"/>
        <v>0</v>
      </c>
      <c r="K209" s="22">
        <v>2020</v>
      </c>
      <c r="L209" s="146">
        <f>C209*Factors!C253*g_kg*kg_mt*GWP_CH4</f>
        <v>0</v>
      </c>
      <c r="M209" s="146">
        <f>D209*Factors!D253*g_kg*kg_mt*GWP_CH4</f>
        <v>0</v>
      </c>
      <c r="N209" s="146">
        <f>E209*Factors!E253*g_kg*kg_mt*GWP_CH4</f>
        <v>0</v>
      </c>
      <c r="O209" s="146">
        <f>F209*Factors!F253*g_kg*kg_mt*GWP_CH4</f>
        <v>0</v>
      </c>
      <c r="P209" s="146">
        <f>G209*Factors!G253*g_kg*kg_mt*GWP_CH4</f>
        <v>0</v>
      </c>
      <c r="Q209" s="146">
        <f>H209*Factors!H253*g_kg*kg_mt*GWP_CH4</f>
        <v>0</v>
      </c>
      <c r="R209" s="151">
        <f t="shared" ref="R209" si="100">SUM(L209:Q209)</f>
        <v>0</v>
      </c>
      <c r="T209" s="22">
        <v>2020</v>
      </c>
      <c r="U209" s="146">
        <f>C209*Factors!K253*g_kg*kg_mt*GWP_N2O</f>
        <v>0</v>
      </c>
      <c r="V209" s="146">
        <f>D209*Factors!L253*g_kg*kg_mt*GWP_N2O</f>
        <v>0</v>
      </c>
      <c r="W209" s="146">
        <f>E209*Factors!M253*g_kg*kg_mt*GWP_N2O</f>
        <v>0</v>
      </c>
      <c r="X209" s="146">
        <f>F209*Factors!N253*g_kg*kg_mt*GWP_N2O</f>
        <v>0</v>
      </c>
      <c r="Y209" s="146">
        <f>G209*Factors!O253*g_kg*kg_mt*GWP_N2O</f>
        <v>0</v>
      </c>
      <c r="Z209" s="146">
        <f>H209*Factors!P253*g_kg*kg_mt*GWP_N2O</f>
        <v>0</v>
      </c>
      <c r="AA209" s="153">
        <f t="shared" ref="AA209" si="101">SUM(U209:Z209)</f>
        <v>0</v>
      </c>
    </row>
    <row r="210" spans="1:27">
      <c r="B210" s="876" t="s">
        <v>253</v>
      </c>
      <c r="C210" s="149">
        <f t="shared" ref="C210:H210" si="102">SUM(C169:C209)</f>
        <v>0</v>
      </c>
      <c r="D210" s="149">
        <f t="shared" si="102"/>
        <v>0</v>
      </c>
      <c r="E210" s="149">
        <f t="shared" si="102"/>
        <v>0</v>
      </c>
      <c r="F210" s="149">
        <f t="shared" si="102"/>
        <v>0</v>
      </c>
      <c r="G210" s="149">
        <f t="shared" si="102"/>
        <v>0</v>
      </c>
      <c r="H210" s="149">
        <f t="shared" si="102"/>
        <v>0</v>
      </c>
      <c r="I210" s="877">
        <f t="shared" si="94"/>
        <v>0</v>
      </c>
      <c r="K210" s="860" t="s">
        <v>253</v>
      </c>
      <c r="L210" s="152">
        <f t="shared" ref="L210:Q210" si="103">SUM(L169:L209)</f>
        <v>0</v>
      </c>
      <c r="M210" s="152">
        <f t="shared" si="103"/>
        <v>0</v>
      </c>
      <c r="N210" s="152">
        <f t="shared" si="103"/>
        <v>0</v>
      </c>
      <c r="O210" s="152">
        <f t="shared" si="103"/>
        <v>0</v>
      </c>
      <c r="P210" s="152">
        <f t="shared" si="103"/>
        <v>0</v>
      </c>
      <c r="Q210" s="152">
        <f t="shared" si="103"/>
        <v>0</v>
      </c>
      <c r="R210" s="878">
        <f t="shared" si="95"/>
        <v>0</v>
      </c>
      <c r="T210" s="860" t="s">
        <v>253</v>
      </c>
      <c r="U210" s="150">
        <f t="shared" ref="U210:Z210" si="104">SUM(U169:U209)</f>
        <v>0</v>
      </c>
      <c r="V210" s="150">
        <f t="shared" si="104"/>
        <v>0</v>
      </c>
      <c r="W210" s="150">
        <f t="shared" si="104"/>
        <v>0</v>
      </c>
      <c r="X210" s="150">
        <f t="shared" si="104"/>
        <v>0</v>
      </c>
      <c r="Y210" s="150">
        <f t="shared" si="104"/>
        <v>0</v>
      </c>
      <c r="Z210" s="150">
        <f t="shared" si="104"/>
        <v>0</v>
      </c>
      <c r="AA210" s="879">
        <f t="shared" si="96"/>
        <v>0</v>
      </c>
    </row>
    <row r="212" spans="1:27">
      <c r="A212" s="265" t="s">
        <v>435</v>
      </c>
    </row>
    <row r="213" spans="1:27" ht="16.5">
      <c r="B213" s="1" t="s">
        <v>436</v>
      </c>
      <c r="K213" s="1" t="s">
        <v>437</v>
      </c>
      <c r="T213" s="1" t="s">
        <v>438</v>
      </c>
    </row>
    <row r="214" spans="1:27" ht="16.5">
      <c r="B214" s="57" t="s">
        <v>439</v>
      </c>
      <c r="K214" s="57" t="s">
        <v>440</v>
      </c>
      <c r="T214" s="57" t="s">
        <v>441</v>
      </c>
    </row>
    <row r="215" spans="1:27" ht="65.5">
      <c r="B215" s="880"/>
      <c r="C215" s="147" t="s">
        <v>347</v>
      </c>
      <c r="D215" s="147" t="s">
        <v>364</v>
      </c>
      <c r="E215" s="147" t="s">
        <v>351</v>
      </c>
      <c r="F215" s="873" t="s">
        <v>263</v>
      </c>
      <c r="K215" s="881"/>
      <c r="L215" s="147" t="s">
        <v>347</v>
      </c>
      <c r="M215" s="147" t="s">
        <v>364</v>
      </c>
      <c r="N215" s="147" t="s">
        <v>351</v>
      </c>
      <c r="O215" s="873" t="s">
        <v>263</v>
      </c>
      <c r="T215" s="881"/>
      <c r="U215" s="147" t="s">
        <v>347</v>
      </c>
      <c r="V215" s="147" t="s">
        <v>364</v>
      </c>
      <c r="W215" s="147" t="s">
        <v>351</v>
      </c>
      <c r="X215" s="873" t="s">
        <v>263</v>
      </c>
    </row>
    <row r="216" spans="1:27">
      <c r="B216" s="155" t="s">
        <v>380</v>
      </c>
      <c r="C216" s="154">
        <f>SUMIFS('Mobile-Data'!$I$9:$I$1048576,'Mobile-Data'!$C$9:$C$1048576,$C$162,'Mobile-Data'!$E$9:$E$1048576,C$215,'Mobile-Data'!$G$9:$G$1048576,$B216)</f>
        <v>0</v>
      </c>
      <c r="D216" s="154">
        <f>SUMIFS('Mobile-Data'!$I$9:$I$1048576,'Mobile-Data'!$C$9:$C$1048576,$C$162,'Mobile-Data'!$E$9:$E$1048576,D$215,'Mobile-Data'!$G$9:$G$1048576,$B216)</f>
        <v>0</v>
      </c>
      <c r="E216" s="154">
        <f>SUMIFS('Mobile-Data'!$I$9:$I$1048576,'Mobile-Data'!$C$9:$C$1048576,$C$162,'Mobile-Data'!$E$9:$E$1048576,E$215,'Mobile-Data'!$G$9:$G$1048576,$B216)</f>
        <v>0</v>
      </c>
      <c r="F216" s="138">
        <f>SUM(C216:E216)</f>
        <v>0</v>
      </c>
      <c r="K216" s="155" t="s">
        <v>380</v>
      </c>
      <c r="L216" s="428">
        <f>C216*Factors!C266*g_kg*kg_mt*GWP_CH4</f>
        <v>0</v>
      </c>
      <c r="M216" s="428">
        <f>D216*Factors!D266*g_kg*kg_mt*GWP_CH4</f>
        <v>0</v>
      </c>
      <c r="N216" s="428">
        <f>E216*Factors!E266*g_kg*kg_mt*GWP_CH4</f>
        <v>0</v>
      </c>
      <c r="O216" s="66">
        <f>SUM(L216:N216)</f>
        <v>0</v>
      </c>
      <c r="T216" s="155" t="s">
        <v>380</v>
      </c>
      <c r="U216" s="428">
        <f>C216*Factors!H266*g_kg*kg_mt*GWP_N2O</f>
        <v>0</v>
      </c>
      <c r="V216" s="428">
        <f>D216*Factors!I266*g_kg*kg_mt*GWP_N2O</f>
        <v>0</v>
      </c>
      <c r="W216" s="428">
        <f>E216*Factors!J266*g_kg*kg_mt*GWP_N2O</f>
        <v>0</v>
      </c>
      <c r="X216" s="66">
        <f>SUM(U216:W216)</f>
        <v>0</v>
      </c>
    </row>
    <row r="217" spans="1:27">
      <c r="B217" s="155" t="s">
        <v>383</v>
      </c>
      <c r="C217" s="154" t="s">
        <v>442</v>
      </c>
      <c r="D217" s="154" t="s">
        <v>442</v>
      </c>
      <c r="E217" s="154">
        <f>SUMIFS('Mobile-Data'!$I$9:$I$1048576,'Mobile-Data'!$C$9:$C$1048576,$C$162,'Mobile-Data'!$E$9:$E$1048576,E$215,'Mobile-Data'!$G$9:$G$1048576,$B217)</f>
        <v>0</v>
      </c>
      <c r="F217" s="138">
        <f t="shared" ref="F217:F222" si="105">SUM(C217:E217)</f>
        <v>0</v>
      </c>
      <c r="K217" s="155" t="s">
        <v>383</v>
      </c>
      <c r="L217" s="428" t="s">
        <v>442</v>
      </c>
      <c r="M217" s="428" t="s">
        <v>442</v>
      </c>
      <c r="N217" s="428">
        <f>E217*Factors!E267*g_kg*kg_mt*GWP_CH4</f>
        <v>0</v>
      </c>
      <c r="O217" s="66">
        <f t="shared" ref="O217:O222" si="106">SUM(L217:N217)</f>
        <v>0</v>
      </c>
      <c r="T217" s="155" t="s">
        <v>383</v>
      </c>
      <c r="U217" s="428" t="s">
        <v>442</v>
      </c>
      <c r="V217" s="428" t="s">
        <v>442</v>
      </c>
      <c r="W217" s="428">
        <f>E217*Factors!J267*g_kg*kg_mt*GWP_N2O</f>
        <v>0</v>
      </c>
      <c r="X217" s="66">
        <f t="shared" ref="X217:X222" si="107">SUM(U217:W217)</f>
        <v>0</v>
      </c>
    </row>
    <row r="218" spans="1:27">
      <c r="B218" s="155" t="s">
        <v>174</v>
      </c>
      <c r="C218" s="154">
        <f>SUMIFS('Mobile-Data'!$I$9:$I$1048576,'Mobile-Data'!$C$9:$C$1048576,$C$162,'Mobile-Data'!$E$9:$E$1048576,C$215,'Mobile-Data'!$G$9:$G$1048576,$B218)</f>
        <v>0</v>
      </c>
      <c r="D218" s="154">
        <f>SUMIFS('Mobile-Data'!$I$9:$I$1048576,'Mobile-Data'!$C$9:$C$1048576,$C$162,'Mobile-Data'!$E$9:$E$1048576,D$215,'Mobile-Data'!$G$9:$G$1048576,$B218)</f>
        <v>0</v>
      </c>
      <c r="E218" s="154">
        <f>SUMIFS('Mobile-Data'!$I$9:$I$1048576,'Mobile-Data'!$C$9:$C$1048576,$C$162,'Mobile-Data'!$E$9:$E$1048576,E$215,'Mobile-Data'!$G$9:$G$1048576,$B218)</f>
        <v>0</v>
      </c>
      <c r="F218" s="138">
        <f t="shared" si="105"/>
        <v>0</v>
      </c>
      <c r="K218" s="155" t="s">
        <v>174</v>
      </c>
      <c r="L218" s="428">
        <f>C218*Factors!C268*g_kg*kg_mt*GWP_CH4</f>
        <v>0</v>
      </c>
      <c r="M218" s="428">
        <f>D218*Factors!D268*g_kg*kg_mt*GWP_CH4</f>
        <v>0</v>
      </c>
      <c r="N218" s="428">
        <f>E218*Factors!E268*g_kg*kg_mt*GWP_CH4</f>
        <v>0</v>
      </c>
      <c r="O218" s="66">
        <f t="shared" si="106"/>
        <v>0</v>
      </c>
      <c r="T218" s="155" t="s">
        <v>174</v>
      </c>
      <c r="U218" s="428">
        <f>C218*Factors!H268*g_kg*kg_mt*GWP_N2O</f>
        <v>0</v>
      </c>
      <c r="V218" s="428">
        <f>D218*Factors!I268*g_kg*kg_mt*GWP_N2O</f>
        <v>0</v>
      </c>
      <c r="W218" s="428">
        <f>E218*Factors!J268*g_kg*kg_mt*GWP_N2O</f>
        <v>0</v>
      </c>
      <c r="X218" s="66">
        <f t="shared" si="107"/>
        <v>0</v>
      </c>
    </row>
    <row r="219" spans="1:27">
      <c r="B219" s="155" t="s">
        <v>408</v>
      </c>
      <c r="C219" s="154">
        <f>SUMIFS('Mobile-Data'!$I$9:$I$1048576,'Mobile-Data'!$C$9:$C$1048576,$C$162,'Mobile-Data'!$E$9:$E$1048576,C$215,'Mobile-Data'!$G$9:$G$1048576,$B219)</f>
        <v>0</v>
      </c>
      <c r="D219" s="154">
        <f>SUMIFS('Mobile-Data'!$I$9:$I$1048576,'Mobile-Data'!$C$9:$C$1048576,$C$162,'Mobile-Data'!$E$9:$E$1048576,D$215,'Mobile-Data'!$G$9:$G$1048576,$B219)</f>
        <v>0</v>
      </c>
      <c r="E219" s="154">
        <f>SUMIFS('Mobile-Data'!$I$9:$I$1048576,'Mobile-Data'!$C$9:$C$1048576,$C$162,'Mobile-Data'!$E$9:$E$1048576,E$215,'Mobile-Data'!$G$9:$G$1048576,$B219)</f>
        <v>0</v>
      </c>
      <c r="F219" s="138">
        <f t="shared" si="105"/>
        <v>0</v>
      </c>
      <c r="K219" s="155" t="s">
        <v>408</v>
      </c>
      <c r="L219" s="428">
        <f>C219*Factors!C269*g_kg*kg_mt*GWP_CH4</f>
        <v>0</v>
      </c>
      <c r="M219" s="428">
        <f>D219*Factors!D269*g_kg*kg_mt*GWP_CH4</f>
        <v>0</v>
      </c>
      <c r="N219" s="428">
        <f>E219*Factors!E269*g_kg*kg_mt*GWP_CH4</f>
        <v>0</v>
      </c>
      <c r="O219" s="66">
        <f t="shared" si="106"/>
        <v>0</v>
      </c>
      <c r="T219" s="155" t="s">
        <v>408</v>
      </c>
      <c r="U219" s="428">
        <f>C219*Factors!H269*g_kg*kg_mt*GWP_N2O</f>
        <v>0</v>
      </c>
      <c r="V219" s="428">
        <f>D219*Factors!I269*g_kg*kg_mt*GWP_N2O</f>
        <v>0</v>
      </c>
      <c r="W219" s="428">
        <f>E219*Factors!J269*g_kg*kg_mt*GWP_N2O</f>
        <v>0</v>
      </c>
      <c r="X219" s="66">
        <f t="shared" si="107"/>
        <v>0</v>
      </c>
    </row>
    <row r="220" spans="1:27">
      <c r="B220" s="155" t="s">
        <v>377</v>
      </c>
      <c r="C220" s="154">
        <f>SUMIFS('Mobile-Data'!$I$9:$I$1048576,'Mobile-Data'!$C$9:$C$1048576,$C$162,'Mobile-Data'!$E$9:$E$1048576,C$215,'Mobile-Data'!$G$9:$G$1048576,$B220)</f>
        <v>0</v>
      </c>
      <c r="D220" s="154">
        <f>SUMIFS('Mobile-Data'!$I$9:$I$1048576,'Mobile-Data'!$C$9:$C$1048576,$C$162,'Mobile-Data'!$E$9:$E$1048576,D$215,'Mobile-Data'!$G$9:$G$1048576,$B220)</f>
        <v>0</v>
      </c>
      <c r="E220" s="154">
        <f>SUMIFS('Mobile-Data'!$I$9:$I$1048576,'Mobile-Data'!$C$9:$C$1048576,$C$162,'Mobile-Data'!$E$9:$E$1048576,E$215,'Mobile-Data'!$G$9:$G$1048576,$B220)</f>
        <v>0</v>
      </c>
      <c r="F220" s="138">
        <f t="shared" si="105"/>
        <v>0</v>
      </c>
      <c r="K220" s="155" t="s">
        <v>377</v>
      </c>
      <c r="L220" s="428">
        <f>C220*Factors!C270*g_kg*kg_mt*GWP_CH4</f>
        <v>0</v>
      </c>
      <c r="M220" s="428">
        <f>D220*Factors!D270*g_kg*kg_mt*GWP_CH4</f>
        <v>0</v>
      </c>
      <c r="N220" s="428">
        <f>E220*Factors!E270*g_kg*kg_mt*GWP_CH4</f>
        <v>0</v>
      </c>
      <c r="O220" s="66">
        <f t="shared" si="106"/>
        <v>0</v>
      </c>
      <c r="T220" s="155" t="s">
        <v>377</v>
      </c>
      <c r="U220" s="428">
        <f>C220*Factors!H270*g_kg*kg_mt*GWP_N2O</f>
        <v>0</v>
      </c>
      <c r="V220" s="428">
        <f>D220*Factors!I270*g_kg*kg_mt*GWP_N2O</f>
        <v>0</v>
      </c>
      <c r="W220" s="428">
        <f>E220*Factors!J270*g_kg*kg_mt*GWP_N2O</f>
        <v>0</v>
      </c>
      <c r="X220" s="66">
        <f t="shared" si="107"/>
        <v>0</v>
      </c>
    </row>
    <row r="221" spans="1:27">
      <c r="B221" s="155" t="s">
        <v>378</v>
      </c>
      <c r="C221" s="154">
        <f>SUMIFS('Mobile-Data'!$I$9:$I$1048576,'Mobile-Data'!$C$9:$C$1048576,$C$162,'Mobile-Data'!$E$9:$E$1048576,C$215,'Mobile-Data'!$G$9:$G$1048576,$B221)</f>
        <v>0</v>
      </c>
      <c r="D221" s="154">
        <f>SUMIFS('Mobile-Data'!$I$9:$I$1048576,'Mobile-Data'!$C$9:$C$1048576,$C$162,'Mobile-Data'!$E$9:$E$1048576,D$215,'Mobile-Data'!$G$9:$G$1048576,$B221)</f>
        <v>0</v>
      </c>
      <c r="E221" s="154">
        <f>SUMIFS('Mobile-Data'!$I$9:$I$1048576,'Mobile-Data'!$C$9:$C$1048576,$C$162,'Mobile-Data'!$E$9:$E$1048576,E$215,'Mobile-Data'!$G$9:$G$1048576,$B221)</f>
        <v>0</v>
      </c>
      <c r="F221" s="138">
        <f t="shared" si="105"/>
        <v>0</v>
      </c>
      <c r="K221" s="155" t="s">
        <v>378</v>
      </c>
      <c r="L221" s="428">
        <f>C221*Factors!C271*g_kg*kg_mt*GWP_CH4</f>
        <v>0</v>
      </c>
      <c r="M221" s="428">
        <f>D221*Factors!D271*g_kg*kg_mt*GWP_CH4</f>
        <v>0</v>
      </c>
      <c r="N221" s="428">
        <f>E221*Factors!E271*g_kg*kg_mt*GWP_CH4</f>
        <v>0</v>
      </c>
      <c r="O221" s="66">
        <f t="shared" si="106"/>
        <v>0</v>
      </c>
      <c r="T221" s="155" t="s">
        <v>378</v>
      </c>
      <c r="U221" s="428">
        <f>C221*Factors!H271*g_kg*kg_mt*GWP_N2O</f>
        <v>0</v>
      </c>
      <c r="V221" s="428">
        <f>D221*Factors!I271*g_kg*kg_mt*GWP_N2O</f>
        <v>0</v>
      </c>
      <c r="W221" s="428">
        <f>E221*Factors!J271*g_kg*kg_mt*GWP_N2O</f>
        <v>0</v>
      </c>
      <c r="X221" s="66">
        <f t="shared" si="107"/>
        <v>0</v>
      </c>
    </row>
    <row r="222" spans="1:27">
      <c r="B222" s="876" t="s">
        <v>253</v>
      </c>
      <c r="C222" s="97">
        <f>SUM(C216:C221)</f>
        <v>0</v>
      </c>
      <c r="D222" s="97">
        <f>SUM(D216:D221)</f>
        <v>0</v>
      </c>
      <c r="E222" s="97">
        <f>SUM(E216:E221)</f>
        <v>0</v>
      </c>
      <c r="F222" s="882">
        <f t="shared" si="105"/>
        <v>0</v>
      </c>
      <c r="K222" s="860" t="s">
        <v>253</v>
      </c>
      <c r="L222" s="222">
        <f>SUM(L216:L221)</f>
        <v>0</v>
      </c>
      <c r="M222" s="222">
        <f>SUM(M216:M221)</f>
        <v>0</v>
      </c>
      <c r="N222" s="222">
        <f>SUM(N216:N221)</f>
        <v>0</v>
      </c>
      <c r="O222" s="883">
        <f t="shared" si="106"/>
        <v>0</v>
      </c>
      <c r="T222" s="860" t="s">
        <v>253</v>
      </c>
      <c r="U222" s="222">
        <f>SUM(U216:U221)</f>
        <v>0</v>
      </c>
      <c r="V222" s="222">
        <f>SUM(V216:V221)</f>
        <v>0</v>
      </c>
      <c r="W222" s="222">
        <f>SUM(W216:W221)</f>
        <v>0</v>
      </c>
      <c r="X222" s="883">
        <f t="shared" si="107"/>
        <v>0</v>
      </c>
    </row>
    <row r="225" spans="1:26">
      <c r="A225" s="265" t="s">
        <v>443</v>
      </c>
    </row>
    <row r="226" spans="1:26" ht="16.5">
      <c r="B226" s="1" t="s">
        <v>444</v>
      </c>
      <c r="K226" s="1" t="s">
        <v>445</v>
      </c>
      <c r="T226" t="s">
        <v>446</v>
      </c>
    </row>
    <row r="227" spans="1:26" ht="16.5">
      <c r="B227" s="57" t="s">
        <v>447</v>
      </c>
      <c r="K227" t="s">
        <v>448</v>
      </c>
      <c r="T227" s="57" t="s">
        <v>449</v>
      </c>
    </row>
    <row r="228" spans="1:26" ht="58">
      <c r="B228" s="163" t="s">
        <v>450</v>
      </c>
      <c r="C228" s="127" t="s">
        <v>168</v>
      </c>
      <c r="D228" s="96" t="s">
        <v>175</v>
      </c>
      <c r="E228" s="96" t="s">
        <v>172</v>
      </c>
      <c r="F228" s="96" t="s">
        <v>391</v>
      </c>
      <c r="G228" s="96" t="s">
        <v>180</v>
      </c>
      <c r="H228" s="96" t="s">
        <v>389</v>
      </c>
      <c r="I228" s="868" t="s">
        <v>263</v>
      </c>
      <c r="K228" s="870" t="s">
        <v>450</v>
      </c>
      <c r="L228" s="96" t="s">
        <v>175</v>
      </c>
      <c r="M228" s="96" t="s">
        <v>172</v>
      </c>
      <c r="N228" s="96" t="s">
        <v>391</v>
      </c>
      <c r="O228" s="96" t="s">
        <v>180</v>
      </c>
      <c r="P228" s="96" t="s">
        <v>389</v>
      </c>
      <c r="Q228" s="868" t="s">
        <v>263</v>
      </c>
      <c r="T228" s="860" t="s">
        <v>450</v>
      </c>
      <c r="U228" s="96" t="s">
        <v>175</v>
      </c>
      <c r="V228" s="96" t="s">
        <v>172</v>
      </c>
      <c r="W228" s="96" t="s">
        <v>391</v>
      </c>
      <c r="X228" s="96" t="s">
        <v>180</v>
      </c>
      <c r="Y228" s="96" t="s">
        <v>389</v>
      </c>
      <c r="Z228" s="868" t="s">
        <v>263</v>
      </c>
    </row>
    <row r="229" spans="1:26">
      <c r="B229" s="161" t="s">
        <v>451</v>
      </c>
      <c r="C229" s="160" t="s">
        <v>452</v>
      </c>
      <c r="D229" s="429">
        <f>SUMIFS('Mobile-Data'!$I$9:$I$1048576,'Mobile-Data'!$E$9:$E$1048576,"Motorcycle",'Mobile-Data'!$C$9:$C$1048576,'Mobile-Detail Calcs'!$C$162,'Mobile-Data'!$D$9:$D$1048576,"&gt;=1996")</f>
        <v>0</v>
      </c>
      <c r="E229" s="429"/>
      <c r="F229" s="429"/>
      <c r="G229" s="429"/>
      <c r="H229" s="429"/>
      <c r="I229" s="993">
        <f>SUM(D229:H229)</f>
        <v>0</v>
      </c>
      <c r="K229" s="156" t="s">
        <v>451</v>
      </c>
      <c r="L229" s="167">
        <f>D229*Factors!B277*g_kg*kg_mt*GWP_CH4</f>
        <v>0</v>
      </c>
      <c r="M229" s="167"/>
      <c r="N229" s="167"/>
      <c r="O229" s="167"/>
      <c r="P229" s="167"/>
      <c r="Q229" s="125">
        <f>SUM(L229:P229)</f>
        <v>0</v>
      </c>
      <c r="T229" s="157" t="s">
        <v>451</v>
      </c>
      <c r="U229" s="167">
        <f>D229*Factors!G277*g_kg*kg_mt*GWP_N2O</f>
        <v>0</v>
      </c>
      <c r="V229" s="167"/>
      <c r="W229" s="167"/>
      <c r="X229" s="167"/>
      <c r="Y229" s="167"/>
      <c r="Z229" s="125">
        <f>SUM(U229:Y229)</f>
        <v>0</v>
      </c>
    </row>
    <row r="230" spans="1:26">
      <c r="B230" s="161" t="s">
        <v>453</v>
      </c>
      <c r="C230" s="160" t="s">
        <v>452</v>
      </c>
      <c r="D230" s="429">
        <f>SUMIFS('Mobile-Data'!$I$9:$I$1048576,'Mobile-Data'!$E$9:$E$1048576,"Motorcycle",'Mobile-Data'!$C$9:$C$1048576,'Mobile-Detail Calcs'!$C$162,'Mobile-Data'!$D$9:$D$1048576,"&lt;1996")</f>
        <v>0</v>
      </c>
      <c r="E230" s="429"/>
      <c r="F230" s="429"/>
      <c r="G230" s="429"/>
      <c r="H230" s="429"/>
      <c r="I230" s="993">
        <f t="shared" ref="I230:I236" si="108">SUM(D230:H230)</f>
        <v>0</v>
      </c>
      <c r="K230" s="156" t="s">
        <v>453</v>
      </c>
      <c r="L230" s="167">
        <f>D230*Factors!B278*g_kg*kg_mt*GWP_CH4</f>
        <v>0</v>
      </c>
      <c r="M230" s="167"/>
      <c r="N230" s="167"/>
      <c r="O230" s="167"/>
      <c r="P230" s="167"/>
      <c r="Q230" s="125">
        <f t="shared" ref="Q230:Q237" si="109">SUM(L230:P230)</f>
        <v>0</v>
      </c>
      <c r="T230" s="157" t="s">
        <v>453</v>
      </c>
      <c r="U230" s="167">
        <f>D230*Factors!G278*g_kg*kg_mt*GWP_N2O</f>
        <v>0</v>
      </c>
      <c r="V230" s="167"/>
      <c r="W230" s="167"/>
      <c r="X230" s="167"/>
      <c r="Y230" s="167"/>
      <c r="Z230" s="125">
        <f t="shared" ref="Z230:Z237" si="110">SUM(U230:Y230)</f>
        <v>0</v>
      </c>
    </row>
    <row r="231" spans="1:26">
      <c r="B231" s="161" t="s">
        <v>365</v>
      </c>
      <c r="C231" s="160" t="s">
        <v>410</v>
      </c>
      <c r="D231" s="430">
        <f>SUMIFS('Mobile-Data'!$H$9:$H$1048576,'Mobile-Data'!$C$9:$C$1048576,$C$162,'Mobile-Data'!$E$9:$E$1048576,$B231,'Mobile-Data'!$G$9:$G$1048576,D$228)</f>
        <v>0</v>
      </c>
      <c r="E231" s="430">
        <f>SUMIFS('Mobile-Data'!$H$9:$H$1048576,'Mobile-Data'!$C$9:$C$1048576,$C$162,'Mobile-Data'!$E$9:$E$1048576,$B231,'Mobile-Data'!$G$9:$G$1048576,E$228)</f>
        <v>0</v>
      </c>
      <c r="F231" s="429"/>
      <c r="G231" s="429"/>
      <c r="H231" s="429"/>
      <c r="I231" s="993">
        <f t="shared" si="108"/>
        <v>0</v>
      </c>
      <c r="K231" s="156" t="s">
        <v>365</v>
      </c>
      <c r="L231" s="167">
        <f>D231*Factors!B279*g_kg*kg_mt*GWP_CH4</f>
        <v>0</v>
      </c>
      <c r="M231" s="167">
        <f>E231*Factors!C279*g_kg*kg_mt*GWP_CH4</f>
        <v>0</v>
      </c>
      <c r="N231" s="167"/>
      <c r="O231" s="167"/>
      <c r="P231" s="167"/>
      <c r="Q231" s="125">
        <f t="shared" si="109"/>
        <v>0</v>
      </c>
      <c r="T231" s="157" t="s">
        <v>365</v>
      </c>
      <c r="U231" s="167">
        <f>D231*Factors!G279*g_kg*kg_mt*GWP_N2O</f>
        <v>0</v>
      </c>
      <c r="V231" s="167">
        <f>E231*Factors!H279*g_kg*kg_mt*GWP_N2O</f>
        <v>0</v>
      </c>
      <c r="W231" s="167"/>
      <c r="X231" s="167"/>
      <c r="Y231" s="167"/>
      <c r="Z231" s="125">
        <f t="shared" si="110"/>
        <v>0</v>
      </c>
    </row>
    <row r="232" spans="1:26">
      <c r="B232" s="161" t="s">
        <v>366</v>
      </c>
      <c r="C232" s="160" t="s">
        <v>410</v>
      </c>
      <c r="D232" s="430">
        <f>SUMIFS('Mobile-Data'!$H$9:$H$1048576,'Mobile-Data'!$C$9:$C$1048576,$C$162,'Mobile-Data'!$E$9:$E$1048576,$B232,'Mobile-Data'!$G$9:$G$1048576,D$228)</f>
        <v>0</v>
      </c>
      <c r="E232" s="430">
        <f>SUMIFS('Mobile-Data'!$H$9:$H$1048576,'Mobile-Data'!$C$9:$C$1048576,$C$162,'Mobile-Data'!$E$9:$E$1048576,$B232,'Mobile-Data'!$G$9:$G$1048576,E$228)</f>
        <v>0</v>
      </c>
      <c r="F232" s="429"/>
      <c r="G232" s="429"/>
      <c r="H232" s="429"/>
      <c r="I232" s="993">
        <f t="shared" si="108"/>
        <v>0</v>
      </c>
      <c r="K232" s="156" t="s">
        <v>366</v>
      </c>
      <c r="L232" s="167">
        <f>D232*Factors!B280*g_kg*kg_mt*GWP_CH4</f>
        <v>0</v>
      </c>
      <c r="M232" s="167">
        <f>E232*Factors!C280*g_kg*kg_mt*GWP_CH4</f>
        <v>0</v>
      </c>
      <c r="N232" s="167"/>
      <c r="O232" s="167"/>
      <c r="P232" s="167"/>
      <c r="Q232" s="125">
        <f t="shared" si="109"/>
        <v>0</v>
      </c>
      <c r="T232" s="157" t="s">
        <v>366</v>
      </c>
      <c r="U232" s="167">
        <f>D232*Factors!G280*g_kg*kg_mt*GWP_N2O</f>
        <v>0</v>
      </c>
      <c r="V232" s="167">
        <f>E232*Factors!H280*g_kg*kg_mt*GWP_N2O</f>
        <v>0</v>
      </c>
      <c r="W232" s="167"/>
      <c r="X232" s="167"/>
      <c r="Y232" s="167"/>
      <c r="Z232" s="125">
        <f t="shared" si="110"/>
        <v>0</v>
      </c>
    </row>
    <row r="233" spans="1:26" ht="32.15" customHeight="1">
      <c r="B233" s="161" t="s">
        <v>367</v>
      </c>
      <c r="C233" s="160" t="s">
        <v>410</v>
      </c>
      <c r="D233" s="430">
        <f>SUMIFS('Mobile-Data'!$H$9:$H$1048576,'Mobile-Data'!$C$9:$C$1048576,$C$162,'Mobile-Data'!$E$9:$E$1048576,$B233,'Mobile-Data'!$G$9:$G$1048576,D$228)</f>
        <v>0</v>
      </c>
      <c r="E233" s="430">
        <f>SUMIFS('Mobile-Data'!$H$9:$H$1048576,'Mobile-Data'!$C$9:$C$1048576,$C$162,'Mobile-Data'!$E$9:$E$1048576,$B233,'Mobile-Data'!$G$9:$G$1048576,E$228)</f>
        <v>0</v>
      </c>
      <c r="F233" s="429"/>
      <c r="G233" s="429"/>
      <c r="H233" s="429"/>
      <c r="I233" s="993">
        <f t="shared" si="108"/>
        <v>0</v>
      </c>
      <c r="K233" s="156" t="s">
        <v>367</v>
      </c>
      <c r="L233" s="167">
        <f>D233*Factors!B281*g_kg*kg_mt*GWP_CH4</f>
        <v>0</v>
      </c>
      <c r="M233" s="167">
        <f>E233*Factors!C281*g_kg*kg_mt*GWP_CH4</f>
        <v>0</v>
      </c>
      <c r="N233" s="167"/>
      <c r="O233" s="167"/>
      <c r="P233" s="167"/>
      <c r="Q233" s="125">
        <f t="shared" si="109"/>
        <v>0</v>
      </c>
      <c r="T233" s="157" t="s">
        <v>367</v>
      </c>
      <c r="U233" s="167">
        <f>D233*Factors!G281*g_kg*kg_mt*GWP_N2O</f>
        <v>0</v>
      </c>
      <c r="V233" s="167">
        <f>E233*Factors!H281*g_kg*kg_mt*GWP_N2O</f>
        <v>0</v>
      </c>
      <c r="W233" s="167"/>
      <c r="X233" s="167"/>
      <c r="Y233" s="167"/>
      <c r="Z233" s="125">
        <f t="shared" si="110"/>
        <v>0</v>
      </c>
    </row>
    <row r="234" spans="1:26">
      <c r="B234" s="161" t="s">
        <v>368</v>
      </c>
      <c r="C234" s="160" t="s">
        <v>410</v>
      </c>
      <c r="D234" s="429"/>
      <c r="E234" s="429"/>
      <c r="F234" s="429"/>
      <c r="G234" s="430">
        <f>SUMIFS('Mobile-Data'!$H$9:$H$1048576,'Mobile-Data'!$C$9:$C$1048576,$C$162,'Mobile-Data'!$E$9:$E$1048576,$B234,'Mobile-Data'!$G$9:$G$1048576,G$228)</f>
        <v>0</v>
      </c>
      <c r="H234" s="430">
        <f>SUMIFS('Mobile-Data'!$H$9:$H$1048576,'Mobile-Data'!$C$9:$C$1048576,$C$162,'Mobile-Data'!$E$9:$E$1048576,$B234,'Mobile-Data'!$G$9:$G$1048576,H$228)</f>
        <v>0</v>
      </c>
      <c r="I234" s="993">
        <f t="shared" si="108"/>
        <v>0</v>
      </c>
      <c r="K234" s="156" t="s">
        <v>368</v>
      </c>
      <c r="L234" s="167"/>
      <c r="M234" s="167"/>
      <c r="N234" s="167"/>
      <c r="O234" s="167">
        <f>G234*Factors!E282*g_kg*kg_mt*GWP_CH4</f>
        <v>0</v>
      </c>
      <c r="P234" s="167">
        <f>H234*Factors!F282*g_kg*kg_mt*GWP_CH4</f>
        <v>0</v>
      </c>
      <c r="Q234" s="125">
        <f t="shared" si="109"/>
        <v>0</v>
      </c>
      <c r="T234" s="157" t="s">
        <v>368</v>
      </c>
      <c r="U234" s="167"/>
      <c r="V234" s="167"/>
      <c r="W234" s="167"/>
      <c r="X234" s="167">
        <f>G234*Factors!J282*g_kg*kg_mt*GWP_N2O</f>
        <v>0</v>
      </c>
      <c r="Y234" s="167">
        <f>H234*Factors!K282*g_kg*kg_mt*GWP_N2O</f>
        <v>0</v>
      </c>
      <c r="Z234" s="125">
        <f t="shared" si="110"/>
        <v>0</v>
      </c>
    </row>
    <row r="235" spans="1:26">
      <c r="B235" s="161" t="s">
        <v>369</v>
      </c>
      <c r="C235" s="160" t="s">
        <v>410</v>
      </c>
      <c r="D235" s="430">
        <f>SUMIFS('Mobile-Data'!$H$9:$H$1048576,'Mobile-Data'!$C$9:$C$1048576,$C$162,'Mobile-Data'!$E$9:$E$1048576,$B235,'Mobile-Data'!$G$9:$G$1048576,D$228)</f>
        <v>0</v>
      </c>
      <c r="E235" s="430">
        <f>SUMIFS('Mobile-Data'!$H$9:$H$1048576,'Mobile-Data'!$C$9:$C$1048576,$C$162,'Mobile-Data'!$E$9:$E$1048576,$B235,'Mobile-Data'!$G$9:$G$1048576,E$228)</f>
        <v>0</v>
      </c>
      <c r="F235" s="430">
        <f>SUMIFS('Mobile-Data'!$H$9:$H$1048576,'Mobile-Data'!$C$9:$C$1048576,$C$162,'Mobile-Data'!$E$9:$E$1048576,$B235,'Mobile-Data'!$G$9:$G$1048576,F$228)</f>
        <v>0</v>
      </c>
      <c r="G235" s="429"/>
      <c r="H235" s="429"/>
      <c r="I235" s="993">
        <f t="shared" si="108"/>
        <v>0</v>
      </c>
      <c r="K235" s="156" t="s">
        <v>369</v>
      </c>
      <c r="L235" s="167">
        <f>D235*Factors!B283*g_kg*kg_mt*GWP_CH4</f>
        <v>0</v>
      </c>
      <c r="M235" s="167">
        <f>E235*Factors!C283*g_kg*kg_mt*GWP_CH4</f>
        <v>0</v>
      </c>
      <c r="N235" s="167">
        <f>F235*Factors!D283*g_kg*kg_mt*GWP_CH4</f>
        <v>0</v>
      </c>
      <c r="O235" s="167"/>
      <c r="P235" s="167"/>
      <c r="Q235" s="125">
        <f t="shared" si="109"/>
        <v>0</v>
      </c>
      <c r="T235" s="157" t="s">
        <v>369</v>
      </c>
      <c r="U235" s="167">
        <f>D235*Factors!G283*g_kg*kg_mt*GWP_N2O</f>
        <v>0</v>
      </c>
      <c r="V235" s="167">
        <f>E235*Factors!H283*g_kg*kg_mt*GWP_N2O</f>
        <v>0</v>
      </c>
      <c r="W235" s="167">
        <f>F235*Factors!I283*g_kg*kg_mt*GWP_N2O</f>
        <v>0</v>
      </c>
      <c r="X235" s="167"/>
      <c r="Y235" s="167"/>
      <c r="Z235" s="125">
        <f t="shared" si="110"/>
        <v>0</v>
      </c>
    </row>
    <row r="236" spans="1:26">
      <c r="B236" s="164" t="s">
        <v>370</v>
      </c>
      <c r="C236" s="162" t="s">
        <v>410</v>
      </c>
      <c r="D236" s="431"/>
      <c r="E236" s="432">
        <f>SUMIFS('Mobile-Data'!$H$9:$H$1048576,'Mobile-Data'!$C$9:$C$1048576,$C$162,'Mobile-Data'!$E$9:$E$1048576,$B236,'Mobile-Data'!$G$9:$G$1048576,E$228)</f>
        <v>0</v>
      </c>
      <c r="F236" s="431"/>
      <c r="G236" s="431"/>
      <c r="H236" s="431"/>
      <c r="I236" s="994">
        <f t="shared" si="108"/>
        <v>0</v>
      </c>
      <c r="K236" s="156" t="s">
        <v>370</v>
      </c>
      <c r="L236" s="167"/>
      <c r="M236" s="167">
        <f>E236*Factors!C284*g_kg*kg_mt*GWP_CH4</f>
        <v>0</v>
      </c>
      <c r="N236" s="167"/>
      <c r="O236" s="167"/>
      <c r="P236" s="167"/>
      <c r="Q236" s="125">
        <f t="shared" si="109"/>
        <v>0</v>
      </c>
      <c r="T236" s="157" t="s">
        <v>370</v>
      </c>
      <c r="U236" s="167"/>
      <c r="V236" s="167">
        <f>E236*Factors!H284*g_kg*kg_mt*GWP_N2O</f>
        <v>0</v>
      </c>
      <c r="W236" s="167"/>
      <c r="X236" s="167"/>
      <c r="Y236" s="167"/>
      <c r="Z236" s="125">
        <f t="shared" si="110"/>
        <v>0</v>
      </c>
    </row>
    <row r="237" spans="1:26" ht="18" customHeight="1">
      <c r="B237" s="159"/>
      <c r="C237" s="130"/>
      <c r="D237" s="130"/>
      <c r="E237" s="158"/>
      <c r="F237" s="130"/>
      <c r="G237" s="130"/>
      <c r="H237" s="130"/>
      <c r="I237" s="130"/>
      <c r="K237" s="860" t="s">
        <v>253</v>
      </c>
      <c r="L237" s="433">
        <f>SUM(L229:L233)</f>
        <v>0</v>
      </c>
      <c r="M237" s="433">
        <f>SUM(M229:M233)</f>
        <v>0</v>
      </c>
      <c r="N237" s="433">
        <f>SUM(N229:N233)</f>
        <v>0</v>
      </c>
      <c r="O237" s="433">
        <f>SUM(O229:O233)</f>
        <v>0</v>
      </c>
      <c r="P237" s="433">
        <f>SUM(P229:P233)</f>
        <v>0</v>
      </c>
      <c r="Q237" s="884">
        <f t="shared" si="109"/>
        <v>0</v>
      </c>
      <c r="T237" s="885" t="s">
        <v>253</v>
      </c>
      <c r="U237" s="433">
        <f>SUM(U229:U233)</f>
        <v>0</v>
      </c>
      <c r="V237" s="433">
        <f>SUM(V229:V233)</f>
        <v>0</v>
      </c>
      <c r="W237" s="433">
        <f>SUM(W229:W233)</f>
        <v>0</v>
      </c>
      <c r="X237" s="433">
        <f>SUM(X229:X233)</f>
        <v>0</v>
      </c>
      <c r="Y237" s="433">
        <f>SUM(Y229:Y233)</f>
        <v>0</v>
      </c>
      <c r="Z237" s="996">
        <f t="shared" si="110"/>
        <v>0</v>
      </c>
    </row>
    <row r="238" spans="1:26" ht="18" customHeight="1">
      <c r="B238" s="159"/>
      <c r="C238" s="130"/>
      <c r="D238" s="130"/>
      <c r="E238" s="158"/>
      <c r="F238" s="130"/>
      <c r="G238" s="130"/>
      <c r="H238" s="130"/>
      <c r="I238" s="130"/>
      <c r="L238" s="168"/>
      <c r="M238" s="168"/>
      <c r="N238" s="168"/>
      <c r="O238" s="168"/>
      <c r="P238" s="168"/>
      <c r="Q238" s="169"/>
      <c r="T238" s="170"/>
      <c r="U238" s="168"/>
      <c r="V238" s="168"/>
      <c r="W238" s="168"/>
      <c r="X238" s="168"/>
      <c r="Y238" s="168"/>
      <c r="Z238" s="171"/>
    </row>
    <row r="239" spans="1:26">
      <c r="A239" s="268" t="s">
        <v>454</v>
      </c>
    </row>
    <row r="240" spans="1:26" ht="16.5">
      <c r="B240" s="260" t="s">
        <v>455</v>
      </c>
    </row>
    <row r="241" spans="1:5">
      <c r="B241" t="s">
        <v>421</v>
      </c>
      <c r="C241" s="860" t="str">
        <f>mob_nonCO2_current_dept</f>
        <v>Residential</v>
      </c>
    </row>
    <row r="243" spans="1:5" ht="16.5">
      <c r="B243" s="860"/>
      <c r="C243" s="97" t="s">
        <v>456</v>
      </c>
      <c r="D243" s="97" t="s">
        <v>457</v>
      </c>
      <c r="E243" s="853" t="s">
        <v>263</v>
      </c>
    </row>
    <row r="244" spans="1:5">
      <c r="B244" s="99" t="s">
        <v>403</v>
      </c>
      <c r="C244" s="165">
        <f>SUM(L210:Q210)</f>
        <v>0</v>
      </c>
      <c r="D244" s="165">
        <f>SUM(U210:Z210)</f>
        <v>0</v>
      </c>
      <c r="E244" s="995">
        <f>SUM(C244:D244)</f>
        <v>0</v>
      </c>
    </row>
    <row r="245" spans="1:5">
      <c r="B245" s="99" t="s">
        <v>458</v>
      </c>
      <c r="C245" s="165">
        <f>SUM(L222:N222)</f>
        <v>0</v>
      </c>
      <c r="D245" s="165">
        <f>SUM(U222:W222)</f>
        <v>0</v>
      </c>
      <c r="E245" s="995">
        <f>SUM(C245:D245)</f>
        <v>0</v>
      </c>
    </row>
    <row r="246" spans="1:5">
      <c r="B246" s="99" t="s">
        <v>459</v>
      </c>
      <c r="C246" s="165">
        <f>SUM(L237:P237)</f>
        <v>0</v>
      </c>
      <c r="D246" s="165">
        <f>SUM(U237:Y237)</f>
        <v>0</v>
      </c>
      <c r="E246" s="995">
        <f>SUM(C246:D246)</f>
        <v>0</v>
      </c>
    </row>
    <row r="247" spans="1:5">
      <c r="B247" s="840" t="s">
        <v>253</v>
      </c>
      <c r="C247" s="166">
        <f>SUM(C244:C246)</f>
        <v>0</v>
      </c>
      <c r="D247" s="166">
        <f>SUM(D244:D246)</f>
        <v>0</v>
      </c>
      <c r="E247" s="886">
        <f>SUM(C247:D247)</f>
        <v>0</v>
      </c>
    </row>
    <row r="248" spans="1:5">
      <c r="B248" s="1018" t="s">
        <v>1226</v>
      </c>
    </row>
    <row r="249" spans="1:5" ht="16.5">
      <c r="A249" s="268" t="s">
        <v>460</v>
      </c>
    </row>
    <row r="250" spans="1:5" ht="16.5">
      <c r="B250" s="860"/>
      <c r="C250" s="97" t="s">
        <v>456</v>
      </c>
      <c r="D250" s="97" t="s">
        <v>457</v>
      </c>
      <c r="E250" s="853" t="s">
        <v>263</v>
      </c>
    </row>
    <row r="251" spans="1:5">
      <c r="A251" s="284" t="s">
        <v>101</v>
      </c>
      <c r="B251" s="99" t="str">
        <f>B129</f>
        <v>Residential</v>
      </c>
      <c r="C251" s="167">
        <v>0</v>
      </c>
      <c r="D251" s="167">
        <v>0</v>
      </c>
      <c r="E251" s="125">
        <f>SUM(C251:D251)</f>
        <v>0</v>
      </c>
    </row>
    <row r="252" spans="1:5">
      <c r="B252" s="99" t="str">
        <f t="shared" ref="B252:B270" si="111">B130</f>
        <v>Commercial/Institutional</v>
      </c>
      <c r="C252" s="167">
        <v>0</v>
      </c>
      <c r="D252" s="167">
        <v>0</v>
      </c>
      <c r="E252" s="125">
        <f t="shared" ref="E252:E271" si="112">SUM(C252:D252)</f>
        <v>0</v>
      </c>
    </row>
    <row r="253" spans="1:5">
      <c r="B253" s="99" t="str">
        <f t="shared" si="111"/>
        <v>Industrial</v>
      </c>
      <c r="C253" s="167">
        <v>0</v>
      </c>
      <c r="D253" s="167">
        <v>0</v>
      </c>
      <c r="E253" s="125">
        <f t="shared" si="112"/>
        <v>0</v>
      </c>
    </row>
    <row r="254" spans="1:5">
      <c r="B254" s="99" t="str">
        <f t="shared" si="111"/>
        <v>Energy Generation</v>
      </c>
      <c r="C254" s="167">
        <v>0</v>
      </c>
      <c r="D254" s="167">
        <v>0</v>
      </c>
      <c r="E254" s="125">
        <f t="shared" si="112"/>
        <v>0</v>
      </c>
    </row>
    <row r="255" spans="1:5" hidden="1">
      <c r="B255" s="99">
        <f t="shared" si="111"/>
        <v>0</v>
      </c>
      <c r="C255" s="167">
        <v>0</v>
      </c>
      <c r="D255" s="167">
        <v>0</v>
      </c>
      <c r="E255" s="125">
        <f t="shared" si="112"/>
        <v>0</v>
      </c>
    </row>
    <row r="256" spans="1:5" hidden="1">
      <c r="B256" s="99">
        <f t="shared" si="111"/>
        <v>0</v>
      </c>
      <c r="C256" s="167">
        <v>0</v>
      </c>
      <c r="D256" s="167">
        <v>0</v>
      </c>
      <c r="E256" s="125">
        <f t="shared" si="112"/>
        <v>0</v>
      </c>
    </row>
    <row r="257" spans="2:5" hidden="1">
      <c r="B257" s="99">
        <f t="shared" si="111"/>
        <v>0</v>
      </c>
      <c r="C257" s="167">
        <v>0</v>
      </c>
      <c r="D257" s="167">
        <v>0</v>
      </c>
      <c r="E257" s="125">
        <f t="shared" si="112"/>
        <v>0</v>
      </c>
    </row>
    <row r="258" spans="2:5" hidden="1">
      <c r="B258" s="99">
        <f t="shared" si="111"/>
        <v>0</v>
      </c>
      <c r="C258" s="167">
        <v>0</v>
      </c>
      <c r="D258" s="167">
        <v>0</v>
      </c>
      <c r="E258" s="125">
        <f t="shared" si="112"/>
        <v>0</v>
      </c>
    </row>
    <row r="259" spans="2:5" hidden="1">
      <c r="B259" s="99">
        <f t="shared" si="111"/>
        <v>0</v>
      </c>
      <c r="C259" s="167">
        <v>0</v>
      </c>
      <c r="D259" s="167">
        <v>0</v>
      </c>
      <c r="E259" s="125">
        <f t="shared" si="112"/>
        <v>0</v>
      </c>
    </row>
    <row r="260" spans="2:5" hidden="1">
      <c r="B260" s="99">
        <f t="shared" si="111"/>
        <v>0</v>
      </c>
      <c r="C260" s="167">
        <v>0</v>
      </c>
      <c r="D260" s="167">
        <v>0</v>
      </c>
      <c r="E260" s="125">
        <f t="shared" si="112"/>
        <v>0</v>
      </c>
    </row>
    <row r="261" spans="2:5" hidden="1">
      <c r="B261" s="99">
        <f t="shared" si="111"/>
        <v>0</v>
      </c>
      <c r="C261" s="167">
        <v>0</v>
      </c>
      <c r="D261" s="167">
        <v>0</v>
      </c>
      <c r="E261" s="125">
        <f t="shared" si="112"/>
        <v>0</v>
      </c>
    </row>
    <row r="262" spans="2:5" hidden="1">
      <c r="B262" s="99">
        <f t="shared" si="111"/>
        <v>0</v>
      </c>
      <c r="C262" s="167">
        <v>0</v>
      </c>
      <c r="D262" s="167">
        <v>0</v>
      </c>
      <c r="E262" s="125">
        <f t="shared" si="112"/>
        <v>0</v>
      </c>
    </row>
    <row r="263" spans="2:5" hidden="1">
      <c r="B263" s="99">
        <f t="shared" si="111"/>
        <v>0</v>
      </c>
      <c r="C263" s="167">
        <v>0</v>
      </c>
      <c r="D263" s="167">
        <v>0</v>
      </c>
      <c r="E263" s="125">
        <f t="shared" si="112"/>
        <v>0</v>
      </c>
    </row>
    <row r="264" spans="2:5" hidden="1">
      <c r="B264" s="99">
        <f t="shared" si="111"/>
        <v>0</v>
      </c>
      <c r="C264" s="167">
        <v>0</v>
      </c>
      <c r="D264" s="167">
        <v>0</v>
      </c>
      <c r="E264" s="125">
        <f t="shared" si="112"/>
        <v>0</v>
      </c>
    </row>
    <row r="265" spans="2:5" hidden="1">
      <c r="B265" s="99">
        <f t="shared" si="111"/>
        <v>0</v>
      </c>
      <c r="C265" s="167">
        <v>0</v>
      </c>
      <c r="D265" s="167">
        <v>0</v>
      </c>
      <c r="E265" s="125">
        <f t="shared" si="112"/>
        <v>0</v>
      </c>
    </row>
    <row r="266" spans="2:5" hidden="1">
      <c r="B266" s="99">
        <f t="shared" si="111"/>
        <v>0</v>
      </c>
      <c r="C266" s="167">
        <v>0</v>
      </c>
      <c r="D266" s="167">
        <v>0</v>
      </c>
      <c r="E266" s="125">
        <f t="shared" si="112"/>
        <v>0</v>
      </c>
    </row>
    <row r="267" spans="2:5" hidden="1">
      <c r="B267" s="99">
        <f t="shared" si="111"/>
        <v>0</v>
      </c>
      <c r="C267" s="167">
        <v>0</v>
      </c>
      <c r="D267" s="167">
        <v>0</v>
      </c>
      <c r="E267" s="125">
        <f t="shared" si="112"/>
        <v>0</v>
      </c>
    </row>
    <row r="268" spans="2:5" hidden="1">
      <c r="B268" s="99">
        <f t="shared" si="111"/>
        <v>0</v>
      </c>
      <c r="C268" s="167">
        <v>0</v>
      </c>
      <c r="D268" s="167">
        <v>0</v>
      </c>
      <c r="E268" s="125">
        <f t="shared" si="112"/>
        <v>0</v>
      </c>
    </row>
    <row r="269" spans="2:5" hidden="1">
      <c r="B269" s="99">
        <f t="shared" si="111"/>
        <v>0</v>
      </c>
      <c r="C269" s="167">
        <v>0</v>
      </c>
      <c r="D269" s="167">
        <v>0</v>
      </c>
      <c r="E269" s="125">
        <f t="shared" si="112"/>
        <v>0</v>
      </c>
    </row>
    <row r="270" spans="2:5" hidden="1">
      <c r="B270" s="99">
        <f t="shared" si="111"/>
        <v>0</v>
      </c>
      <c r="C270" s="167">
        <v>0</v>
      </c>
      <c r="D270" s="167">
        <v>0</v>
      </c>
      <c r="E270" s="125">
        <f t="shared" si="112"/>
        <v>0</v>
      </c>
    </row>
    <row r="271" spans="2:5">
      <c r="B271" s="840" t="s">
        <v>253</v>
      </c>
      <c r="C271" s="128">
        <f>SUM(C251:C270)</f>
        <v>0</v>
      </c>
      <c r="D271" s="128">
        <f>SUM(D251:D270)</f>
        <v>0</v>
      </c>
      <c r="E271" s="884">
        <f t="shared" si="112"/>
        <v>0</v>
      </c>
    </row>
    <row r="272" spans="2:5">
      <c r="B272" s="1018" t="s">
        <v>1226</v>
      </c>
    </row>
    <row r="274" spans="1:29" ht="15" thickBot="1"/>
    <row r="275" spans="1:29" customFormat="1" ht="65.150000000000006" customHeight="1" thickBot="1">
      <c r="A275" s="1073" t="s">
        <v>1</v>
      </c>
      <c r="B275" s="1073"/>
      <c r="C275" s="1073"/>
      <c r="D275" s="1073"/>
      <c r="E275" s="1073"/>
      <c r="F275" s="1073"/>
      <c r="G275" s="1073"/>
      <c r="H275" s="1073"/>
      <c r="I275" s="1073"/>
      <c r="J275" s="1073"/>
      <c r="K275" s="1073"/>
      <c r="L275" s="1073"/>
      <c r="M275" s="1073"/>
      <c r="N275" s="1073"/>
      <c r="O275" s="1073"/>
      <c r="P275" s="1073"/>
      <c r="Q275" s="478"/>
      <c r="R275" s="478"/>
      <c r="S275" s="478"/>
      <c r="T275" s="478"/>
      <c r="U275" s="478"/>
      <c r="V275" s="478"/>
      <c r="W275" s="478"/>
      <c r="X275" s="478"/>
      <c r="Y275" s="478"/>
      <c r="Z275" s="478"/>
      <c r="AA275" s="478"/>
      <c r="AB275" s="478"/>
      <c r="AC275" s="265"/>
    </row>
  </sheetData>
  <mergeCells count="2">
    <mergeCell ref="C162:E162"/>
    <mergeCell ref="A275:P275"/>
  </mergeCells>
  <dataValidations count="1">
    <dataValidation type="list" allowBlank="1" showInputMessage="1" showErrorMessage="1" sqref="C162" xr:uid="{00000000-0002-0000-0F00-000000000000}">
      <formula1>DepartmentList</formula1>
    </dataValidation>
  </dataValidations>
  <hyperlinks>
    <hyperlink ref="A3:B3" location="'Mobile-Detail Calcs'!A18" display="Activity Data" xr:uid="{00000000-0004-0000-0F00-000000000000}"/>
    <hyperlink ref="A4:B4" location="'Mobile-Detail Calcs'!A20" display="Fuel use by department and fuel type" xr:uid="{00000000-0004-0000-0F00-000001000000}"/>
    <hyperlink ref="A5:B5" location="'Mobile-Detail Calcs'!A46" display="Energy use by department and fuel type" xr:uid="{00000000-0004-0000-0F00-000002000000}"/>
    <hyperlink ref="A6:B6" location="'Mobile-Detail Calcs'!A73" display="CO2 Calculations" xr:uid="{00000000-0004-0000-0F00-000003000000}"/>
    <hyperlink ref="A7:B7" location="'Mobile-Detail Calcs'!A75" display="Gross CO2" xr:uid="{00000000-0004-0000-0F00-000004000000}"/>
    <hyperlink ref="A8:B8" location="'Mobile-Detail Calcs'!A102" display="Biogenic CO2" xr:uid="{00000000-0004-0000-0F00-000005000000}"/>
    <hyperlink ref="A9:B9" location="'Mobile-Detail Calcs'!A129" display="Net CO2" xr:uid="{00000000-0004-0000-0F00-000006000000}"/>
    <hyperlink ref="A10:B10" location="'Mobile-Detail Calcs'!A153" display="Non-CO2 Calculations" xr:uid="{00000000-0004-0000-0F00-000007000000}"/>
    <hyperlink ref="A11:B11" location="'Mobile-Detail Calcs'!A164" display="Highway Vehicles" xr:uid="{00000000-0004-0000-0F00-000008000000}"/>
    <hyperlink ref="A12:B12" location="'Mobile-Detail Calcs'!A205" display="Alternate Fuel Vehicles (AFVs)" xr:uid="{00000000-0004-0000-0F00-000009000000}"/>
    <hyperlink ref="A13:B13" location="'Mobile-Detail Calcs'!A218" display="Non-Highway Vehicles" xr:uid="{00000000-0004-0000-0F00-00000A000000}"/>
    <hyperlink ref="A3" location="'Mobile-Detail Calcs'!A17" display="Activity Data" xr:uid="{00000000-0004-0000-0F00-00000D000000}"/>
    <hyperlink ref="A4" location="'Mobile-Detail Calcs'!A19" display="Fuel use by department and fuel type" xr:uid="{00000000-0004-0000-0F00-00000E000000}"/>
    <hyperlink ref="A5" location="'Mobile-Detail Calcs'!A45" display="Energy use by department and fuel type" xr:uid="{00000000-0004-0000-0F00-00000F000000}"/>
    <hyperlink ref="A6" location="'Mobile-Detail Calcs'!A72" display="CO2 Calculations" xr:uid="{00000000-0004-0000-0F00-000010000000}"/>
    <hyperlink ref="A7" location="'Mobile-Detail Calcs'!A74" display="Gross CO2" xr:uid="{00000000-0004-0000-0F00-000011000000}"/>
    <hyperlink ref="A8" location="'Mobile-Detail Calcs'!A101" display="Biogenic CO2" xr:uid="{00000000-0004-0000-0F00-000012000000}"/>
    <hyperlink ref="A9" location="'Mobile-Detail Calcs'!A128" display="Net CO2" xr:uid="{00000000-0004-0000-0F00-000013000000}"/>
    <hyperlink ref="A10" location="'Mobile-Detail Calcs'!A155" display="Non-CO2 Calculations" xr:uid="{00000000-0004-0000-0F00-000014000000}"/>
    <hyperlink ref="A11" location="'Mobile-Detail Calcs'!A166" display="Highway Vehicles" xr:uid="{00000000-0004-0000-0F00-000015000000}"/>
    <hyperlink ref="A12" location="'Mobile-Detail Calcs'!A207" display="Alternate Fuel Vehicles (AFVs)" xr:uid="{00000000-0004-0000-0F00-000016000000}"/>
    <hyperlink ref="A13" location="'Mobile-Detail Calcs'!A220" display="Non-Highway Vehicles" xr:uid="{00000000-0004-0000-0F00-000017000000}"/>
    <hyperlink ref="A14" location="'Mobile-Detail Calcs'!A239" display="Total non-CO2 emissions, current sector" xr:uid="{6F374034-2922-406A-BDD8-512BB3001F37}"/>
    <hyperlink ref="A15" location="'Mobile-Detail Calcs'!A249" display="Non-CO2 emissions summary, all sectors" xr:uid="{5993C355-6C36-40A0-A3E7-C4555F5BD99A}"/>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9"/>
  </sheetPr>
  <dimension ref="A1:S81"/>
  <sheetViews>
    <sheetView showGridLines="0" workbookViewId="0">
      <selection activeCell="C57" sqref="C57"/>
    </sheetView>
  </sheetViews>
  <sheetFormatPr defaultColWidth="8.81640625" defaultRowHeight="14.5"/>
  <cols>
    <col min="1" max="1" width="8.81640625" style="265"/>
    <col min="2" max="2" width="29.7265625" customWidth="1"/>
    <col min="3" max="3" width="12.7265625" customWidth="1"/>
    <col min="4" max="4" width="11.26953125" customWidth="1"/>
    <col min="5" max="5" width="9.26953125" bestFit="1" customWidth="1"/>
    <col min="6" max="6" width="11.453125" customWidth="1"/>
    <col min="7" max="7" width="9.26953125" bestFit="1" customWidth="1"/>
    <col min="8" max="8" width="10.81640625" customWidth="1"/>
    <col min="9" max="9" width="14.1796875" customWidth="1"/>
    <col min="10" max="10" width="13.81640625" bestFit="1" customWidth="1"/>
    <col min="11" max="11" width="11.7265625" customWidth="1"/>
    <col min="12" max="12" width="10.453125" customWidth="1"/>
    <col min="13" max="13" width="9.81640625" customWidth="1"/>
    <col min="14" max="14" width="12.26953125" customWidth="1"/>
    <col min="17" max="17" width="8.81640625" style="308"/>
    <col min="18" max="19" width="0" style="109" hidden="1" customWidth="1"/>
    <col min="20" max="16384" width="8.81640625" style="109"/>
  </cols>
  <sheetData>
    <row r="1" spans="1:16" ht="38.25" customHeight="1" thickBot="1">
      <c r="A1" s="488" t="s">
        <v>461</v>
      </c>
      <c r="B1" s="483"/>
      <c r="C1" s="483"/>
      <c r="D1" s="483"/>
      <c r="E1" s="483"/>
      <c r="F1" s="483"/>
      <c r="G1" s="483"/>
      <c r="H1" s="483"/>
      <c r="I1" s="483"/>
      <c r="J1" s="483"/>
      <c r="K1" s="483"/>
      <c r="L1" s="483"/>
      <c r="M1" s="483"/>
      <c r="N1" s="483"/>
      <c r="O1" s="483"/>
      <c r="P1" s="483"/>
    </row>
    <row r="3" spans="1:16" ht="18.5">
      <c r="A3" s="283" t="s">
        <v>462</v>
      </c>
    </row>
    <row r="5" spans="1:16" ht="16.5">
      <c r="B5" s="1074" t="s">
        <v>463</v>
      </c>
      <c r="C5" s="1075"/>
      <c r="D5" s="1075"/>
      <c r="E5" s="1075"/>
      <c r="F5" s="1076"/>
      <c r="I5" s="1077" t="s">
        <v>464</v>
      </c>
      <c r="J5" s="1078"/>
      <c r="K5" s="1079"/>
    </row>
    <row r="6" spans="1:16" ht="16.5">
      <c r="B6" s="860"/>
      <c r="C6" s="181" t="s">
        <v>16</v>
      </c>
      <c r="D6" s="181" t="s">
        <v>20</v>
      </c>
      <c r="E6" s="181" t="s">
        <v>73</v>
      </c>
      <c r="F6" s="887" t="s">
        <v>263</v>
      </c>
      <c r="I6" s="248" t="s">
        <v>465</v>
      </c>
      <c r="J6" s="183" t="s">
        <v>466</v>
      </c>
      <c r="K6" s="888" t="s">
        <v>467</v>
      </c>
    </row>
    <row r="7" spans="1:16">
      <c r="A7" s="307" t="s">
        <v>101</v>
      </c>
      <c r="B7" s="99" t="str">
        <f t="shared" ref="B7:B26" si="0">B34</f>
        <v>Residential</v>
      </c>
      <c r="C7" s="242">
        <f>'Mobile-Detail Calcs'!N129</f>
        <v>0</v>
      </c>
      <c r="D7" s="791">
        <f>'Mobile-Detail Calcs'!C251</f>
        <v>0</v>
      </c>
      <c r="E7" s="791">
        <f>'Mobile-Detail Calcs'!D251</f>
        <v>0</v>
      </c>
      <c r="F7" s="240">
        <f>SUM(C7:E7)</f>
        <v>0</v>
      </c>
      <c r="I7" s="424">
        <f>'Mobile-Detail Calcs'!N77</f>
        <v>0</v>
      </c>
      <c r="J7" s="425">
        <f>'Mobile-Detail Calcs'!N103</f>
        <v>0</v>
      </c>
      <c r="K7" s="240">
        <f>'Mobile-Detail Calcs'!N129</f>
        <v>0</v>
      </c>
    </row>
    <row r="8" spans="1:16">
      <c r="B8" s="99" t="str">
        <f t="shared" si="0"/>
        <v>Commercial/Institutional</v>
      </c>
      <c r="C8" s="242">
        <f>'Mobile-Detail Calcs'!N130</f>
        <v>0</v>
      </c>
      <c r="D8" s="791">
        <f>'Mobile-Detail Calcs'!C252</f>
        <v>0</v>
      </c>
      <c r="E8" s="791">
        <f>'Mobile-Detail Calcs'!D252</f>
        <v>0</v>
      </c>
      <c r="F8" s="240">
        <f t="shared" ref="F8:F26" si="1">SUM(C8:E8)</f>
        <v>0</v>
      </c>
      <c r="I8" s="424">
        <f>'Mobile-Detail Calcs'!N78</f>
        <v>0</v>
      </c>
      <c r="J8" s="425">
        <f>'Mobile-Detail Calcs'!N104</f>
        <v>0</v>
      </c>
      <c r="K8" s="240">
        <f>'Mobile-Detail Calcs'!N130</f>
        <v>0</v>
      </c>
    </row>
    <row r="9" spans="1:16">
      <c r="B9" s="99" t="str">
        <f t="shared" si="0"/>
        <v>Industrial</v>
      </c>
      <c r="C9" s="242">
        <f>'Mobile-Detail Calcs'!N131</f>
        <v>0</v>
      </c>
      <c r="D9" s="791">
        <f>'Mobile-Detail Calcs'!C253</f>
        <v>0</v>
      </c>
      <c r="E9" s="791">
        <f>'Mobile-Detail Calcs'!D253</f>
        <v>0</v>
      </c>
      <c r="F9" s="240">
        <f t="shared" si="1"/>
        <v>0</v>
      </c>
      <c r="I9" s="424">
        <f>'Mobile-Detail Calcs'!N79</f>
        <v>0</v>
      </c>
      <c r="J9" s="425">
        <f>'Mobile-Detail Calcs'!N105</f>
        <v>0</v>
      </c>
      <c r="K9" s="240">
        <f>'Mobile-Detail Calcs'!N131</f>
        <v>0</v>
      </c>
    </row>
    <row r="10" spans="1:16">
      <c r="B10" s="99" t="str">
        <f t="shared" si="0"/>
        <v>Energy Generation</v>
      </c>
      <c r="C10" s="242">
        <f>'Mobile-Detail Calcs'!N132</f>
        <v>0</v>
      </c>
      <c r="D10" s="791">
        <f>'Mobile-Detail Calcs'!C254</f>
        <v>0</v>
      </c>
      <c r="E10" s="791">
        <f>'Mobile-Detail Calcs'!D254</f>
        <v>0</v>
      </c>
      <c r="F10" s="240">
        <f t="shared" si="1"/>
        <v>0</v>
      </c>
      <c r="I10" s="424">
        <f>'Mobile-Detail Calcs'!N80</f>
        <v>0</v>
      </c>
      <c r="J10" s="425">
        <f>'Mobile-Detail Calcs'!N106</f>
        <v>0</v>
      </c>
      <c r="K10" s="240">
        <f>'Mobile-Detail Calcs'!N132</f>
        <v>0</v>
      </c>
    </row>
    <row r="11" spans="1:16" hidden="1">
      <c r="B11" s="99">
        <f t="shared" si="0"/>
        <v>0</v>
      </c>
      <c r="C11" s="239">
        <f>'Mobile-Detail Calcs'!N133</f>
        <v>0</v>
      </c>
      <c r="D11" s="421">
        <f>'Mobile-Detail Calcs'!C255</f>
        <v>0</v>
      </c>
      <c r="E11" s="421">
        <f>'Mobile-Detail Calcs'!D255</f>
        <v>0</v>
      </c>
      <c r="F11" s="240">
        <f t="shared" si="1"/>
        <v>0</v>
      </c>
      <c r="I11" s="424">
        <f>'Mobile-Detail Calcs'!N81</f>
        <v>0</v>
      </c>
      <c r="J11" s="425">
        <f>'Mobile-Detail Calcs'!N107</f>
        <v>0</v>
      </c>
      <c r="K11" s="240">
        <f>'Mobile-Detail Calcs'!N133</f>
        <v>0</v>
      </c>
    </row>
    <row r="12" spans="1:16" hidden="1">
      <c r="B12" s="99">
        <f t="shared" si="0"/>
        <v>0</v>
      </c>
      <c r="C12" s="239">
        <f>'Mobile-Detail Calcs'!N134</f>
        <v>0</v>
      </c>
      <c r="D12" s="421">
        <f>'Mobile-Detail Calcs'!C256</f>
        <v>0</v>
      </c>
      <c r="E12" s="421">
        <f>'Mobile-Detail Calcs'!D256</f>
        <v>0</v>
      </c>
      <c r="F12" s="240">
        <f t="shared" si="1"/>
        <v>0</v>
      </c>
      <c r="I12" s="424">
        <f>'Mobile-Detail Calcs'!N82</f>
        <v>0</v>
      </c>
      <c r="J12" s="425">
        <f>'Mobile-Detail Calcs'!N108</f>
        <v>0</v>
      </c>
      <c r="K12" s="240">
        <f>'Mobile-Detail Calcs'!N134</f>
        <v>0</v>
      </c>
    </row>
    <row r="13" spans="1:16" hidden="1">
      <c r="B13" s="99">
        <f t="shared" si="0"/>
        <v>0</v>
      </c>
      <c r="C13" s="239">
        <f>'Mobile-Detail Calcs'!N135</f>
        <v>0</v>
      </c>
      <c r="D13" s="421">
        <f>'Mobile-Detail Calcs'!C257</f>
        <v>0</v>
      </c>
      <c r="E13" s="421">
        <f>'Mobile-Detail Calcs'!D257</f>
        <v>0</v>
      </c>
      <c r="F13" s="240">
        <f t="shared" si="1"/>
        <v>0</v>
      </c>
      <c r="I13" s="424">
        <f>'Mobile-Detail Calcs'!N83</f>
        <v>0</v>
      </c>
      <c r="J13" s="425">
        <f>'Mobile-Detail Calcs'!N109</f>
        <v>0</v>
      </c>
      <c r="K13" s="240">
        <f>'Mobile-Detail Calcs'!N135</f>
        <v>0</v>
      </c>
    </row>
    <row r="14" spans="1:16" hidden="1">
      <c r="B14" s="99">
        <f t="shared" si="0"/>
        <v>0</v>
      </c>
      <c r="C14" s="239">
        <f>'Mobile-Detail Calcs'!N136</f>
        <v>0</v>
      </c>
      <c r="D14" s="421">
        <f>'Mobile-Detail Calcs'!C258</f>
        <v>0</v>
      </c>
      <c r="E14" s="421">
        <f>'Mobile-Detail Calcs'!D258</f>
        <v>0</v>
      </c>
      <c r="F14" s="240">
        <f t="shared" si="1"/>
        <v>0</v>
      </c>
      <c r="I14" s="424">
        <f>'Mobile-Detail Calcs'!N84</f>
        <v>0</v>
      </c>
      <c r="J14" s="425">
        <f>'Mobile-Detail Calcs'!N110</f>
        <v>0</v>
      </c>
      <c r="K14" s="240">
        <f>'Mobile-Detail Calcs'!N136</f>
        <v>0</v>
      </c>
    </row>
    <row r="15" spans="1:16" hidden="1">
      <c r="B15" s="99">
        <f t="shared" si="0"/>
        <v>0</v>
      </c>
      <c r="C15" s="239">
        <f>'Mobile-Detail Calcs'!N137</f>
        <v>0</v>
      </c>
      <c r="D15" s="421">
        <f>'Mobile-Detail Calcs'!C259</f>
        <v>0</v>
      </c>
      <c r="E15" s="421">
        <f>'Mobile-Detail Calcs'!D259</f>
        <v>0</v>
      </c>
      <c r="F15" s="240">
        <f t="shared" si="1"/>
        <v>0</v>
      </c>
      <c r="I15" s="424">
        <f>'Mobile-Detail Calcs'!N85</f>
        <v>0</v>
      </c>
      <c r="J15" s="425">
        <f>'Mobile-Detail Calcs'!N111</f>
        <v>0</v>
      </c>
      <c r="K15" s="240">
        <f>'Mobile-Detail Calcs'!N137</f>
        <v>0</v>
      </c>
    </row>
    <row r="16" spans="1:16" hidden="1">
      <c r="B16" s="99">
        <f t="shared" si="0"/>
        <v>0</v>
      </c>
      <c r="C16" s="239">
        <f>'Mobile-Detail Calcs'!N138</f>
        <v>0</v>
      </c>
      <c r="D16" s="421">
        <f>'Mobile-Detail Calcs'!C260</f>
        <v>0</v>
      </c>
      <c r="E16" s="421">
        <f>'Mobile-Detail Calcs'!D260</f>
        <v>0</v>
      </c>
      <c r="F16" s="240">
        <f t="shared" si="1"/>
        <v>0</v>
      </c>
      <c r="I16" s="424">
        <f>'Mobile-Detail Calcs'!N86</f>
        <v>0</v>
      </c>
      <c r="J16" s="425">
        <f>'Mobile-Detail Calcs'!N112</f>
        <v>0</v>
      </c>
      <c r="K16" s="240">
        <f>'Mobile-Detail Calcs'!N138</f>
        <v>0</v>
      </c>
    </row>
    <row r="17" spans="1:14" hidden="1">
      <c r="B17" s="99">
        <f t="shared" si="0"/>
        <v>0</v>
      </c>
      <c r="C17" s="239">
        <f>'Mobile-Detail Calcs'!N139</f>
        <v>0</v>
      </c>
      <c r="D17" s="421">
        <f>'Mobile-Detail Calcs'!C261</f>
        <v>0</v>
      </c>
      <c r="E17" s="421">
        <f>'Mobile-Detail Calcs'!D261</f>
        <v>0</v>
      </c>
      <c r="F17" s="240">
        <f t="shared" si="1"/>
        <v>0</v>
      </c>
      <c r="I17" s="424">
        <f>'Mobile-Detail Calcs'!N87</f>
        <v>0</v>
      </c>
      <c r="J17" s="425">
        <f>'Mobile-Detail Calcs'!N113</f>
        <v>0</v>
      </c>
      <c r="K17" s="240">
        <f>'Mobile-Detail Calcs'!N139</f>
        <v>0</v>
      </c>
    </row>
    <row r="18" spans="1:14" hidden="1">
      <c r="B18" s="99">
        <f t="shared" si="0"/>
        <v>0</v>
      </c>
      <c r="C18" s="239">
        <f>'Mobile-Detail Calcs'!N140</f>
        <v>0</v>
      </c>
      <c r="D18" s="421">
        <f>'Mobile-Detail Calcs'!C262</f>
        <v>0</v>
      </c>
      <c r="E18" s="421">
        <f>'Mobile-Detail Calcs'!D262</f>
        <v>0</v>
      </c>
      <c r="F18" s="240">
        <f t="shared" si="1"/>
        <v>0</v>
      </c>
      <c r="I18" s="424">
        <f>'Mobile-Detail Calcs'!N88</f>
        <v>0</v>
      </c>
      <c r="J18" s="425">
        <f>'Mobile-Detail Calcs'!N114</f>
        <v>0</v>
      </c>
      <c r="K18" s="240">
        <f>'Mobile-Detail Calcs'!N140</f>
        <v>0</v>
      </c>
    </row>
    <row r="19" spans="1:14" hidden="1">
      <c r="B19" s="99">
        <f t="shared" si="0"/>
        <v>0</v>
      </c>
      <c r="C19" s="239">
        <f>'Mobile-Detail Calcs'!N141</f>
        <v>0</v>
      </c>
      <c r="D19" s="421">
        <f>'Mobile-Detail Calcs'!C263</f>
        <v>0</v>
      </c>
      <c r="E19" s="421">
        <f>'Mobile-Detail Calcs'!D263</f>
        <v>0</v>
      </c>
      <c r="F19" s="240">
        <f t="shared" si="1"/>
        <v>0</v>
      </c>
      <c r="I19" s="424">
        <f>'Mobile-Detail Calcs'!N89</f>
        <v>0</v>
      </c>
      <c r="J19" s="425">
        <f>'Mobile-Detail Calcs'!N115</f>
        <v>0</v>
      </c>
      <c r="K19" s="240">
        <f>'Mobile-Detail Calcs'!N141</f>
        <v>0</v>
      </c>
    </row>
    <row r="20" spans="1:14" hidden="1">
      <c r="B20" s="99">
        <f t="shared" si="0"/>
        <v>0</v>
      </c>
      <c r="C20" s="239">
        <f>'Mobile-Detail Calcs'!N142</f>
        <v>0</v>
      </c>
      <c r="D20" s="421">
        <f>'Mobile-Detail Calcs'!C264</f>
        <v>0</v>
      </c>
      <c r="E20" s="421">
        <f>'Mobile-Detail Calcs'!D264</f>
        <v>0</v>
      </c>
      <c r="F20" s="240">
        <f t="shared" si="1"/>
        <v>0</v>
      </c>
      <c r="I20" s="424">
        <f>'Mobile-Detail Calcs'!N90</f>
        <v>0</v>
      </c>
      <c r="J20" s="425">
        <f>'Mobile-Detail Calcs'!N116</f>
        <v>0</v>
      </c>
      <c r="K20" s="240">
        <f>'Mobile-Detail Calcs'!N142</f>
        <v>0</v>
      </c>
    </row>
    <row r="21" spans="1:14" hidden="1">
      <c r="B21" s="99">
        <f t="shared" si="0"/>
        <v>0</v>
      </c>
      <c r="C21" s="239">
        <f>'Mobile-Detail Calcs'!N143</f>
        <v>0</v>
      </c>
      <c r="D21" s="421">
        <f>'Mobile-Detail Calcs'!C265</f>
        <v>0</v>
      </c>
      <c r="E21" s="421">
        <f>'Mobile-Detail Calcs'!D265</f>
        <v>0</v>
      </c>
      <c r="F21" s="240">
        <f t="shared" si="1"/>
        <v>0</v>
      </c>
      <c r="I21" s="424">
        <f>'Mobile-Detail Calcs'!N91</f>
        <v>0</v>
      </c>
      <c r="J21" s="425">
        <f>'Mobile-Detail Calcs'!N117</f>
        <v>0</v>
      </c>
      <c r="K21" s="240">
        <f>'Mobile-Detail Calcs'!N143</f>
        <v>0</v>
      </c>
    </row>
    <row r="22" spans="1:14" hidden="1">
      <c r="B22" s="99">
        <f t="shared" si="0"/>
        <v>0</v>
      </c>
      <c r="C22" s="239">
        <f>'Mobile-Detail Calcs'!N144</f>
        <v>0</v>
      </c>
      <c r="D22" s="421">
        <f>'Mobile-Detail Calcs'!C266</f>
        <v>0</v>
      </c>
      <c r="E22" s="421">
        <f>'Mobile-Detail Calcs'!D266</f>
        <v>0</v>
      </c>
      <c r="F22" s="240">
        <f t="shared" si="1"/>
        <v>0</v>
      </c>
      <c r="I22" s="424">
        <f>'Mobile-Detail Calcs'!N92</f>
        <v>0</v>
      </c>
      <c r="J22" s="425">
        <f>'Mobile-Detail Calcs'!N118</f>
        <v>0</v>
      </c>
      <c r="K22" s="240">
        <f>'Mobile-Detail Calcs'!N144</f>
        <v>0</v>
      </c>
    </row>
    <row r="23" spans="1:14" hidden="1">
      <c r="B23" s="99">
        <f t="shared" si="0"/>
        <v>0</v>
      </c>
      <c r="C23" s="239">
        <f>'Mobile-Detail Calcs'!N145</f>
        <v>0</v>
      </c>
      <c r="D23" s="421">
        <f>'Mobile-Detail Calcs'!C267</f>
        <v>0</v>
      </c>
      <c r="E23" s="421">
        <f>'Mobile-Detail Calcs'!D267</f>
        <v>0</v>
      </c>
      <c r="F23" s="240">
        <f t="shared" si="1"/>
        <v>0</v>
      </c>
      <c r="I23" s="424">
        <f>'Mobile-Detail Calcs'!N93</f>
        <v>0</v>
      </c>
      <c r="J23" s="425">
        <f>'Mobile-Detail Calcs'!N119</f>
        <v>0</v>
      </c>
      <c r="K23" s="240">
        <f>'Mobile-Detail Calcs'!N145</f>
        <v>0</v>
      </c>
    </row>
    <row r="24" spans="1:14" hidden="1">
      <c r="B24" s="99">
        <f t="shared" si="0"/>
        <v>0</v>
      </c>
      <c r="C24" s="239">
        <f>'Mobile-Detail Calcs'!N146</f>
        <v>0</v>
      </c>
      <c r="D24" s="421">
        <f>'Mobile-Detail Calcs'!C268</f>
        <v>0</v>
      </c>
      <c r="E24" s="421">
        <f>'Mobile-Detail Calcs'!D268</f>
        <v>0</v>
      </c>
      <c r="F24" s="240">
        <f t="shared" si="1"/>
        <v>0</v>
      </c>
      <c r="I24" s="424">
        <f>'Mobile-Detail Calcs'!N94</f>
        <v>0</v>
      </c>
      <c r="J24" s="425">
        <f>'Mobile-Detail Calcs'!N120</f>
        <v>0</v>
      </c>
      <c r="K24" s="240">
        <f>'Mobile-Detail Calcs'!N146</f>
        <v>0</v>
      </c>
    </row>
    <row r="25" spans="1:14" hidden="1">
      <c r="B25" s="99">
        <f t="shared" si="0"/>
        <v>0</v>
      </c>
      <c r="C25" s="239">
        <f>'Mobile-Detail Calcs'!N147</f>
        <v>0</v>
      </c>
      <c r="D25" s="421">
        <f>'Mobile-Detail Calcs'!C269</f>
        <v>0</v>
      </c>
      <c r="E25" s="421">
        <f>'Mobile-Detail Calcs'!D269</f>
        <v>0</v>
      </c>
      <c r="F25" s="240">
        <f t="shared" si="1"/>
        <v>0</v>
      </c>
      <c r="I25" s="424">
        <f>'Mobile-Detail Calcs'!N95</f>
        <v>0</v>
      </c>
      <c r="J25" s="425">
        <f>'Mobile-Detail Calcs'!N121</f>
        <v>0</v>
      </c>
      <c r="K25" s="240">
        <f>'Mobile-Detail Calcs'!N147</f>
        <v>0</v>
      </c>
    </row>
    <row r="26" spans="1:14" hidden="1">
      <c r="B26" s="99">
        <f t="shared" si="0"/>
        <v>0</v>
      </c>
      <c r="C26" s="239">
        <f>'Mobile-Detail Calcs'!N148</f>
        <v>0</v>
      </c>
      <c r="D26" s="421">
        <f>'Mobile-Detail Calcs'!C270</f>
        <v>0</v>
      </c>
      <c r="E26" s="421">
        <f>'Mobile-Detail Calcs'!D270</f>
        <v>0</v>
      </c>
      <c r="F26" s="240">
        <f t="shared" si="1"/>
        <v>0</v>
      </c>
      <c r="I26" s="424">
        <f>'Mobile-Detail Calcs'!N96</f>
        <v>0</v>
      </c>
      <c r="J26" s="425">
        <f>'Mobile-Detail Calcs'!N122</f>
        <v>0</v>
      </c>
      <c r="K26" s="240">
        <f>'Mobile-Detail Calcs'!N148</f>
        <v>0</v>
      </c>
    </row>
    <row r="27" spans="1:14">
      <c r="B27" s="860" t="s">
        <v>468</v>
      </c>
      <c r="C27" s="790">
        <f>SUM(C7:C26)</f>
        <v>0</v>
      </c>
      <c r="D27" s="790">
        <f>SUM(D7:D26)</f>
        <v>0</v>
      </c>
      <c r="E27" s="790">
        <f>SUM(E7:E26)</f>
        <v>0</v>
      </c>
      <c r="F27" s="889">
        <f>SUM(C27:E27)</f>
        <v>0</v>
      </c>
      <c r="I27" s="426">
        <f>SUM(I7:I26)</f>
        <v>0</v>
      </c>
      <c r="J27" s="427">
        <f>SUM(J7:J26)</f>
        <v>0</v>
      </c>
      <c r="K27" s="890">
        <f>SUM(K7:K26)</f>
        <v>0</v>
      </c>
    </row>
    <row r="30" spans="1:14" ht="18.5">
      <c r="A30" s="283" t="s">
        <v>469</v>
      </c>
    </row>
    <row r="31" spans="1:14" ht="15" customHeight="1">
      <c r="A31" s="283"/>
    </row>
    <row r="32" spans="1:14" ht="18.5">
      <c r="A32" s="283"/>
      <c r="B32" s="1080" t="s">
        <v>470</v>
      </c>
      <c r="C32" s="1081"/>
      <c r="D32" s="1081"/>
      <c r="E32" s="1081"/>
      <c r="F32" s="1081"/>
      <c r="G32" s="1081"/>
      <c r="H32" s="1081"/>
      <c r="I32" s="1081"/>
      <c r="J32" s="1081"/>
      <c r="K32" s="1081"/>
      <c r="L32" s="1081"/>
      <c r="M32" s="1081"/>
      <c r="N32" s="1082"/>
    </row>
    <row r="33" spans="1:16" ht="29">
      <c r="B33" s="860"/>
      <c r="C33" s="122" t="s">
        <v>175</v>
      </c>
      <c r="D33" s="122" t="s">
        <v>172</v>
      </c>
      <c r="E33" s="122" t="s">
        <v>377</v>
      </c>
      <c r="F33" s="122" t="s">
        <v>378</v>
      </c>
      <c r="G33" s="122" t="s">
        <v>408</v>
      </c>
      <c r="H33" s="122" t="s">
        <v>380</v>
      </c>
      <c r="I33" s="122" t="s">
        <v>383</v>
      </c>
      <c r="J33" s="122" t="s">
        <v>174</v>
      </c>
      <c r="K33" s="122" t="s">
        <v>391</v>
      </c>
      <c r="L33" s="122" t="s">
        <v>180</v>
      </c>
      <c r="M33" s="122" t="s">
        <v>389</v>
      </c>
      <c r="N33" s="868" t="s">
        <v>263</v>
      </c>
      <c r="O33" s="180"/>
      <c r="P33" s="180"/>
    </row>
    <row r="34" spans="1:16">
      <c r="A34" s="307" t="s">
        <v>101</v>
      </c>
      <c r="B34" s="99" t="str">
        <f>'Background Controls'!I5</f>
        <v>Residential</v>
      </c>
      <c r="C34" s="421">
        <f>'Mobile-Detail Calcs'!C48</f>
        <v>0</v>
      </c>
      <c r="D34" s="421">
        <f>'Mobile-Detail Calcs'!D48</f>
        <v>0</v>
      </c>
      <c r="E34" s="421">
        <f>'Mobile-Detail Calcs'!E48</f>
        <v>0</v>
      </c>
      <c r="F34" s="421">
        <f>'Mobile-Detail Calcs'!F48</f>
        <v>0</v>
      </c>
      <c r="G34" s="421">
        <f>'Mobile-Detail Calcs'!G48</f>
        <v>0</v>
      </c>
      <c r="H34" s="421">
        <f>'Mobile-Detail Calcs'!H48</f>
        <v>0</v>
      </c>
      <c r="I34" s="421">
        <f>'Mobile-Detail Calcs'!I48</f>
        <v>0</v>
      </c>
      <c r="J34" s="421">
        <f>'Mobile-Detail Calcs'!J48</f>
        <v>0</v>
      </c>
      <c r="K34" s="421">
        <f>'Mobile-Detail Calcs'!K48</f>
        <v>0</v>
      </c>
      <c r="L34" s="421">
        <f>'Mobile-Detail Calcs'!L48</f>
        <v>0</v>
      </c>
      <c r="M34" s="421">
        <f>'Mobile-Detail Calcs'!M48</f>
        <v>0</v>
      </c>
      <c r="N34" s="422">
        <f>SUM(C34:M34)</f>
        <v>0</v>
      </c>
    </row>
    <row r="35" spans="1:16">
      <c r="B35" s="99" t="str">
        <f>'Background Controls'!I6</f>
        <v>Commercial/Institutional</v>
      </c>
      <c r="C35" s="421">
        <f>'Mobile-Detail Calcs'!C49</f>
        <v>0</v>
      </c>
      <c r="D35" s="421">
        <f>'Mobile-Detail Calcs'!D49</f>
        <v>0</v>
      </c>
      <c r="E35" s="421">
        <f>'Mobile-Detail Calcs'!E49</f>
        <v>0</v>
      </c>
      <c r="F35" s="421">
        <f>'Mobile-Detail Calcs'!F49</f>
        <v>0</v>
      </c>
      <c r="G35" s="421">
        <f>'Mobile-Detail Calcs'!G49</f>
        <v>0</v>
      </c>
      <c r="H35" s="421">
        <f>'Mobile-Detail Calcs'!H49</f>
        <v>0</v>
      </c>
      <c r="I35" s="421">
        <f>'Mobile-Detail Calcs'!I49</f>
        <v>0</v>
      </c>
      <c r="J35" s="421">
        <f>'Mobile-Detail Calcs'!J49</f>
        <v>0</v>
      </c>
      <c r="K35" s="421">
        <f>'Mobile-Detail Calcs'!K49</f>
        <v>0</v>
      </c>
      <c r="L35" s="421">
        <f>'Mobile-Detail Calcs'!L49</f>
        <v>0</v>
      </c>
      <c r="M35" s="421">
        <f>'Mobile-Detail Calcs'!M49</f>
        <v>0</v>
      </c>
      <c r="N35" s="422">
        <f t="shared" ref="N35:N53" si="2">SUM(C35:M35)</f>
        <v>0</v>
      </c>
    </row>
    <row r="36" spans="1:16">
      <c r="B36" s="99" t="str">
        <f>'Background Controls'!I7</f>
        <v>Industrial</v>
      </c>
      <c r="C36" s="421">
        <f>'Mobile-Detail Calcs'!C50</f>
        <v>0</v>
      </c>
      <c r="D36" s="421">
        <f>'Mobile-Detail Calcs'!D50</f>
        <v>0</v>
      </c>
      <c r="E36" s="421">
        <f>'Mobile-Detail Calcs'!E50</f>
        <v>0</v>
      </c>
      <c r="F36" s="421">
        <f>'Mobile-Detail Calcs'!F50</f>
        <v>0</v>
      </c>
      <c r="G36" s="421">
        <f>'Mobile-Detail Calcs'!G50</f>
        <v>0</v>
      </c>
      <c r="H36" s="421">
        <f>'Mobile-Detail Calcs'!H50</f>
        <v>0</v>
      </c>
      <c r="I36" s="421">
        <f>'Mobile-Detail Calcs'!I50</f>
        <v>0</v>
      </c>
      <c r="J36" s="421">
        <f>'Mobile-Detail Calcs'!J50</f>
        <v>0</v>
      </c>
      <c r="K36" s="421">
        <f>'Mobile-Detail Calcs'!K50</f>
        <v>0</v>
      </c>
      <c r="L36" s="421">
        <f>'Mobile-Detail Calcs'!L50</f>
        <v>0</v>
      </c>
      <c r="M36" s="421">
        <f>'Mobile-Detail Calcs'!M50</f>
        <v>0</v>
      </c>
      <c r="N36" s="422">
        <f t="shared" si="2"/>
        <v>0</v>
      </c>
    </row>
    <row r="37" spans="1:16">
      <c r="B37" s="99" t="str">
        <f>'Background Controls'!I8</f>
        <v>Energy Generation</v>
      </c>
      <c r="C37" s="421">
        <f>'Mobile-Detail Calcs'!C51</f>
        <v>0</v>
      </c>
      <c r="D37" s="421">
        <f>'Mobile-Detail Calcs'!D51</f>
        <v>0</v>
      </c>
      <c r="E37" s="421">
        <f>'Mobile-Detail Calcs'!E51</f>
        <v>0</v>
      </c>
      <c r="F37" s="421">
        <f>'Mobile-Detail Calcs'!F51</f>
        <v>0</v>
      </c>
      <c r="G37" s="421">
        <f>'Mobile-Detail Calcs'!G51</f>
        <v>0</v>
      </c>
      <c r="H37" s="421">
        <f>'Mobile-Detail Calcs'!H51</f>
        <v>0</v>
      </c>
      <c r="I37" s="421">
        <f>'Mobile-Detail Calcs'!I51</f>
        <v>0</v>
      </c>
      <c r="J37" s="421">
        <f>'Mobile-Detail Calcs'!J51</f>
        <v>0</v>
      </c>
      <c r="K37" s="421">
        <f>'Mobile-Detail Calcs'!K51</f>
        <v>0</v>
      </c>
      <c r="L37" s="421">
        <f>'Mobile-Detail Calcs'!L51</f>
        <v>0</v>
      </c>
      <c r="M37" s="421">
        <f>'Mobile-Detail Calcs'!M51</f>
        <v>0</v>
      </c>
      <c r="N37" s="422">
        <f t="shared" si="2"/>
        <v>0</v>
      </c>
    </row>
    <row r="38" spans="1:16" hidden="1">
      <c r="B38" s="99">
        <f>'Background Controls'!I9</f>
        <v>0</v>
      </c>
      <c r="C38" s="421">
        <f>'Mobile-Detail Calcs'!C52</f>
        <v>0</v>
      </c>
      <c r="D38" s="421">
        <f>'Mobile-Detail Calcs'!D52</f>
        <v>0</v>
      </c>
      <c r="E38" s="421">
        <f>'Mobile-Detail Calcs'!E52</f>
        <v>0</v>
      </c>
      <c r="F38" s="421">
        <f>'Mobile-Detail Calcs'!F52</f>
        <v>0</v>
      </c>
      <c r="G38" s="421">
        <f>'Mobile-Detail Calcs'!G52</f>
        <v>0</v>
      </c>
      <c r="H38" s="421">
        <f>'Mobile-Detail Calcs'!H52</f>
        <v>0</v>
      </c>
      <c r="I38" s="421">
        <f>'Mobile-Detail Calcs'!I52</f>
        <v>0</v>
      </c>
      <c r="J38" s="421">
        <f>'Mobile-Detail Calcs'!J52</f>
        <v>0</v>
      </c>
      <c r="K38" s="421">
        <f>'Mobile-Detail Calcs'!K52</f>
        <v>0</v>
      </c>
      <c r="L38" s="421">
        <f>'Mobile-Detail Calcs'!L52</f>
        <v>0</v>
      </c>
      <c r="M38" s="421">
        <f>'Mobile-Detail Calcs'!M52</f>
        <v>0</v>
      </c>
      <c r="N38" s="422">
        <f t="shared" si="2"/>
        <v>0</v>
      </c>
    </row>
    <row r="39" spans="1:16" hidden="1">
      <c r="B39" s="99">
        <f>'Background Controls'!I10</f>
        <v>0</v>
      </c>
      <c r="C39" s="421">
        <f>'Mobile-Detail Calcs'!C53</f>
        <v>0</v>
      </c>
      <c r="D39" s="421">
        <f>'Mobile-Detail Calcs'!D53</f>
        <v>0</v>
      </c>
      <c r="E39" s="421">
        <f>'Mobile-Detail Calcs'!E53</f>
        <v>0</v>
      </c>
      <c r="F39" s="421">
        <f>'Mobile-Detail Calcs'!F53</f>
        <v>0</v>
      </c>
      <c r="G39" s="421">
        <f>'Mobile-Detail Calcs'!G53</f>
        <v>0</v>
      </c>
      <c r="H39" s="421">
        <f>'Mobile-Detail Calcs'!H53</f>
        <v>0</v>
      </c>
      <c r="I39" s="421">
        <f>'Mobile-Detail Calcs'!I53</f>
        <v>0</v>
      </c>
      <c r="J39" s="421">
        <f>'Mobile-Detail Calcs'!J53</f>
        <v>0</v>
      </c>
      <c r="K39" s="421">
        <f>'Mobile-Detail Calcs'!K53</f>
        <v>0</v>
      </c>
      <c r="L39" s="421">
        <f>'Mobile-Detail Calcs'!L53</f>
        <v>0</v>
      </c>
      <c r="M39" s="421">
        <f>'Mobile-Detail Calcs'!M53</f>
        <v>0</v>
      </c>
      <c r="N39" s="422">
        <f t="shared" si="2"/>
        <v>0</v>
      </c>
    </row>
    <row r="40" spans="1:16" hidden="1">
      <c r="B40" s="99">
        <f>'Background Controls'!I11</f>
        <v>0</v>
      </c>
      <c r="C40" s="421">
        <f>'Mobile-Detail Calcs'!C54</f>
        <v>0</v>
      </c>
      <c r="D40" s="421">
        <f>'Mobile-Detail Calcs'!D54</f>
        <v>0</v>
      </c>
      <c r="E40" s="421">
        <f>'Mobile-Detail Calcs'!E54</f>
        <v>0</v>
      </c>
      <c r="F40" s="421">
        <f>'Mobile-Detail Calcs'!F54</f>
        <v>0</v>
      </c>
      <c r="G40" s="421">
        <f>'Mobile-Detail Calcs'!G54</f>
        <v>0</v>
      </c>
      <c r="H40" s="421">
        <f>'Mobile-Detail Calcs'!H54</f>
        <v>0</v>
      </c>
      <c r="I40" s="421">
        <f>'Mobile-Detail Calcs'!I54</f>
        <v>0</v>
      </c>
      <c r="J40" s="421">
        <f>'Mobile-Detail Calcs'!J54</f>
        <v>0</v>
      </c>
      <c r="K40" s="421">
        <f>'Mobile-Detail Calcs'!K54</f>
        <v>0</v>
      </c>
      <c r="L40" s="421">
        <f>'Mobile-Detail Calcs'!L54</f>
        <v>0</v>
      </c>
      <c r="M40" s="421">
        <f>'Mobile-Detail Calcs'!M54</f>
        <v>0</v>
      </c>
      <c r="N40" s="422">
        <f t="shared" si="2"/>
        <v>0</v>
      </c>
    </row>
    <row r="41" spans="1:16" hidden="1">
      <c r="B41" s="99">
        <f>'Background Controls'!I12</f>
        <v>0</v>
      </c>
      <c r="C41" s="421">
        <f>'Mobile-Detail Calcs'!C55</f>
        <v>0</v>
      </c>
      <c r="D41" s="421">
        <f>'Mobile-Detail Calcs'!D55</f>
        <v>0</v>
      </c>
      <c r="E41" s="421">
        <f>'Mobile-Detail Calcs'!E55</f>
        <v>0</v>
      </c>
      <c r="F41" s="421">
        <f>'Mobile-Detail Calcs'!F55</f>
        <v>0</v>
      </c>
      <c r="G41" s="421">
        <f>'Mobile-Detail Calcs'!G55</f>
        <v>0</v>
      </c>
      <c r="H41" s="421">
        <f>'Mobile-Detail Calcs'!H55</f>
        <v>0</v>
      </c>
      <c r="I41" s="421">
        <f>'Mobile-Detail Calcs'!I55</f>
        <v>0</v>
      </c>
      <c r="J41" s="421">
        <f>'Mobile-Detail Calcs'!J55</f>
        <v>0</v>
      </c>
      <c r="K41" s="421">
        <f>'Mobile-Detail Calcs'!K55</f>
        <v>0</v>
      </c>
      <c r="L41" s="421">
        <f>'Mobile-Detail Calcs'!L55</f>
        <v>0</v>
      </c>
      <c r="M41" s="421">
        <f>'Mobile-Detail Calcs'!M55</f>
        <v>0</v>
      </c>
      <c r="N41" s="422">
        <f t="shared" si="2"/>
        <v>0</v>
      </c>
    </row>
    <row r="42" spans="1:16" hidden="1">
      <c r="B42" s="99">
        <f>'Background Controls'!I13</f>
        <v>0</v>
      </c>
      <c r="C42" s="421">
        <f>'Mobile-Detail Calcs'!C56</f>
        <v>0</v>
      </c>
      <c r="D42" s="421">
        <f>'Mobile-Detail Calcs'!D56</f>
        <v>0</v>
      </c>
      <c r="E42" s="421">
        <f>'Mobile-Detail Calcs'!E56</f>
        <v>0</v>
      </c>
      <c r="F42" s="421">
        <f>'Mobile-Detail Calcs'!F56</f>
        <v>0</v>
      </c>
      <c r="G42" s="421">
        <f>'Mobile-Detail Calcs'!G56</f>
        <v>0</v>
      </c>
      <c r="H42" s="421">
        <f>'Mobile-Detail Calcs'!H56</f>
        <v>0</v>
      </c>
      <c r="I42" s="421">
        <f>'Mobile-Detail Calcs'!I56</f>
        <v>0</v>
      </c>
      <c r="J42" s="421">
        <f>'Mobile-Detail Calcs'!J56</f>
        <v>0</v>
      </c>
      <c r="K42" s="421">
        <f>'Mobile-Detail Calcs'!K56</f>
        <v>0</v>
      </c>
      <c r="L42" s="421">
        <f>'Mobile-Detail Calcs'!L56</f>
        <v>0</v>
      </c>
      <c r="M42" s="421">
        <f>'Mobile-Detail Calcs'!M56</f>
        <v>0</v>
      </c>
      <c r="N42" s="422">
        <f t="shared" si="2"/>
        <v>0</v>
      </c>
    </row>
    <row r="43" spans="1:16" hidden="1">
      <c r="B43" s="99">
        <f>'Background Controls'!I14</f>
        <v>0</v>
      </c>
      <c r="C43" s="421">
        <f>'Mobile-Detail Calcs'!C57</f>
        <v>0</v>
      </c>
      <c r="D43" s="421">
        <f>'Mobile-Detail Calcs'!D57</f>
        <v>0</v>
      </c>
      <c r="E43" s="421">
        <f>'Mobile-Detail Calcs'!E57</f>
        <v>0</v>
      </c>
      <c r="F43" s="421">
        <f>'Mobile-Detail Calcs'!F57</f>
        <v>0</v>
      </c>
      <c r="G43" s="421">
        <f>'Mobile-Detail Calcs'!G57</f>
        <v>0</v>
      </c>
      <c r="H43" s="421">
        <f>'Mobile-Detail Calcs'!H57</f>
        <v>0</v>
      </c>
      <c r="I43" s="421">
        <f>'Mobile-Detail Calcs'!I57</f>
        <v>0</v>
      </c>
      <c r="J43" s="421">
        <f>'Mobile-Detail Calcs'!J57</f>
        <v>0</v>
      </c>
      <c r="K43" s="421">
        <f>'Mobile-Detail Calcs'!K57</f>
        <v>0</v>
      </c>
      <c r="L43" s="421">
        <f>'Mobile-Detail Calcs'!L57</f>
        <v>0</v>
      </c>
      <c r="M43" s="421">
        <f>'Mobile-Detail Calcs'!M57</f>
        <v>0</v>
      </c>
      <c r="N43" s="422">
        <f t="shared" si="2"/>
        <v>0</v>
      </c>
    </row>
    <row r="44" spans="1:16" hidden="1">
      <c r="B44" s="99">
        <f>'Background Controls'!I15</f>
        <v>0</v>
      </c>
      <c r="C44" s="421">
        <f>'Mobile-Detail Calcs'!C58</f>
        <v>0</v>
      </c>
      <c r="D44" s="421">
        <f>'Mobile-Detail Calcs'!D58</f>
        <v>0</v>
      </c>
      <c r="E44" s="421">
        <f>'Mobile-Detail Calcs'!E58</f>
        <v>0</v>
      </c>
      <c r="F44" s="421">
        <f>'Mobile-Detail Calcs'!F58</f>
        <v>0</v>
      </c>
      <c r="G44" s="421">
        <f>'Mobile-Detail Calcs'!G58</f>
        <v>0</v>
      </c>
      <c r="H44" s="421">
        <f>'Mobile-Detail Calcs'!H58</f>
        <v>0</v>
      </c>
      <c r="I44" s="421">
        <f>'Mobile-Detail Calcs'!I58</f>
        <v>0</v>
      </c>
      <c r="J44" s="421">
        <f>'Mobile-Detail Calcs'!J58</f>
        <v>0</v>
      </c>
      <c r="K44" s="421">
        <f>'Mobile-Detail Calcs'!K58</f>
        <v>0</v>
      </c>
      <c r="L44" s="421">
        <f>'Mobile-Detail Calcs'!L58</f>
        <v>0</v>
      </c>
      <c r="M44" s="421">
        <f>'Mobile-Detail Calcs'!M58</f>
        <v>0</v>
      </c>
      <c r="N44" s="422">
        <f t="shared" si="2"/>
        <v>0</v>
      </c>
    </row>
    <row r="45" spans="1:16" hidden="1">
      <c r="B45" s="99">
        <f>'Background Controls'!I16</f>
        <v>0</v>
      </c>
      <c r="C45" s="421">
        <f>'Mobile-Detail Calcs'!C59</f>
        <v>0</v>
      </c>
      <c r="D45" s="421">
        <f>'Mobile-Detail Calcs'!D59</f>
        <v>0</v>
      </c>
      <c r="E45" s="421">
        <f>'Mobile-Detail Calcs'!E59</f>
        <v>0</v>
      </c>
      <c r="F45" s="421">
        <f>'Mobile-Detail Calcs'!F59</f>
        <v>0</v>
      </c>
      <c r="G45" s="421">
        <f>'Mobile-Detail Calcs'!G59</f>
        <v>0</v>
      </c>
      <c r="H45" s="421">
        <f>'Mobile-Detail Calcs'!H59</f>
        <v>0</v>
      </c>
      <c r="I45" s="421">
        <f>'Mobile-Detail Calcs'!I59</f>
        <v>0</v>
      </c>
      <c r="J45" s="421">
        <f>'Mobile-Detail Calcs'!J59</f>
        <v>0</v>
      </c>
      <c r="K45" s="421">
        <f>'Mobile-Detail Calcs'!K59</f>
        <v>0</v>
      </c>
      <c r="L45" s="421">
        <f>'Mobile-Detail Calcs'!L59</f>
        <v>0</v>
      </c>
      <c r="M45" s="421">
        <f>'Mobile-Detail Calcs'!M59</f>
        <v>0</v>
      </c>
      <c r="N45" s="422">
        <f t="shared" si="2"/>
        <v>0</v>
      </c>
    </row>
    <row r="46" spans="1:16" hidden="1">
      <c r="B46" s="99">
        <f>'Background Controls'!I17</f>
        <v>0</v>
      </c>
      <c r="C46" s="421">
        <f>'Mobile-Detail Calcs'!C60</f>
        <v>0</v>
      </c>
      <c r="D46" s="421">
        <f>'Mobile-Detail Calcs'!D60</f>
        <v>0</v>
      </c>
      <c r="E46" s="421">
        <f>'Mobile-Detail Calcs'!E60</f>
        <v>0</v>
      </c>
      <c r="F46" s="421">
        <f>'Mobile-Detail Calcs'!F60</f>
        <v>0</v>
      </c>
      <c r="G46" s="421">
        <f>'Mobile-Detail Calcs'!G60</f>
        <v>0</v>
      </c>
      <c r="H46" s="421">
        <f>'Mobile-Detail Calcs'!H60</f>
        <v>0</v>
      </c>
      <c r="I46" s="421">
        <f>'Mobile-Detail Calcs'!I60</f>
        <v>0</v>
      </c>
      <c r="J46" s="421">
        <f>'Mobile-Detail Calcs'!J60</f>
        <v>0</v>
      </c>
      <c r="K46" s="421">
        <f>'Mobile-Detail Calcs'!K60</f>
        <v>0</v>
      </c>
      <c r="L46" s="421">
        <f>'Mobile-Detail Calcs'!L60</f>
        <v>0</v>
      </c>
      <c r="M46" s="421">
        <f>'Mobile-Detail Calcs'!M60</f>
        <v>0</v>
      </c>
      <c r="N46" s="422">
        <f t="shared" si="2"/>
        <v>0</v>
      </c>
    </row>
    <row r="47" spans="1:16" hidden="1">
      <c r="B47" s="99">
        <f>'Background Controls'!I18</f>
        <v>0</v>
      </c>
      <c r="C47" s="421">
        <f>'Mobile-Detail Calcs'!C61</f>
        <v>0</v>
      </c>
      <c r="D47" s="421">
        <f>'Mobile-Detail Calcs'!D61</f>
        <v>0</v>
      </c>
      <c r="E47" s="421">
        <f>'Mobile-Detail Calcs'!E61</f>
        <v>0</v>
      </c>
      <c r="F47" s="421">
        <f>'Mobile-Detail Calcs'!F61</f>
        <v>0</v>
      </c>
      <c r="G47" s="421">
        <f>'Mobile-Detail Calcs'!G61</f>
        <v>0</v>
      </c>
      <c r="H47" s="421">
        <f>'Mobile-Detail Calcs'!H61</f>
        <v>0</v>
      </c>
      <c r="I47" s="421">
        <f>'Mobile-Detail Calcs'!I61</f>
        <v>0</v>
      </c>
      <c r="J47" s="421">
        <f>'Mobile-Detail Calcs'!J61</f>
        <v>0</v>
      </c>
      <c r="K47" s="421">
        <f>'Mobile-Detail Calcs'!K61</f>
        <v>0</v>
      </c>
      <c r="L47" s="421">
        <f>'Mobile-Detail Calcs'!L61</f>
        <v>0</v>
      </c>
      <c r="M47" s="421">
        <f>'Mobile-Detail Calcs'!M61</f>
        <v>0</v>
      </c>
      <c r="N47" s="422">
        <f t="shared" si="2"/>
        <v>0</v>
      </c>
    </row>
    <row r="48" spans="1:16" hidden="1">
      <c r="B48" s="99">
        <f>'Background Controls'!I19</f>
        <v>0</v>
      </c>
      <c r="C48" s="421">
        <f>'Mobile-Detail Calcs'!C62</f>
        <v>0</v>
      </c>
      <c r="D48" s="421">
        <f>'Mobile-Detail Calcs'!D62</f>
        <v>0</v>
      </c>
      <c r="E48" s="421">
        <f>'Mobile-Detail Calcs'!E62</f>
        <v>0</v>
      </c>
      <c r="F48" s="421">
        <f>'Mobile-Detail Calcs'!F62</f>
        <v>0</v>
      </c>
      <c r="G48" s="421">
        <f>'Mobile-Detail Calcs'!G62</f>
        <v>0</v>
      </c>
      <c r="H48" s="421">
        <f>'Mobile-Detail Calcs'!H62</f>
        <v>0</v>
      </c>
      <c r="I48" s="421">
        <f>'Mobile-Detail Calcs'!I62</f>
        <v>0</v>
      </c>
      <c r="J48" s="421">
        <f>'Mobile-Detail Calcs'!J62</f>
        <v>0</v>
      </c>
      <c r="K48" s="421">
        <f>'Mobile-Detail Calcs'!K62</f>
        <v>0</v>
      </c>
      <c r="L48" s="421">
        <f>'Mobile-Detail Calcs'!L62</f>
        <v>0</v>
      </c>
      <c r="M48" s="421">
        <f>'Mobile-Detail Calcs'!M62</f>
        <v>0</v>
      </c>
      <c r="N48" s="422">
        <f t="shared" si="2"/>
        <v>0</v>
      </c>
    </row>
    <row r="49" spans="2:19" hidden="1">
      <c r="B49" s="99">
        <f>'Background Controls'!I20</f>
        <v>0</v>
      </c>
      <c r="C49" s="421">
        <f>'Mobile-Detail Calcs'!C63</f>
        <v>0</v>
      </c>
      <c r="D49" s="421">
        <f>'Mobile-Detail Calcs'!D63</f>
        <v>0</v>
      </c>
      <c r="E49" s="421">
        <f>'Mobile-Detail Calcs'!E63</f>
        <v>0</v>
      </c>
      <c r="F49" s="421">
        <f>'Mobile-Detail Calcs'!F63</f>
        <v>0</v>
      </c>
      <c r="G49" s="421">
        <f>'Mobile-Detail Calcs'!G63</f>
        <v>0</v>
      </c>
      <c r="H49" s="421">
        <f>'Mobile-Detail Calcs'!H63</f>
        <v>0</v>
      </c>
      <c r="I49" s="421">
        <f>'Mobile-Detail Calcs'!I63</f>
        <v>0</v>
      </c>
      <c r="J49" s="421">
        <f>'Mobile-Detail Calcs'!J63</f>
        <v>0</v>
      </c>
      <c r="K49" s="421">
        <f>'Mobile-Detail Calcs'!K63</f>
        <v>0</v>
      </c>
      <c r="L49" s="421">
        <f>'Mobile-Detail Calcs'!L63</f>
        <v>0</v>
      </c>
      <c r="M49" s="421">
        <f>'Mobile-Detail Calcs'!M63</f>
        <v>0</v>
      </c>
      <c r="N49" s="422">
        <f t="shared" si="2"/>
        <v>0</v>
      </c>
    </row>
    <row r="50" spans="2:19" hidden="1">
      <c r="B50" s="99">
        <f>'Background Controls'!I21</f>
        <v>0</v>
      </c>
      <c r="C50" s="421">
        <f>'Mobile-Detail Calcs'!C64</f>
        <v>0</v>
      </c>
      <c r="D50" s="421">
        <f>'Mobile-Detail Calcs'!D64</f>
        <v>0</v>
      </c>
      <c r="E50" s="421">
        <f>'Mobile-Detail Calcs'!E64</f>
        <v>0</v>
      </c>
      <c r="F50" s="421">
        <f>'Mobile-Detail Calcs'!F64</f>
        <v>0</v>
      </c>
      <c r="G50" s="421">
        <f>'Mobile-Detail Calcs'!G64</f>
        <v>0</v>
      </c>
      <c r="H50" s="421">
        <f>'Mobile-Detail Calcs'!H64</f>
        <v>0</v>
      </c>
      <c r="I50" s="421">
        <f>'Mobile-Detail Calcs'!I64</f>
        <v>0</v>
      </c>
      <c r="J50" s="421">
        <f>'Mobile-Detail Calcs'!J64</f>
        <v>0</v>
      </c>
      <c r="K50" s="421">
        <f>'Mobile-Detail Calcs'!K64</f>
        <v>0</v>
      </c>
      <c r="L50" s="421">
        <f>'Mobile-Detail Calcs'!L64</f>
        <v>0</v>
      </c>
      <c r="M50" s="421">
        <f>'Mobile-Detail Calcs'!M64</f>
        <v>0</v>
      </c>
      <c r="N50" s="422">
        <f t="shared" si="2"/>
        <v>0</v>
      </c>
    </row>
    <row r="51" spans="2:19" hidden="1">
      <c r="B51" s="99">
        <f>'Background Controls'!I22</f>
        <v>0</v>
      </c>
      <c r="C51" s="421">
        <f>'Mobile-Detail Calcs'!C65</f>
        <v>0</v>
      </c>
      <c r="D51" s="421">
        <f>'Mobile-Detail Calcs'!D65</f>
        <v>0</v>
      </c>
      <c r="E51" s="421">
        <f>'Mobile-Detail Calcs'!E65</f>
        <v>0</v>
      </c>
      <c r="F51" s="421">
        <f>'Mobile-Detail Calcs'!F65</f>
        <v>0</v>
      </c>
      <c r="G51" s="421">
        <f>'Mobile-Detail Calcs'!G65</f>
        <v>0</v>
      </c>
      <c r="H51" s="421">
        <f>'Mobile-Detail Calcs'!H65</f>
        <v>0</v>
      </c>
      <c r="I51" s="421">
        <f>'Mobile-Detail Calcs'!I65</f>
        <v>0</v>
      </c>
      <c r="J51" s="421">
        <f>'Mobile-Detail Calcs'!J65</f>
        <v>0</v>
      </c>
      <c r="K51" s="421">
        <f>'Mobile-Detail Calcs'!K65</f>
        <v>0</v>
      </c>
      <c r="L51" s="421">
        <f>'Mobile-Detail Calcs'!L65</f>
        <v>0</v>
      </c>
      <c r="M51" s="421">
        <f>'Mobile-Detail Calcs'!M65</f>
        <v>0</v>
      </c>
      <c r="N51" s="422">
        <f t="shared" si="2"/>
        <v>0</v>
      </c>
    </row>
    <row r="52" spans="2:19" hidden="1">
      <c r="B52" s="99">
        <f>'Background Controls'!I23</f>
        <v>0</v>
      </c>
      <c r="C52" s="421">
        <f>'Mobile-Detail Calcs'!C66</f>
        <v>0</v>
      </c>
      <c r="D52" s="421">
        <f>'Mobile-Detail Calcs'!D66</f>
        <v>0</v>
      </c>
      <c r="E52" s="421">
        <f>'Mobile-Detail Calcs'!E66</f>
        <v>0</v>
      </c>
      <c r="F52" s="421">
        <f>'Mobile-Detail Calcs'!F66</f>
        <v>0</v>
      </c>
      <c r="G52" s="421">
        <f>'Mobile-Detail Calcs'!G66</f>
        <v>0</v>
      </c>
      <c r="H52" s="421">
        <f>'Mobile-Detail Calcs'!H66</f>
        <v>0</v>
      </c>
      <c r="I52" s="421">
        <f>'Mobile-Detail Calcs'!I66</f>
        <v>0</v>
      </c>
      <c r="J52" s="421">
        <f>'Mobile-Detail Calcs'!J66</f>
        <v>0</v>
      </c>
      <c r="K52" s="421">
        <f>'Mobile-Detail Calcs'!K66</f>
        <v>0</v>
      </c>
      <c r="L52" s="421">
        <f>'Mobile-Detail Calcs'!L66</f>
        <v>0</v>
      </c>
      <c r="M52" s="421">
        <f>'Mobile-Detail Calcs'!M66</f>
        <v>0</v>
      </c>
      <c r="N52" s="422">
        <f t="shared" si="2"/>
        <v>0</v>
      </c>
    </row>
    <row r="53" spans="2:19" hidden="1">
      <c r="B53" s="99">
        <f>'Background Controls'!I24</f>
        <v>0</v>
      </c>
      <c r="C53" s="421">
        <f>'Mobile-Detail Calcs'!C67</f>
        <v>0</v>
      </c>
      <c r="D53" s="421">
        <f>'Mobile-Detail Calcs'!D67</f>
        <v>0</v>
      </c>
      <c r="E53" s="421">
        <f>'Mobile-Detail Calcs'!E67</f>
        <v>0</v>
      </c>
      <c r="F53" s="421">
        <f>'Mobile-Detail Calcs'!F67</f>
        <v>0</v>
      </c>
      <c r="G53" s="421">
        <f>'Mobile-Detail Calcs'!G67</f>
        <v>0</v>
      </c>
      <c r="H53" s="421">
        <f>'Mobile-Detail Calcs'!H67</f>
        <v>0</v>
      </c>
      <c r="I53" s="421">
        <f>'Mobile-Detail Calcs'!I67</f>
        <v>0</v>
      </c>
      <c r="J53" s="421">
        <f>'Mobile-Detail Calcs'!J67</f>
        <v>0</v>
      </c>
      <c r="K53" s="421">
        <f>'Mobile-Detail Calcs'!K67</f>
        <v>0</v>
      </c>
      <c r="L53" s="421">
        <f>'Mobile-Detail Calcs'!L67</f>
        <v>0</v>
      </c>
      <c r="M53" s="421">
        <f>'Mobile-Detail Calcs'!M67</f>
        <v>0</v>
      </c>
      <c r="N53" s="422">
        <f t="shared" si="2"/>
        <v>0</v>
      </c>
    </row>
    <row r="54" spans="2:19">
      <c r="B54" s="860" t="s">
        <v>253</v>
      </c>
      <c r="C54" s="423">
        <f>SUM(C34:C53)</f>
        <v>0</v>
      </c>
      <c r="D54" s="423">
        <f t="shared" ref="D54:M54" si="3">SUM(D34:D53)</f>
        <v>0</v>
      </c>
      <c r="E54" s="423">
        <f t="shared" si="3"/>
        <v>0</v>
      </c>
      <c r="F54" s="423">
        <f t="shared" si="3"/>
        <v>0</v>
      </c>
      <c r="G54" s="423">
        <f t="shared" si="3"/>
        <v>0</v>
      </c>
      <c r="H54" s="423">
        <f t="shared" si="3"/>
        <v>0</v>
      </c>
      <c r="I54" s="423">
        <f t="shared" si="3"/>
        <v>0</v>
      </c>
      <c r="J54" s="423">
        <f t="shared" si="3"/>
        <v>0</v>
      </c>
      <c r="K54" s="423">
        <f t="shared" si="3"/>
        <v>0</v>
      </c>
      <c r="L54" s="423">
        <f t="shared" si="3"/>
        <v>0</v>
      </c>
      <c r="M54" s="423">
        <f t="shared" si="3"/>
        <v>0</v>
      </c>
      <c r="N54" s="889">
        <f>SUM(N34:N53)</f>
        <v>0</v>
      </c>
    </row>
    <row r="57" spans="2:19">
      <c r="B57" s="56" t="s">
        <v>259</v>
      </c>
      <c r="C57" s="95"/>
      <c r="D57" s="95"/>
    </row>
    <row r="58" spans="2:19">
      <c r="R58" s="314" t="s">
        <v>260</v>
      </c>
      <c r="S58" s="109" t="b">
        <v>1</v>
      </c>
    </row>
    <row r="59" spans="2:19">
      <c r="R59" s="314" t="s">
        <v>261</v>
      </c>
      <c r="S59" s="109" t="b">
        <v>1</v>
      </c>
    </row>
    <row r="60" spans="2:19">
      <c r="R60" s="314" t="s">
        <v>262</v>
      </c>
      <c r="S60" s="109" t="b">
        <f>AND(S58:S59)</f>
        <v>1</v>
      </c>
    </row>
    <row r="61" spans="2:19">
      <c r="S61" s="381" t="str">
        <f>IF(S60=TRUE, R60, IF(S58=TRUE, R58, IF(S59=TRUE, R59,"both")))</f>
        <v>both</v>
      </c>
    </row>
    <row r="80" ht="15" thickBot="1"/>
    <row r="81" spans="1:17" ht="65.150000000000006" customHeight="1" thickBot="1">
      <c r="A81" s="1042" t="s">
        <v>1</v>
      </c>
      <c r="B81" s="1043"/>
      <c r="C81" s="1043"/>
      <c r="D81" s="1043"/>
      <c r="E81" s="1043"/>
      <c r="F81" s="1043"/>
      <c r="G81" s="1043"/>
      <c r="H81" s="1043"/>
      <c r="I81" s="1043"/>
      <c r="J81" s="1043"/>
      <c r="K81" s="1043"/>
      <c r="L81" s="1043"/>
      <c r="M81" s="1043"/>
      <c r="N81" s="1043"/>
      <c r="O81" s="1043"/>
      <c r="P81" s="1083"/>
      <c r="Q81" s="382"/>
    </row>
  </sheetData>
  <mergeCells count="4">
    <mergeCell ref="B5:F5"/>
    <mergeCell ref="I5:K5"/>
    <mergeCell ref="B32:N32"/>
    <mergeCell ref="A81:P8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Check Box 1">
              <controlPr defaultSize="0" autoFill="0" autoLine="0" autoPict="0" macro="[0]!Sheet13.ActivateDeptChart">
                <anchor moveWithCells="1">
                  <from>
                    <xdr:col>1</xdr:col>
                    <xdr:colOff>1536700</xdr:colOff>
                    <xdr:row>56</xdr:row>
                    <xdr:rowOff>120650</xdr:rowOff>
                  </from>
                  <to>
                    <xdr:col>2</xdr:col>
                    <xdr:colOff>165100</xdr:colOff>
                    <xdr:row>58</xdr:row>
                    <xdr:rowOff>76200</xdr:rowOff>
                  </to>
                </anchor>
              </controlPr>
            </control>
          </mc:Choice>
        </mc:AlternateContent>
        <mc:AlternateContent xmlns:mc="http://schemas.openxmlformats.org/markup-compatibility/2006">
          <mc:Choice Requires="x14">
            <control shapeId="31746" r:id="rId4" name="Check Box 2">
              <controlPr defaultSize="0" autoFill="0" autoLine="0" autoPict="0" macro="[0]!Sheet13.ActivateDeptChart">
                <anchor moveWithCells="1">
                  <from>
                    <xdr:col>2</xdr:col>
                    <xdr:colOff>501650</xdr:colOff>
                    <xdr:row>57</xdr:row>
                    <xdr:rowOff>0</xdr:rowOff>
                  </from>
                  <to>
                    <xdr:col>6</xdr:col>
                    <xdr:colOff>190500</xdr:colOff>
                    <xdr:row>58</xdr:row>
                    <xdr:rowOff>6350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theme="9"/>
  </sheetPr>
  <dimension ref="A1:O42"/>
  <sheetViews>
    <sheetView showGridLines="0" workbookViewId="0">
      <selection activeCell="A26" sqref="A26"/>
    </sheetView>
  </sheetViews>
  <sheetFormatPr defaultColWidth="8.81640625" defaultRowHeight="14.5"/>
  <cols>
    <col min="1" max="1" width="8.81640625" style="265"/>
    <col min="3" max="3" width="32" customWidth="1"/>
    <col min="5" max="5" width="23" customWidth="1"/>
    <col min="6" max="6" width="4.1796875" customWidth="1"/>
    <col min="7" max="7" width="30.453125" customWidth="1"/>
    <col min="8" max="8" width="9.1796875" customWidth="1"/>
    <col min="11" max="12" width="9.1796875" customWidth="1"/>
    <col min="13" max="14" width="8.81640625" hidden="1" customWidth="1"/>
    <col min="15" max="15" width="8.81640625" style="308"/>
    <col min="16" max="16384" width="8.81640625" style="109"/>
  </cols>
  <sheetData>
    <row r="1" spans="1:14" ht="38.25" customHeight="1" thickBot="1">
      <c r="A1" s="488" t="s">
        <v>471</v>
      </c>
      <c r="B1" s="483"/>
      <c r="C1" s="483"/>
      <c r="D1" s="483"/>
      <c r="E1" s="483"/>
      <c r="F1" s="483"/>
      <c r="G1" s="483"/>
      <c r="H1" s="483"/>
      <c r="I1" s="483"/>
      <c r="J1" s="483"/>
      <c r="K1" s="483"/>
      <c r="L1" s="483"/>
      <c r="M1" s="372"/>
      <c r="N1" s="372"/>
    </row>
    <row r="7" spans="1:14">
      <c r="A7" s="284">
        <v>1</v>
      </c>
      <c r="B7" s="1" t="s">
        <v>472</v>
      </c>
    </row>
    <row r="9" spans="1:14">
      <c r="B9" t="s">
        <v>473</v>
      </c>
    </row>
    <row r="10" spans="1:14">
      <c r="A10" s="660">
        <v>1</v>
      </c>
      <c r="C10" s="54"/>
    </row>
    <row r="11" spans="1:14">
      <c r="A11" s="284"/>
      <c r="C11" s="57"/>
    </row>
    <row r="12" spans="1:14" hidden="1">
      <c r="A12" s="284" t="str">
        <f>IF($A$10=2, "Show", "Hide")</f>
        <v>Hide</v>
      </c>
      <c r="C12" s="57" t="s">
        <v>474</v>
      </c>
    </row>
    <row r="13" spans="1:14" hidden="1">
      <c r="A13" s="284" t="str">
        <f t="shared" ref="A13:A19" si="0">IF($A$10=2, "Show", "Hide")</f>
        <v>Hide</v>
      </c>
      <c r="C13" s="57" t="s">
        <v>475</v>
      </c>
    </row>
    <row r="14" spans="1:14" hidden="1">
      <c r="A14" s="284" t="str">
        <f t="shared" si="0"/>
        <v>Hide</v>
      </c>
      <c r="C14" s="199"/>
      <c r="D14" s="6"/>
      <c r="E14" s="6"/>
      <c r="F14" s="6"/>
      <c r="G14" s="6"/>
    </row>
    <row r="15" spans="1:14" ht="15" hidden="1" customHeight="1">
      <c r="A15" s="284" t="str">
        <f t="shared" si="0"/>
        <v>Hide</v>
      </c>
      <c r="C15" s="1084"/>
      <c r="D15" s="1084"/>
      <c r="E15" s="1084"/>
      <c r="F15" s="1084"/>
      <c r="G15" s="6"/>
    </row>
    <row r="16" spans="1:14" hidden="1">
      <c r="A16" s="284" t="str">
        <f t="shared" si="0"/>
        <v>Hide</v>
      </c>
      <c r="D16" s="6"/>
      <c r="E16" s="6"/>
      <c r="F16" s="6"/>
      <c r="G16" s="6"/>
    </row>
    <row r="17" spans="1:14" hidden="1">
      <c r="A17" s="284" t="str">
        <f t="shared" si="0"/>
        <v>Hide</v>
      </c>
      <c r="C17" s="1084"/>
      <c r="D17" s="1084"/>
      <c r="E17" s="1084"/>
      <c r="F17" s="1084"/>
      <c r="G17" s="1084"/>
      <c r="H17" s="1084"/>
      <c r="I17" s="1084"/>
      <c r="J17" s="1084"/>
      <c r="K17" s="1084"/>
    </row>
    <row r="18" spans="1:14" hidden="1">
      <c r="A18" s="284" t="str">
        <f t="shared" si="0"/>
        <v>Hide</v>
      </c>
      <c r="C18" s="249"/>
      <c r="D18" s="6"/>
      <c r="E18" s="6"/>
      <c r="F18" s="6"/>
      <c r="G18" s="6"/>
    </row>
    <row r="19" spans="1:14" hidden="1">
      <c r="A19" s="284" t="str">
        <f t="shared" si="0"/>
        <v>Hide</v>
      </c>
    </row>
    <row r="20" spans="1:14">
      <c r="A20" s="284" t="str">
        <f>IF($A$10=1, "Show", "Hide")</f>
        <v>Show</v>
      </c>
      <c r="B20" t="s">
        <v>476</v>
      </c>
    </row>
    <row r="21" spans="1:14">
      <c r="A21" s="284" t="str">
        <f t="shared" ref="A21:A28" si="1">IF($A$10=1, "Show", "Hide")</f>
        <v>Show</v>
      </c>
      <c r="C21" s="844" t="str">
        <f>'Control Sheet'!D17</f>
        <v>Commercial/Institutional</v>
      </c>
    </row>
    <row r="22" spans="1:14">
      <c r="A22" s="284" t="str">
        <f t="shared" si="1"/>
        <v>Show</v>
      </c>
    </row>
    <row r="23" spans="1:14" ht="16" customHeight="1">
      <c r="A23" s="284" t="str">
        <f t="shared" si="1"/>
        <v>Show</v>
      </c>
      <c r="B23" t="s">
        <v>477</v>
      </c>
    </row>
    <row r="24" spans="1:14" ht="5.5" customHeight="1">
      <c r="A24" s="284" t="str">
        <f t="shared" si="1"/>
        <v>Show</v>
      </c>
    </row>
    <row r="25" spans="1:14">
      <c r="A25" s="284" t="str">
        <f t="shared" si="1"/>
        <v>Show</v>
      </c>
      <c r="C25" s="841"/>
    </row>
    <row r="26" spans="1:14">
      <c r="A26" s="284" t="str">
        <f t="shared" si="1"/>
        <v>Show</v>
      </c>
    </row>
    <row r="27" spans="1:14" ht="40.5" customHeight="1">
      <c r="A27" s="284" t="str">
        <f t="shared" si="1"/>
        <v>Show</v>
      </c>
      <c r="C27" s="189" t="s">
        <v>478</v>
      </c>
      <c r="D27" s="12"/>
      <c r="E27" s="190" t="s">
        <v>479</v>
      </c>
      <c r="F27" s="12"/>
      <c r="G27" s="190" t="s">
        <v>480</v>
      </c>
    </row>
    <row r="28" spans="1:14">
      <c r="A28" s="284" t="str">
        <f t="shared" si="1"/>
        <v>Show</v>
      </c>
      <c r="B28">
        <v>1</v>
      </c>
      <c r="C28" s="841"/>
      <c r="E28" s="891"/>
      <c r="G28" s="891"/>
      <c r="M28" s="588" t="s">
        <v>481</v>
      </c>
      <c r="N28" s="588"/>
    </row>
    <row r="29" spans="1:14" hidden="1">
      <c r="A29" s="284" t="str">
        <f t="shared" ref="A29:A38" si="2">IF(MyLFCount&gt;=B29, "Show", "Hide")</f>
        <v>Hide</v>
      </c>
      <c r="B29">
        <v>2</v>
      </c>
      <c r="C29" s="841"/>
      <c r="E29" s="891"/>
      <c r="G29" s="891"/>
      <c r="M29" s="588" t="s">
        <v>482</v>
      </c>
      <c r="N29" s="588" t="b">
        <f>IF(OR(SW_LF1q1="yes", SW_LF2q1="yes", SW_LF3q1="yes", SW_LF4q1="yes", SW_LF5q1="yes", SW_LF6q1="yes", SW_LF7q1="yes", SW_LF8q1="yes", SW_LF9q1="yes", SW_LF10q1="yes"), TRUE, FALSE)</f>
        <v>0</v>
      </c>
    </row>
    <row r="30" spans="1:14" hidden="1">
      <c r="A30" s="284" t="str">
        <f t="shared" si="2"/>
        <v>Hide</v>
      </c>
      <c r="B30">
        <v>3</v>
      </c>
      <c r="C30" s="841"/>
      <c r="E30" s="891"/>
      <c r="G30" s="891"/>
      <c r="M30" s="588" t="s">
        <v>483</v>
      </c>
      <c r="N30" s="588" t="b">
        <f>IF(OR(SW_LF1q1="no", SW_LF2q1="no", SW_LF3q1="no", SW_LF4q1="no", SW_LF5q1="no", SW_LF6q1="no", SW_LF7q1="no", SW_LF8q1="no", SW_LF9q1="no", SW_LF10q1="no"), TRUE, FALSE)</f>
        <v>0</v>
      </c>
    </row>
    <row r="31" spans="1:14" hidden="1">
      <c r="A31" s="284" t="str">
        <f t="shared" si="2"/>
        <v>Hide</v>
      </c>
      <c r="B31">
        <v>4</v>
      </c>
      <c r="C31" s="841"/>
      <c r="E31" s="891"/>
      <c r="G31" s="891"/>
      <c r="M31" s="588" t="s">
        <v>484</v>
      </c>
      <c r="N31" s="588" t="b">
        <f>IF(OR(SW_LF1q2="comprehensive", SW_LF2q2="comprehensive", SW_LF3q2="comprehensive", SW_LF4q2="comprehensive", SW_LF5q2="comprehensive", SW_LF6q2="comprehensive", SW_LF7q2="comprehensive", SW_LF8q2="comprehensive", SW_LF9q2="comprehensive", SW_LF10q2="comprehensive"), TRUE, FALSE)</f>
        <v>0</v>
      </c>
    </row>
    <row r="32" spans="1:14" hidden="1">
      <c r="A32" s="284" t="str">
        <f t="shared" si="2"/>
        <v>Hide</v>
      </c>
      <c r="B32">
        <v>5</v>
      </c>
      <c r="C32" s="841"/>
      <c r="E32" s="891"/>
      <c r="G32" s="891"/>
      <c r="M32" s="588" t="s">
        <v>485</v>
      </c>
      <c r="N32" s="588" t="b">
        <f>IF(OR(SW_LF1q2="partial", SW_LF2q2="partial", SW_LF3q2="partial", SW_LF4q2="partial", SW_LF5q2="partial", SW_LF6q2="partial", SW_LF7q2="partial", SW_LF8q2="partial", SW_LF9q2="partial", SW_LF10q2="partial"), TRUE, FALSE)</f>
        <v>0</v>
      </c>
    </row>
    <row r="33" spans="1:14" hidden="1">
      <c r="A33" s="284" t="str">
        <f t="shared" si="2"/>
        <v>Hide</v>
      </c>
      <c r="B33">
        <v>6</v>
      </c>
      <c r="C33" s="841"/>
      <c r="E33" s="891"/>
      <c r="G33" s="891"/>
    </row>
    <row r="34" spans="1:14" hidden="1">
      <c r="A34" s="284" t="str">
        <f t="shared" si="2"/>
        <v>Hide</v>
      </c>
      <c r="B34">
        <v>7</v>
      </c>
      <c r="C34" s="841"/>
      <c r="E34" s="891"/>
      <c r="G34" s="891"/>
    </row>
    <row r="35" spans="1:14" hidden="1">
      <c r="A35" s="284" t="str">
        <f t="shared" si="2"/>
        <v>Hide</v>
      </c>
      <c r="B35">
        <v>8</v>
      </c>
      <c r="C35" s="841"/>
      <c r="E35" s="891"/>
      <c r="G35" s="891"/>
    </row>
    <row r="36" spans="1:14" hidden="1">
      <c r="A36" s="284" t="str">
        <f t="shared" si="2"/>
        <v>Hide</v>
      </c>
      <c r="B36">
        <v>9</v>
      </c>
      <c r="C36" s="841"/>
      <c r="E36" s="891"/>
      <c r="G36" s="891"/>
    </row>
    <row r="37" spans="1:14" hidden="1">
      <c r="A37" s="284" t="str">
        <f t="shared" si="2"/>
        <v>Hide</v>
      </c>
      <c r="B37">
        <v>10</v>
      </c>
      <c r="C37" s="841"/>
      <c r="E37" s="891"/>
      <c r="G37" s="891"/>
    </row>
    <row r="38" spans="1:14">
      <c r="A38" s="284" t="str">
        <f t="shared" si="2"/>
        <v>Show</v>
      </c>
    </row>
    <row r="39" spans="1:14">
      <c r="A39" s="284" t="str">
        <f>IF($A$10=1, "Show", "Hide")</f>
        <v>Show</v>
      </c>
      <c r="E39" t="s">
        <v>486</v>
      </c>
    </row>
    <row r="40" spans="1:14">
      <c r="A40" s="284"/>
    </row>
    <row r="41" spans="1:14" ht="15" thickBot="1"/>
    <row r="42" spans="1:14" ht="65.150000000000006" customHeight="1" thickBot="1">
      <c r="A42" s="1042" t="s">
        <v>1</v>
      </c>
      <c r="B42" s="1043"/>
      <c r="C42" s="1043"/>
      <c r="D42" s="1043"/>
      <c r="E42" s="1043"/>
      <c r="F42" s="1043"/>
      <c r="G42" s="1043"/>
      <c r="H42" s="1043"/>
      <c r="I42" s="1043"/>
      <c r="J42" s="1043"/>
      <c r="K42" s="1043"/>
      <c r="L42" s="1043"/>
      <c r="M42" s="303"/>
      <c r="N42" s="303"/>
    </row>
  </sheetData>
  <mergeCells count="3">
    <mergeCell ref="C15:F15"/>
    <mergeCell ref="C17:K17"/>
    <mergeCell ref="A42:L42"/>
  </mergeCells>
  <dataValidations count="3">
    <dataValidation type="list" allowBlank="1" showInputMessage="1" showErrorMessage="1" sqref="C10 E28:E37" xr:uid="{00000000-0002-0000-1000-000000000000}">
      <formula1>yes_no</formula1>
    </dataValidation>
    <dataValidation type="list" allowBlank="1" showInputMessage="1" showErrorMessage="1" sqref="G29:G37" xr:uid="{00000000-0002-0000-1000-000001000000}">
      <formula1>comp_part</formula1>
    </dataValidation>
    <dataValidation type="list" allowBlank="1" showInputMessage="1" showErrorMessage="1" prompt="LFG collection systems are considered &quot;comprehensive&quot; if the landfill is required to have a LFG collection system under US EPA's New Source Performance Standards or a system more stringent as dictated by a local air district." sqref="G28" xr:uid="{00000000-0002-0000-1000-000002000000}">
      <formula1>comp_part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2779" r:id="rId4" name="ck_comp_SWControl">
          <controlPr locked="0" defaultSize="0" autoLine="0" linkedCell="comp_SWControl" r:id="rId5">
            <anchor moveWithCells="1">
              <from>
                <xdr:col>7</xdr:col>
                <xdr:colOff>381000</xdr:colOff>
                <xdr:row>0</xdr:row>
                <xdr:rowOff>107950</xdr:rowOff>
              </from>
              <to>
                <xdr:col>11</xdr:col>
                <xdr:colOff>419100</xdr:colOff>
                <xdr:row>0</xdr:row>
                <xdr:rowOff>381000</xdr:rowOff>
              </to>
            </anchor>
          </controlPr>
        </control>
      </mc:Choice>
      <mc:Fallback>
        <control shapeId="32779" r:id="rId4" name="ck_comp_SWControl"/>
      </mc:Fallback>
    </mc:AlternateContent>
    <mc:AlternateContent xmlns:mc="http://schemas.openxmlformats.org/markup-compatibility/2006">
      <mc:Choice Requires="x14">
        <control shapeId="32778" r:id="rId6" name="Drop Down 10">
          <controlPr defaultSize="0" autoLine="0" autoPict="0" macro="[0]!ShowHideRows">
            <anchor moveWithCells="1">
              <from>
                <xdr:col>2</xdr:col>
                <xdr:colOff>0</xdr:colOff>
                <xdr:row>9</xdr:row>
                <xdr:rowOff>0</xdr:rowOff>
              </from>
              <to>
                <xdr:col>2</xdr:col>
                <xdr:colOff>1828800</xdr:colOff>
                <xdr:row>10</xdr:row>
                <xdr:rowOff>12700</xdr:rowOff>
              </to>
            </anchor>
          </controlPr>
        </control>
      </mc:Choice>
    </mc:AlternateContent>
    <mc:AlternateContent xmlns:mc="http://schemas.openxmlformats.org/markup-compatibility/2006">
      <mc:Choice Requires="x14">
        <control shapeId="32786" r:id="rId7" name="Spinner 18">
          <controlPr defaultSize="0" autoPict="0" macro="[0]!Sheet14.SetSources">
            <anchor moveWithCells="1" sizeWithCells="1">
              <from>
                <xdr:col>3</xdr:col>
                <xdr:colOff>107950</xdr:colOff>
                <xdr:row>11</xdr:row>
                <xdr:rowOff>0</xdr:rowOff>
              </from>
              <to>
                <xdr:col>3</xdr:col>
                <xdr:colOff>565150</xdr:colOff>
                <xdr:row>11</xdr:row>
                <xdr:rowOff>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9"/>
  </sheetPr>
  <dimension ref="A1:BX109"/>
  <sheetViews>
    <sheetView showGridLines="0" workbookViewId="0">
      <selection activeCell="B19" sqref="B19"/>
    </sheetView>
  </sheetViews>
  <sheetFormatPr defaultColWidth="8.81640625" defaultRowHeight="14.5"/>
  <cols>
    <col min="1" max="1" width="8.81640625" style="265"/>
    <col min="2" max="2" width="24.26953125" customWidth="1"/>
    <col min="3" max="3" width="16.7265625" customWidth="1"/>
    <col min="4" max="4" width="14.81640625" customWidth="1"/>
    <col min="5" max="5" width="16" customWidth="1"/>
    <col min="6" max="6" width="14.1796875" customWidth="1"/>
    <col min="7" max="7" width="14.453125" customWidth="1"/>
    <col min="8" max="8" width="15.7265625" customWidth="1"/>
    <col min="9" max="9" width="14.1796875" customWidth="1"/>
    <col min="10" max="10" width="10.453125" customWidth="1"/>
    <col min="11" max="11" width="13" customWidth="1"/>
    <col min="12" max="12" width="15.26953125" bestFit="1" customWidth="1"/>
    <col min="15" max="15" width="8.81640625" style="308"/>
    <col min="16" max="16" width="8.81640625" style="109"/>
    <col min="17" max="17" width="9.1796875" style="109" hidden="1" customWidth="1"/>
    <col min="18" max="16384" width="8.81640625" style="109"/>
  </cols>
  <sheetData>
    <row r="1" spans="1:76" ht="38.25" customHeight="1" thickBot="1">
      <c r="A1" s="488" t="s">
        <v>487</v>
      </c>
      <c r="B1" s="483"/>
      <c r="C1" s="483"/>
      <c r="D1" s="483"/>
      <c r="E1" s="483"/>
      <c r="F1" s="483"/>
      <c r="G1" s="483"/>
      <c r="H1" s="483"/>
      <c r="I1" s="483"/>
      <c r="J1" s="483"/>
      <c r="K1" s="483"/>
      <c r="L1" s="483"/>
      <c r="M1" s="483"/>
      <c r="N1" s="483"/>
    </row>
    <row r="2" spans="1:76" customFormat="1" ht="15" customHeight="1">
      <c r="A2" s="395"/>
      <c r="O2" s="308"/>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row>
    <row r="3" spans="1:76" customFormat="1" ht="15" customHeight="1">
      <c r="A3" s="395"/>
      <c r="O3" s="308"/>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row>
    <row r="4" spans="1:76" customFormat="1" ht="15" customHeight="1">
      <c r="A4" s="395"/>
      <c r="O4" s="308"/>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row>
    <row r="5" spans="1:76" customFormat="1" ht="15" customHeight="1">
      <c r="A5" s="395"/>
      <c r="O5" s="308"/>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row>
    <row r="6" spans="1:76" customFormat="1" ht="27.75" customHeight="1">
      <c r="A6" s="395"/>
      <c r="O6" s="308"/>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row>
    <row r="7" spans="1:76" customFormat="1" ht="25.5" customHeight="1">
      <c r="A7" s="395"/>
      <c r="O7" s="308"/>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row>
    <row r="8" spans="1:76" ht="25.5" customHeight="1"/>
    <row r="9" spans="1:76" s="383" customFormat="1" ht="18.5" hidden="1">
      <c r="A9" s="295" t="str">
        <f>IF('Solid Waste-Control'!$A$10=2, "Show", "Hide")</f>
        <v>Hide</v>
      </c>
      <c r="B9" s="200" t="s">
        <v>488</v>
      </c>
      <c r="C9" s="200"/>
      <c r="D9" s="200"/>
      <c r="E9" s="200"/>
      <c r="F9" s="200"/>
      <c r="G9" s="200"/>
      <c r="H9" s="200"/>
      <c r="I9" s="200"/>
      <c r="J9" s="200"/>
      <c r="K9" s="200"/>
      <c r="L9" s="200"/>
      <c r="M9" s="200"/>
      <c r="N9" s="200"/>
      <c r="O9" s="308"/>
      <c r="P9" s="109"/>
    </row>
    <row r="10" spans="1:76" hidden="1">
      <c r="A10" s="307" t="str">
        <f>IF('Solid Waste-Control'!$A$10=2, "Show", "Hide")</f>
        <v>Hide</v>
      </c>
    </row>
    <row r="11" spans="1:76" s="383" customFormat="1" ht="18.5" hidden="1">
      <c r="A11" s="583" t="str">
        <f t="shared" ref="A11:A23" si="0">IF(SW_anyNo=TRUE, "Show", "Hide")</f>
        <v>Hide</v>
      </c>
      <c r="B11" s="200" t="s">
        <v>489</v>
      </c>
      <c r="C11" s="200"/>
      <c r="D11" s="200"/>
      <c r="E11" s="200"/>
      <c r="F11" s="200"/>
      <c r="G11" s="200"/>
      <c r="H11" s="200"/>
      <c r="I11" s="200"/>
      <c r="J11" s="200"/>
      <c r="K11" s="200"/>
      <c r="L11" s="200"/>
      <c r="M11" s="200"/>
      <c r="N11" s="200"/>
      <c r="O11" s="308"/>
      <c r="P11" s="109"/>
    </row>
    <row r="12" spans="1:76" hidden="1">
      <c r="A12" s="284" t="str">
        <f>IF(SW_anyNo=TRUE, "Show", "Hide")</f>
        <v>Hide</v>
      </c>
    </row>
    <row r="13" spans="1:76" hidden="1">
      <c r="A13" s="284" t="str">
        <f t="shared" si="0"/>
        <v>Hide</v>
      </c>
      <c r="B13" t="s">
        <v>490</v>
      </c>
    </row>
    <row r="14" spans="1:76" hidden="1">
      <c r="A14" s="284" t="str">
        <f t="shared" si="0"/>
        <v>Hide</v>
      </c>
    </row>
    <row r="15" spans="1:76" hidden="1">
      <c r="A15" s="284" t="str">
        <f t="shared" si="0"/>
        <v>Hide</v>
      </c>
      <c r="B15" t="s">
        <v>491</v>
      </c>
    </row>
    <row r="16" spans="1:76" hidden="1">
      <c r="A16" s="284" t="str">
        <f t="shared" si="0"/>
        <v>Hide</v>
      </c>
      <c r="B16" s="202" t="s">
        <v>492</v>
      </c>
    </row>
    <row r="17" spans="1:3" hidden="1">
      <c r="A17" s="284" t="str">
        <f t="shared" si="0"/>
        <v>Hide</v>
      </c>
      <c r="B17" s="202" t="s">
        <v>493</v>
      </c>
    </row>
    <row r="18" spans="1:3">
      <c r="A18" s="284"/>
      <c r="B18" s="202"/>
    </row>
    <row r="19" spans="1:3" ht="16.5">
      <c r="A19" s="284"/>
      <c r="B19" s="1026" t="s">
        <v>1230</v>
      </c>
    </row>
    <row r="20" spans="1:3" hidden="1">
      <c r="A20" s="284" t="str">
        <f t="shared" ref="A20" si="1">IF(SW_anyNo=TRUE, "Show", "Hide")</f>
        <v>Hide</v>
      </c>
      <c r="B20" s="178" t="s">
        <v>1229</v>
      </c>
    </row>
    <row r="21" spans="1:3" hidden="1">
      <c r="A21" s="284" t="str">
        <f t="shared" si="0"/>
        <v>Hide</v>
      </c>
      <c r="B21" t="str">
        <f xml:space="preserve"> "Once you have run the model, please paste the final " &amp; MyYear &amp;" methane (CH4) emissions output for each landfill in the yellow cells below:"</f>
        <v>Once you have run the model, please paste the final  methane (CH4) emissions output for each landfill in the yellow cells below:</v>
      </c>
    </row>
    <row r="22" spans="1:3" hidden="1">
      <c r="A22" s="284" t="str">
        <f t="shared" si="0"/>
        <v>Hide</v>
      </c>
      <c r="B22" s="203" t="s">
        <v>494</v>
      </c>
    </row>
    <row r="23" spans="1:3" hidden="1">
      <c r="A23" s="284" t="str">
        <f t="shared" si="0"/>
        <v>Hide</v>
      </c>
    </row>
    <row r="24" spans="1:3" ht="37.5" hidden="1" customHeight="1">
      <c r="A24" s="284" t="str">
        <f>IF(SW_anyNo=TRUE, "Show", "Hide")</f>
        <v>Hide</v>
      </c>
      <c r="B24" s="840" t="s">
        <v>478</v>
      </c>
      <c r="C24" s="123" t="s">
        <v>495</v>
      </c>
    </row>
    <row r="25" spans="1:3" hidden="1">
      <c r="A25" s="284" t="str">
        <f>IF(SW_LF1q1="No", "Show", "Hide")</f>
        <v>Hide</v>
      </c>
      <c r="B25" s="892">
        <f>SW_LF1name</f>
        <v>0</v>
      </c>
      <c r="C25" s="842"/>
    </row>
    <row r="26" spans="1:3" hidden="1">
      <c r="A26" s="284" t="str">
        <f>IF(SW_LF2q1="No", "Show", "Hide")</f>
        <v>Hide</v>
      </c>
      <c r="B26" s="892">
        <f>SW_LF2name</f>
        <v>0</v>
      </c>
      <c r="C26" s="842"/>
    </row>
    <row r="27" spans="1:3" hidden="1">
      <c r="A27" s="284" t="str">
        <f>IF(SW_LF3q1="No", "Show", "Hide")</f>
        <v>Hide</v>
      </c>
      <c r="B27" s="892">
        <f>SW_LF3name</f>
        <v>0</v>
      </c>
      <c r="C27" s="842"/>
    </row>
    <row r="28" spans="1:3" hidden="1">
      <c r="A28" s="284" t="str">
        <f>IF(SW_LF4q1="No", "Show", "Hide")</f>
        <v>Hide</v>
      </c>
      <c r="B28" s="892">
        <f>SW_LF4name</f>
        <v>0</v>
      </c>
      <c r="C28" s="842"/>
    </row>
    <row r="29" spans="1:3" hidden="1">
      <c r="A29" s="284" t="str">
        <f>IF(SW_LF5q1="No", "Show", "Hide")</f>
        <v>Hide</v>
      </c>
      <c r="B29" s="892">
        <f>SW_LF5name</f>
        <v>0</v>
      </c>
      <c r="C29" s="842"/>
    </row>
    <row r="30" spans="1:3" hidden="1">
      <c r="A30" s="284" t="str">
        <f>IF(SW_LF6q1="No", "Show", "Hide")</f>
        <v>Hide</v>
      </c>
      <c r="B30" s="892">
        <f>SW_LF6name</f>
        <v>0</v>
      </c>
      <c r="C30" s="842"/>
    </row>
    <row r="31" spans="1:3" hidden="1">
      <c r="A31" s="284" t="str">
        <f>IF(SW_LF7q1="No", "Show", "Hide")</f>
        <v>Hide</v>
      </c>
      <c r="B31" s="892">
        <f>SW_LF7name</f>
        <v>0</v>
      </c>
      <c r="C31" s="842"/>
    </row>
    <row r="32" spans="1:3" hidden="1">
      <c r="A32" s="284" t="str">
        <f>IF(SW_LF8q1="No", "Show", "Hide")</f>
        <v>Hide</v>
      </c>
      <c r="B32" s="892">
        <f>SW_LF8name</f>
        <v>0</v>
      </c>
      <c r="C32" s="842"/>
    </row>
    <row r="33" spans="1:17" hidden="1">
      <c r="A33" s="284" t="str">
        <f>IF(SW_LF9q1="No", "Show", "Hide")</f>
        <v>Hide</v>
      </c>
      <c r="B33" s="892">
        <f>SW_LF9name</f>
        <v>0</v>
      </c>
      <c r="C33" s="842"/>
    </row>
    <row r="34" spans="1:17" hidden="1">
      <c r="A34" s="284" t="str">
        <f>IF(SW_LF10q1="No", "Show", "Hide")</f>
        <v>Hide</v>
      </c>
      <c r="B34" s="892">
        <f>SW_LF10name</f>
        <v>0</v>
      </c>
      <c r="C34" s="842"/>
    </row>
    <row r="35" spans="1:17" hidden="1">
      <c r="A35" s="284" t="str">
        <f>IF(SW_anyNo=TRUE, "Show", "Hide")</f>
        <v>Hide</v>
      </c>
    </row>
    <row r="36" spans="1:17" s="384" customFormat="1" ht="18.5" hidden="1">
      <c r="A36" s="296" t="str">
        <f t="shared" ref="A36:A43" si="2">IF(AND(SW_anyYes=TRUE, SW_anyComp=TRUE), "Show", "Hide")</f>
        <v>Hide</v>
      </c>
      <c r="B36" s="201" t="s">
        <v>496</v>
      </c>
      <c r="C36" s="201"/>
      <c r="D36" s="201"/>
      <c r="E36" s="201"/>
      <c r="F36" s="201"/>
      <c r="G36" s="201"/>
      <c r="H36" s="201"/>
      <c r="I36" s="201"/>
      <c r="J36" s="201"/>
      <c r="K36" s="201"/>
      <c r="L36" s="201"/>
      <c r="M36" s="201"/>
      <c r="N36" s="201"/>
      <c r="O36" s="308"/>
      <c r="P36" s="109"/>
    </row>
    <row r="37" spans="1:17" hidden="1">
      <c r="A37" s="284" t="str">
        <f t="shared" si="2"/>
        <v>Hide</v>
      </c>
    </row>
    <row r="38" spans="1:17" hidden="1">
      <c r="A38" s="284" t="str">
        <f t="shared" si="2"/>
        <v>Hide</v>
      </c>
      <c r="B38" t="s">
        <v>497</v>
      </c>
    </row>
    <row r="39" spans="1:17" hidden="1">
      <c r="A39" s="284" t="str">
        <f t="shared" si="2"/>
        <v>Hide</v>
      </c>
    </row>
    <row r="40" spans="1:17" ht="19.5" hidden="1">
      <c r="A40" s="284" t="str">
        <f t="shared" si="2"/>
        <v>Hide</v>
      </c>
      <c r="B40" s="57" t="s">
        <v>498</v>
      </c>
    </row>
    <row r="41" spans="1:17" hidden="1">
      <c r="A41" s="284" t="str">
        <f t="shared" si="2"/>
        <v>Hide</v>
      </c>
      <c r="B41" s="57"/>
    </row>
    <row r="42" spans="1:17" s="377" customFormat="1" ht="32" hidden="1">
      <c r="A42" s="284" t="str">
        <f t="shared" si="2"/>
        <v>Hide</v>
      </c>
      <c r="B42" s="893" t="s">
        <v>478</v>
      </c>
      <c r="C42" s="868" t="s">
        <v>499</v>
      </c>
      <c r="D42" s="868" t="s">
        <v>500</v>
      </c>
      <c r="E42" s="893" t="s">
        <v>501</v>
      </c>
      <c r="F42" s="893" t="s">
        <v>502</v>
      </c>
      <c r="G42" s="893" t="s">
        <v>503</v>
      </c>
      <c r="H42" s="893" t="s">
        <v>504</v>
      </c>
      <c r="I42" s="894" t="s">
        <v>505</v>
      </c>
      <c r="J42" s="893" t="s">
        <v>506</v>
      </c>
      <c r="K42" s="894" t="s">
        <v>507</v>
      </c>
      <c r="L42" s="118"/>
      <c r="M42" s="118"/>
      <c r="N42" s="118"/>
      <c r="O42" s="308"/>
      <c r="P42" s="109"/>
    </row>
    <row r="43" spans="1:17" s="377" customFormat="1" ht="15" hidden="1" customHeight="1">
      <c r="A43" s="284" t="str">
        <f t="shared" si="2"/>
        <v>Hide</v>
      </c>
      <c r="B43" s="893"/>
      <c r="C43" s="868"/>
      <c r="D43" s="893"/>
      <c r="E43" s="893"/>
      <c r="F43" s="893"/>
      <c r="G43" s="893"/>
      <c r="H43" s="893"/>
      <c r="I43" s="894"/>
      <c r="J43" s="893"/>
      <c r="K43" s="894"/>
      <c r="L43" s="118"/>
      <c r="M43" s="118"/>
      <c r="N43" s="118"/>
      <c r="O43" s="308"/>
      <c r="P43" s="109"/>
      <c r="Q43" s="377" t="b">
        <v>1</v>
      </c>
    </row>
    <row r="44" spans="1:17" hidden="1">
      <c r="A44" s="284" t="str">
        <f>IF(AND(SW_LF1q1="yes", SW_LF1q2="comprehensive"), "Show", "Hide")</f>
        <v>Hide</v>
      </c>
      <c r="B44" s="892">
        <f>SW_LF1name</f>
        <v>0</v>
      </c>
      <c r="C44" s="841"/>
      <c r="D44" s="895">
        <v>0.5</v>
      </c>
      <c r="E44" s="896">
        <v>0.99</v>
      </c>
      <c r="F44" s="895">
        <v>0.75</v>
      </c>
      <c r="G44" s="870">
        <v>0.1</v>
      </c>
      <c r="H44" s="870">
        <v>19.125</v>
      </c>
      <c r="I44" s="897">
        <f>IFERROR(C44*D44*((1-E44) + (((1-F44)/F44)*(1-G44)))*H44,"0")</f>
        <v>0</v>
      </c>
      <c r="J44" s="870">
        <f t="shared" ref="J44:J53" si="3">CH4_CO2e</f>
        <v>28</v>
      </c>
      <c r="K44" s="897">
        <f>I44*J44</f>
        <v>0</v>
      </c>
      <c r="M44" s="211"/>
      <c r="Q44" s="109" t="b">
        <v>1</v>
      </c>
    </row>
    <row r="45" spans="1:17" hidden="1">
      <c r="A45" s="284" t="str">
        <f>IF(AND(SW_LF2q1="yes", SW_LF2q2="comprehensive"), "Show", "Hide")</f>
        <v>Hide</v>
      </c>
      <c r="B45" s="892">
        <f>SW_LF2name</f>
        <v>0</v>
      </c>
      <c r="C45" s="841"/>
      <c r="D45" s="895">
        <v>0.5</v>
      </c>
      <c r="E45" s="896">
        <v>0.99</v>
      </c>
      <c r="F45" s="895">
        <v>0.75</v>
      </c>
      <c r="G45" s="870">
        <v>0.1</v>
      </c>
      <c r="H45" s="870">
        <v>19.125</v>
      </c>
      <c r="I45" s="897">
        <f t="shared" ref="I45:I53" si="4">IFERROR(C45*D45*((1-E45) + (((1-F45)/F45)*(1-G45)))*H45,"0")</f>
        <v>0</v>
      </c>
      <c r="J45" s="870">
        <f t="shared" si="3"/>
        <v>28</v>
      </c>
      <c r="K45" s="897">
        <f t="shared" ref="K45:K53" si="5">I45*J45</f>
        <v>0</v>
      </c>
    </row>
    <row r="46" spans="1:17" hidden="1">
      <c r="A46" s="284" t="str">
        <f>IF(AND(SW_LF3q1="yes", SW_LF3q2="comprehensive"), "Show", "Hide")</f>
        <v>Hide</v>
      </c>
      <c r="B46" s="892">
        <f>SW_LF3name</f>
        <v>0</v>
      </c>
      <c r="C46" s="841"/>
      <c r="D46" s="895">
        <v>0.5</v>
      </c>
      <c r="E46" s="896">
        <v>0.99</v>
      </c>
      <c r="F46" s="895">
        <v>0.75</v>
      </c>
      <c r="G46" s="870">
        <v>0.1</v>
      </c>
      <c r="H46" s="870">
        <v>19.125</v>
      </c>
      <c r="I46" s="897">
        <f t="shared" si="4"/>
        <v>0</v>
      </c>
      <c r="J46" s="870">
        <f t="shared" si="3"/>
        <v>28</v>
      </c>
      <c r="K46" s="897">
        <f t="shared" si="5"/>
        <v>0</v>
      </c>
    </row>
    <row r="47" spans="1:17" hidden="1">
      <c r="A47" s="284" t="str">
        <f>IF(AND(SW_LF4q1="yes", SW_LF4q2="comprehensive"), "Show", "Hide")</f>
        <v>Hide</v>
      </c>
      <c r="B47" s="892">
        <f>SW_LF4name</f>
        <v>0</v>
      </c>
      <c r="C47" s="841"/>
      <c r="D47" s="895">
        <v>0.5</v>
      </c>
      <c r="E47" s="896">
        <v>0.99</v>
      </c>
      <c r="F47" s="895">
        <v>0.75</v>
      </c>
      <c r="G47" s="870">
        <v>0.1</v>
      </c>
      <c r="H47" s="870">
        <v>19.125</v>
      </c>
      <c r="I47" s="897">
        <f t="shared" si="4"/>
        <v>0</v>
      </c>
      <c r="J47" s="870">
        <f t="shared" si="3"/>
        <v>28</v>
      </c>
      <c r="K47" s="897">
        <f t="shared" si="5"/>
        <v>0</v>
      </c>
    </row>
    <row r="48" spans="1:17" hidden="1">
      <c r="A48" s="284" t="str">
        <f>IF(AND(SW_LF5q1="yes", SW_LF5q2="comprehensive"), "Show", "Hide")</f>
        <v>Hide</v>
      </c>
      <c r="B48" s="892">
        <f>SW_LF5name</f>
        <v>0</v>
      </c>
      <c r="C48" s="841"/>
      <c r="D48" s="895">
        <v>0.5</v>
      </c>
      <c r="E48" s="896">
        <v>0.99</v>
      </c>
      <c r="F48" s="895">
        <v>0.75</v>
      </c>
      <c r="G48" s="870">
        <v>0.1</v>
      </c>
      <c r="H48" s="870">
        <v>19.125</v>
      </c>
      <c r="I48" s="897">
        <f t="shared" si="4"/>
        <v>0</v>
      </c>
      <c r="J48" s="870">
        <f t="shared" si="3"/>
        <v>28</v>
      </c>
      <c r="K48" s="897">
        <f t="shared" si="5"/>
        <v>0</v>
      </c>
    </row>
    <row r="49" spans="1:17" hidden="1">
      <c r="A49" s="284" t="str">
        <f>IF(AND(SW_LF6q1="yes", SW_LF6q2="comprehensive"), "Show", "Hide")</f>
        <v>Hide</v>
      </c>
      <c r="B49" s="892">
        <f>SW_LF6name</f>
        <v>0</v>
      </c>
      <c r="C49" s="841"/>
      <c r="D49" s="895">
        <v>0.5</v>
      </c>
      <c r="E49" s="896">
        <v>0.99</v>
      </c>
      <c r="F49" s="895">
        <v>0.75</v>
      </c>
      <c r="G49" s="870">
        <v>0.1</v>
      </c>
      <c r="H49" s="870">
        <v>19.125</v>
      </c>
      <c r="I49" s="897">
        <f t="shared" si="4"/>
        <v>0</v>
      </c>
      <c r="J49" s="870">
        <f t="shared" si="3"/>
        <v>28</v>
      </c>
      <c r="K49" s="897">
        <f t="shared" si="5"/>
        <v>0</v>
      </c>
    </row>
    <row r="50" spans="1:17" hidden="1">
      <c r="A50" s="284" t="str">
        <f>IF(AND(SW_LF7q1="yes", SW_LF7q2="comprehensive"), "Show", "Hide")</f>
        <v>Hide</v>
      </c>
      <c r="B50" s="892">
        <f>SW_LF7name</f>
        <v>0</v>
      </c>
      <c r="C50" s="841"/>
      <c r="D50" s="895">
        <v>0.5</v>
      </c>
      <c r="E50" s="896">
        <v>0.99</v>
      </c>
      <c r="F50" s="895">
        <v>0.75</v>
      </c>
      <c r="G50" s="870">
        <v>0.1</v>
      </c>
      <c r="H50" s="870">
        <v>19.125</v>
      </c>
      <c r="I50" s="897">
        <f t="shared" si="4"/>
        <v>0</v>
      </c>
      <c r="J50" s="870">
        <f t="shared" si="3"/>
        <v>28</v>
      </c>
      <c r="K50" s="897">
        <f t="shared" si="5"/>
        <v>0</v>
      </c>
    </row>
    <row r="51" spans="1:17" hidden="1">
      <c r="A51" s="284" t="str">
        <f>IF(AND(SW_LF8q1="yes", SW_LF8q2="comprehensive"), "Show", "Hide")</f>
        <v>Hide</v>
      </c>
      <c r="B51" s="892">
        <f>SW_LF8name</f>
        <v>0</v>
      </c>
      <c r="C51" s="841"/>
      <c r="D51" s="895">
        <v>0.5</v>
      </c>
      <c r="E51" s="896">
        <v>0.99</v>
      </c>
      <c r="F51" s="895">
        <v>0.75</v>
      </c>
      <c r="G51" s="870">
        <v>0.1</v>
      </c>
      <c r="H51" s="870">
        <v>19.125</v>
      </c>
      <c r="I51" s="897">
        <f t="shared" si="4"/>
        <v>0</v>
      </c>
      <c r="J51" s="870">
        <f t="shared" si="3"/>
        <v>28</v>
      </c>
      <c r="K51" s="897">
        <f t="shared" si="5"/>
        <v>0</v>
      </c>
    </row>
    <row r="52" spans="1:17" hidden="1">
      <c r="A52" s="284" t="str">
        <f>IF(AND(SW_LF9q1="yes", SW_LF9q2="comprehensive"), "Show", "Hide")</f>
        <v>Hide</v>
      </c>
      <c r="B52" s="892">
        <f>SW_LF9name</f>
        <v>0</v>
      </c>
      <c r="C52" s="841"/>
      <c r="D52" s="895">
        <v>0.5</v>
      </c>
      <c r="E52" s="896">
        <v>0.99</v>
      </c>
      <c r="F52" s="895">
        <v>0.75</v>
      </c>
      <c r="G52" s="870">
        <v>0.1</v>
      </c>
      <c r="H52" s="870">
        <v>19.125</v>
      </c>
      <c r="I52" s="897">
        <f t="shared" si="4"/>
        <v>0</v>
      </c>
      <c r="J52" s="870">
        <f t="shared" si="3"/>
        <v>28</v>
      </c>
      <c r="K52" s="897">
        <f t="shared" si="5"/>
        <v>0</v>
      </c>
    </row>
    <row r="53" spans="1:17" hidden="1">
      <c r="A53" s="284" t="str">
        <f>IF(AND(SW_LF10q1="yes", SW_LF10q2="comprehensive"), "Show", "Hide")</f>
        <v>Hide</v>
      </c>
      <c r="B53" s="892">
        <f>SW_LF10name</f>
        <v>0</v>
      </c>
      <c r="C53" s="841"/>
      <c r="D53" s="895">
        <v>0.5</v>
      </c>
      <c r="E53" s="896">
        <v>0.99</v>
      </c>
      <c r="F53" s="895">
        <v>0.75</v>
      </c>
      <c r="G53" s="870">
        <v>0.1</v>
      </c>
      <c r="H53" s="870">
        <v>19.125</v>
      </c>
      <c r="I53" s="897">
        <f t="shared" si="4"/>
        <v>0</v>
      </c>
      <c r="J53" s="870">
        <f t="shared" si="3"/>
        <v>28</v>
      </c>
      <c r="K53" s="897">
        <f t="shared" si="5"/>
        <v>0</v>
      </c>
    </row>
    <row r="54" spans="1:17" hidden="1">
      <c r="A54" s="284" t="str">
        <f>IF(AND(SW_anyYes=TRUE, SW_anyComp=TRUE), "Show", "Hide")</f>
        <v>Hide</v>
      </c>
    </row>
    <row r="55" spans="1:17" s="384" customFormat="1" ht="18.5" hidden="1">
      <c r="A55" s="296" t="str">
        <f t="shared" ref="A55:A62" si="6">IF(AND(SW_anyYes=TRUE, SW_anyPart=TRUE), "Show", "Hide")</f>
        <v>Hide</v>
      </c>
      <c r="B55" s="201" t="s">
        <v>508</v>
      </c>
      <c r="C55" s="201"/>
      <c r="D55" s="201"/>
      <c r="E55" s="201"/>
      <c r="F55" s="201"/>
      <c r="G55" s="201"/>
      <c r="H55" s="201"/>
      <c r="I55" s="201"/>
      <c r="J55" s="201"/>
      <c r="K55" s="201"/>
      <c r="L55" s="201"/>
      <c r="M55" s="201"/>
      <c r="N55" s="201"/>
      <c r="O55" s="308"/>
      <c r="P55" s="109"/>
    </row>
    <row r="56" spans="1:17" hidden="1">
      <c r="A56" s="284" t="str">
        <f t="shared" si="6"/>
        <v>Hide</v>
      </c>
    </row>
    <row r="57" spans="1:17" hidden="1">
      <c r="A57" s="284" t="str">
        <f t="shared" si="6"/>
        <v>Hide</v>
      </c>
      <c r="B57" t="s">
        <v>497</v>
      </c>
    </row>
    <row r="58" spans="1:17" ht="15" hidden="1" customHeight="1">
      <c r="A58" s="284" t="str">
        <f t="shared" si="6"/>
        <v>Hide</v>
      </c>
    </row>
    <row r="59" spans="1:17" ht="15" hidden="1" customHeight="1">
      <c r="A59" s="284" t="str">
        <f t="shared" si="6"/>
        <v>Hide</v>
      </c>
      <c r="B59" s="57" t="s">
        <v>509</v>
      </c>
    </row>
    <row r="60" spans="1:17" hidden="1">
      <c r="A60" s="284" t="str">
        <f t="shared" si="6"/>
        <v>Hide</v>
      </c>
      <c r="B60" s="57"/>
    </row>
    <row r="61" spans="1:17" s="377" customFormat="1" ht="32" hidden="1">
      <c r="A61" s="284" t="str">
        <f t="shared" si="6"/>
        <v>Hide</v>
      </c>
      <c r="B61" s="893" t="s">
        <v>478</v>
      </c>
      <c r="C61" s="868" t="s">
        <v>499</v>
      </c>
      <c r="D61" s="893" t="s">
        <v>510</v>
      </c>
      <c r="E61" s="893" t="s">
        <v>501</v>
      </c>
      <c r="F61" s="893" t="s">
        <v>502</v>
      </c>
      <c r="G61" s="893" t="s">
        <v>503</v>
      </c>
      <c r="H61" s="868" t="s">
        <v>511</v>
      </c>
      <c r="I61" s="893" t="s">
        <v>504</v>
      </c>
      <c r="J61" s="894" t="s">
        <v>505</v>
      </c>
      <c r="K61" s="893" t="s">
        <v>506</v>
      </c>
      <c r="L61" s="894" t="s">
        <v>507</v>
      </c>
      <c r="M61" s="118"/>
      <c r="N61" s="118"/>
      <c r="O61" s="308"/>
      <c r="P61" s="109"/>
    </row>
    <row r="62" spans="1:17" s="377" customFormat="1" hidden="1">
      <c r="A62" s="284" t="str">
        <f t="shared" si="6"/>
        <v>Hide</v>
      </c>
      <c r="B62" s="893"/>
      <c r="C62" s="868"/>
      <c r="D62" s="893"/>
      <c r="E62" s="893"/>
      <c r="F62" s="893"/>
      <c r="G62" s="893"/>
      <c r="H62" s="868"/>
      <c r="I62" s="893"/>
      <c r="J62" s="894"/>
      <c r="K62" s="893"/>
      <c r="L62" s="894"/>
      <c r="M62" s="118"/>
      <c r="N62" s="118"/>
      <c r="O62" s="308"/>
      <c r="P62" s="109"/>
      <c r="Q62" s="377" t="b">
        <v>1</v>
      </c>
    </row>
    <row r="63" spans="1:17" ht="17.5" hidden="1" customHeight="1">
      <c r="A63" s="284" t="str">
        <f>IF(AND(SW_LF1q1="yes", SW_LF1q2="partial"), "Show", "Hide")</f>
        <v>Hide</v>
      </c>
      <c r="B63" s="892">
        <f>SW_LF1name</f>
        <v>0</v>
      </c>
      <c r="C63" s="841"/>
      <c r="D63" s="895">
        <v>0.5</v>
      </c>
      <c r="E63" s="896">
        <v>0.99</v>
      </c>
      <c r="F63" s="895">
        <v>0.75</v>
      </c>
      <c r="G63" s="870">
        <f>0.1</f>
        <v>0.1</v>
      </c>
      <c r="H63" s="898"/>
      <c r="I63" s="870">
        <v>19.125</v>
      </c>
      <c r="J63" s="897">
        <f>IFERROR(C63*D63*((1-E63)+((1/F63)*(1-G63))*(H63+(1-F63)))*I63,"0")</f>
        <v>0</v>
      </c>
      <c r="K63" s="870">
        <f t="shared" ref="K63:K72" si="7">CH4_CO2e</f>
        <v>28</v>
      </c>
      <c r="L63" s="897">
        <f t="shared" ref="L63:L72" si="8">J63*K63</f>
        <v>0</v>
      </c>
      <c r="Q63" s="109" t="b">
        <v>1</v>
      </c>
    </row>
    <row r="64" spans="1:17" hidden="1">
      <c r="A64" s="284" t="str">
        <f>IF(AND(SW_LF2q1="yes", SW_LF2q2="partial"), "Show", "Hide")</f>
        <v>Hide</v>
      </c>
      <c r="B64" s="892">
        <f>SW_LF2name</f>
        <v>0</v>
      </c>
      <c r="C64" s="842"/>
      <c r="D64" s="895">
        <v>0.5</v>
      </c>
      <c r="E64" s="896">
        <v>0.99</v>
      </c>
      <c r="F64" s="895">
        <v>0.75</v>
      </c>
      <c r="G64" s="870">
        <f t="shared" ref="G64:G72" si="9">0.1</f>
        <v>0.1</v>
      </c>
      <c r="H64" s="898"/>
      <c r="I64" s="870">
        <v>19.125</v>
      </c>
      <c r="J64" s="897">
        <f t="shared" ref="J64:J72" si="10">IFERROR(C64*D64*((1-E64)+((1/F64)*(1-G64))*(H64+(1-F64)))*I64,"0")</f>
        <v>0</v>
      </c>
      <c r="K64" s="870">
        <f t="shared" si="7"/>
        <v>28</v>
      </c>
      <c r="L64" s="897">
        <f t="shared" si="8"/>
        <v>0</v>
      </c>
    </row>
    <row r="65" spans="1:15" hidden="1">
      <c r="A65" s="284" t="str">
        <f>IF(AND(SW_LF3q1="yes", SW_LF3q2="partial"), "Show", "Hide")</f>
        <v>Hide</v>
      </c>
      <c r="B65" s="892">
        <f>SW_LF3name</f>
        <v>0</v>
      </c>
      <c r="C65" s="841"/>
      <c r="D65" s="895">
        <v>0.5</v>
      </c>
      <c r="E65" s="896">
        <v>0.99</v>
      </c>
      <c r="F65" s="895">
        <v>0.75</v>
      </c>
      <c r="G65" s="870">
        <f t="shared" si="9"/>
        <v>0.1</v>
      </c>
      <c r="H65" s="898"/>
      <c r="I65" s="870">
        <v>19.125</v>
      </c>
      <c r="J65" s="897">
        <f t="shared" si="10"/>
        <v>0</v>
      </c>
      <c r="K65" s="870">
        <f t="shared" si="7"/>
        <v>28</v>
      </c>
      <c r="L65" s="897">
        <f t="shared" si="8"/>
        <v>0</v>
      </c>
    </row>
    <row r="66" spans="1:15" hidden="1">
      <c r="A66" s="284" t="str">
        <f>IF(AND(SW_LF4q1="yes", SW_LF4q2="partial"), "Show", "Hide")</f>
        <v>Hide</v>
      </c>
      <c r="B66" s="892">
        <f>SW_LF4name</f>
        <v>0</v>
      </c>
      <c r="C66" s="841"/>
      <c r="D66" s="895">
        <v>0.5</v>
      </c>
      <c r="E66" s="896">
        <v>0.99</v>
      </c>
      <c r="F66" s="895">
        <v>0.75</v>
      </c>
      <c r="G66" s="870">
        <f t="shared" si="9"/>
        <v>0.1</v>
      </c>
      <c r="H66" s="898"/>
      <c r="I66" s="870">
        <v>19.125</v>
      </c>
      <c r="J66" s="897">
        <f t="shared" si="10"/>
        <v>0</v>
      </c>
      <c r="K66" s="870">
        <f t="shared" si="7"/>
        <v>28</v>
      </c>
      <c r="L66" s="897">
        <f t="shared" si="8"/>
        <v>0</v>
      </c>
    </row>
    <row r="67" spans="1:15" hidden="1">
      <c r="A67" s="284" t="str">
        <f>IF(AND(SW_LF5q1="yes", SW_LF5q2="partial"), "Show", "Hide")</f>
        <v>Hide</v>
      </c>
      <c r="B67" s="892">
        <f>SW_LF5name</f>
        <v>0</v>
      </c>
      <c r="C67" s="841"/>
      <c r="D67" s="895">
        <v>0.5</v>
      </c>
      <c r="E67" s="896">
        <v>0.99</v>
      </c>
      <c r="F67" s="895">
        <v>0.75</v>
      </c>
      <c r="G67" s="870">
        <f t="shared" si="9"/>
        <v>0.1</v>
      </c>
      <c r="H67" s="898"/>
      <c r="I67" s="870">
        <v>19.125</v>
      </c>
      <c r="J67" s="897">
        <f t="shared" si="10"/>
        <v>0</v>
      </c>
      <c r="K67" s="870">
        <f t="shared" si="7"/>
        <v>28</v>
      </c>
      <c r="L67" s="897">
        <f t="shared" si="8"/>
        <v>0</v>
      </c>
    </row>
    <row r="68" spans="1:15" hidden="1">
      <c r="A68" s="284" t="str">
        <f>IF(AND(SW_LF6q1="yes", SW_LF6q2="partial"), "Show", "Hide")</f>
        <v>Hide</v>
      </c>
      <c r="B68" s="892">
        <f>SW_LF6name</f>
        <v>0</v>
      </c>
      <c r="C68" s="841"/>
      <c r="D68" s="895">
        <v>0.5</v>
      </c>
      <c r="E68" s="896">
        <v>0.99</v>
      </c>
      <c r="F68" s="895">
        <v>0.75</v>
      </c>
      <c r="G68" s="870">
        <f t="shared" si="9"/>
        <v>0.1</v>
      </c>
      <c r="H68" s="898"/>
      <c r="I68" s="870">
        <v>19.125</v>
      </c>
      <c r="J68" s="897">
        <f t="shared" si="10"/>
        <v>0</v>
      </c>
      <c r="K68" s="870">
        <f t="shared" si="7"/>
        <v>28</v>
      </c>
      <c r="L68" s="897">
        <f t="shared" si="8"/>
        <v>0</v>
      </c>
    </row>
    <row r="69" spans="1:15" hidden="1">
      <c r="A69" s="284" t="str">
        <f>IF(AND(SW_LF7q1="yes", SW_LF7q2="partial"), "Show", "Hide")</f>
        <v>Hide</v>
      </c>
      <c r="B69" s="892">
        <f>SW_LF7name</f>
        <v>0</v>
      </c>
      <c r="C69" s="841"/>
      <c r="D69" s="895">
        <v>0.5</v>
      </c>
      <c r="E69" s="896">
        <v>0.99</v>
      </c>
      <c r="F69" s="895">
        <v>0.75</v>
      </c>
      <c r="G69" s="870">
        <f t="shared" si="9"/>
        <v>0.1</v>
      </c>
      <c r="H69" s="898"/>
      <c r="I69" s="870">
        <v>19.125</v>
      </c>
      <c r="J69" s="897">
        <f t="shared" si="10"/>
        <v>0</v>
      </c>
      <c r="K69" s="870">
        <f t="shared" si="7"/>
        <v>28</v>
      </c>
      <c r="L69" s="897">
        <f t="shared" si="8"/>
        <v>0</v>
      </c>
    </row>
    <row r="70" spans="1:15" hidden="1">
      <c r="A70" s="284" t="str">
        <f>IF(AND(SW_LF8q1="yes", SW_LF8q2="partial"), "Show", "Hide")</f>
        <v>Hide</v>
      </c>
      <c r="B70" s="892">
        <f>SW_LF8name</f>
        <v>0</v>
      </c>
      <c r="C70" s="841"/>
      <c r="D70" s="895">
        <v>0.5</v>
      </c>
      <c r="E70" s="896">
        <v>0.99</v>
      </c>
      <c r="F70" s="895">
        <v>0.75</v>
      </c>
      <c r="G70" s="870">
        <f t="shared" si="9"/>
        <v>0.1</v>
      </c>
      <c r="H70" s="898"/>
      <c r="I70" s="870">
        <v>19.125</v>
      </c>
      <c r="J70" s="897">
        <f t="shared" si="10"/>
        <v>0</v>
      </c>
      <c r="K70" s="870">
        <f t="shared" si="7"/>
        <v>28</v>
      </c>
      <c r="L70" s="897">
        <f t="shared" si="8"/>
        <v>0</v>
      </c>
    </row>
    <row r="71" spans="1:15" hidden="1">
      <c r="A71" s="284" t="str">
        <f>IF(AND(SW_LF9q1="yes", SW_LF9q2="partial"), "Show", "Hide")</f>
        <v>Hide</v>
      </c>
      <c r="B71" s="892">
        <f>SW_LF9name</f>
        <v>0</v>
      </c>
      <c r="C71" s="841"/>
      <c r="D71" s="895">
        <v>0.5</v>
      </c>
      <c r="E71" s="896">
        <v>0.99</v>
      </c>
      <c r="F71" s="895">
        <v>0.75</v>
      </c>
      <c r="G71" s="870">
        <f t="shared" si="9"/>
        <v>0.1</v>
      </c>
      <c r="H71" s="898"/>
      <c r="I71" s="870">
        <v>19.125</v>
      </c>
      <c r="J71" s="897">
        <f t="shared" si="10"/>
        <v>0</v>
      </c>
      <c r="K71" s="870">
        <f t="shared" si="7"/>
        <v>28</v>
      </c>
      <c r="L71" s="897">
        <f t="shared" si="8"/>
        <v>0</v>
      </c>
    </row>
    <row r="72" spans="1:15" hidden="1">
      <c r="A72" s="284" t="str">
        <f>IF(AND(SW_LF10q1="yes", SW_LF10q2="partial"), "Show", "Hide")</f>
        <v>Hide</v>
      </c>
      <c r="B72" s="892">
        <f>SW_LF10name</f>
        <v>0</v>
      </c>
      <c r="C72" s="841"/>
      <c r="D72" s="895">
        <v>0.5</v>
      </c>
      <c r="E72" s="896">
        <v>0.99</v>
      </c>
      <c r="F72" s="895">
        <v>0.75</v>
      </c>
      <c r="G72" s="870">
        <f t="shared" si="9"/>
        <v>0.1</v>
      </c>
      <c r="H72" s="898"/>
      <c r="I72" s="870">
        <v>19.125</v>
      </c>
      <c r="J72" s="897">
        <f t="shared" si="10"/>
        <v>0</v>
      </c>
      <c r="K72" s="870">
        <f t="shared" si="7"/>
        <v>28</v>
      </c>
      <c r="L72" s="897">
        <f t="shared" si="8"/>
        <v>0</v>
      </c>
    </row>
    <row r="73" spans="1:15">
      <c r="A73" s="284"/>
    </row>
    <row r="74" spans="1:15" s="384" customFormat="1" ht="18.5">
      <c r="A74" s="295" t="str">
        <f>IF('Solid Waste-Control'!$A$10=1, "Show", "Hide")</f>
        <v>Show</v>
      </c>
      <c r="B74" s="259" t="s">
        <v>512</v>
      </c>
      <c r="C74" s="201"/>
      <c r="D74" s="201"/>
      <c r="E74" s="201"/>
      <c r="F74" s="201"/>
      <c r="G74" s="201"/>
      <c r="H74" s="201"/>
      <c r="I74" s="201"/>
      <c r="J74" s="201"/>
      <c r="K74" s="201"/>
      <c r="L74" s="201"/>
      <c r="M74" s="201"/>
      <c r="N74" s="201"/>
      <c r="O74" s="385"/>
    </row>
    <row r="75" spans="1:15">
      <c r="A75" s="284" t="str">
        <f>IF('Solid Waste-Control'!$A$10=1, "Show", "Hide")</f>
        <v>Show</v>
      </c>
    </row>
    <row r="76" spans="1:15">
      <c r="A76" s="284" t="str">
        <f>IF('Solid Waste-Control'!$A$10=1, "Show", "Hide")</f>
        <v>Show</v>
      </c>
    </row>
    <row r="77" spans="1:15" ht="16.5">
      <c r="A77" s="284" t="str">
        <f>IF('Solid Waste-Control'!$A$10=1, "Show", "Hide")</f>
        <v>Show</v>
      </c>
      <c r="B77" s="1085" t="s">
        <v>513</v>
      </c>
      <c r="C77" s="1086"/>
    </row>
    <row r="78" spans="1:15" ht="16.5">
      <c r="A78" s="284" t="str">
        <f>IF('Solid Waste-Control'!$A$10=1, "Show", "Hide")</f>
        <v>Show</v>
      </c>
      <c r="B78" s="887" t="s">
        <v>514</v>
      </c>
      <c r="C78" s="258" t="s">
        <v>20</v>
      </c>
    </row>
    <row r="79" spans="1:15">
      <c r="A79" s="284" t="str">
        <f>IF('Solid Waste-Control'!$A$10=1, "Show", "Hide")</f>
        <v>Show</v>
      </c>
      <c r="B79" s="204" t="s">
        <v>515</v>
      </c>
      <c r="C79" s="370">
        <f>SUM('Solid Waste-Entry'!$C$25:$C$34)</f>
        <v>0</v>
      </c>
    </row>
    <row r="80" spans="1:15" ht="29">
      <c r="A80" s="284" t="str">
        <f>IF('Solid Waste-Control'!$A$10=1, "Show", "Hide")</f>
        <v>Show</v>
      </c>
      <c r="B80" s="204" t="s">
        <v>516</v>
      </c>
      <c r="C80" s="370">
        <f>SUM('Solid Waste-Entry'!$K$44:$K$53)</f>
        <v>0</v>
      </c>
    </row>
    <row r="81" spans="1:3">
      <c r="A81" s="284" t="str">
        <f>IF('Solid Waste-Control'!$A$10=1, "Show", "Hide")</f>
        <v>Show</v>
      </c>
      <c r="B81" s="204" t="s">
        <v>517</v>
      </c>
      <c r="C81" s="370">
        <f>SUM('Solid Waste-Entry'!$L$63:$L$72)</f>
        <v>0</v>
      </c>
    </row>
    <row r="82" spans="1:3" ht="29">
      <c r="A82" s="284" t="str">
        <f>IF('Solid Waste-Control'!$A$10=1, "Show", "Hide")</f>
        <v>Show</v>
      </c>
      <c r="B82" s="899" t="str">
        <f>"Total Emissions from Landfills in "&amp;MyCity</f>
        <v xml:space="preserve">Total Emissions from Landfills in </v>
      </c>
      <c r="C82" s="371">
        <f>SUM(C79:C81)</f>
        <v>0</v>
      </c>
    </row>
    <row r="83" spans="1:3">
      <c r="A83" s="284" t="str">
        <f>IF('Solid Waste-Control'!$A$10=1, "Show", "Hide")</f>
        <v>Show</v>
      </c>
    </row>
    <row r="84" spans="1:3">
      <c r="A84" s="284" t="str">
        <f>IF('Solid Waste-Control'!$A$10=1, "Show", "Hide")</f>
        <v>Show</v>
      </c>
    </row>
    <row r="85" spans="1:3">
      <c r="A85" s="284" t="str">
        <f>IF('Solid Waste-Control'!$A$10=1, "Show", "Hide")</f>
        <v>Show</v>
      </c>
    </row>
    <row r="86" spans="1:3">
      <c r="A86" s="284" t="str">
        <f>IF('Solid Waste-Control'!$A$10=1, "Show", "Hide")</f>
        <v>Show</v>
      </c>
    </row>
    <row r="87" spans="1:3">
      <c r="A87" s="284" t="str">
        <f>IF('Solid Waste-Control'!$A$10=1, "Show", "Hide")</f>
        <v>Show</v>
      </c>
    </row>
    <row r="88" spans="1:3">
      <c r="A88" s="284" t="str">
        <f>IF('Solid Waste-Control'!$A$10=1, "Show", "Hide")</f>
        <v>Show</v>
      </c>
    </row>
    <row r="89" spans="1:3">
      <c r="A89" s="284" t="str">
        <f>IF('Solid Waste-Control'!$A$10=1, "Show", "Hide")</f>
        <v>Show</v>
      </c>
    </row>
    <row r="90" spans="1:3">
      <c r="A90" s="284" t="str">
        <f>IF('Solid Waste-Control'!$A$10=1, "Show", "Hide")</f>
        <v>Show</v>
      </c>
    </row>
    <row r="91" spans="1:3">
      <c r="A91" s="284" t="str">
        <f>IF('Solid Waste-Control'!$A$10=1, "Show", "Hide")</f>
        <v>Show</v>
      </c>
    </row>
    <row r="92" spans="1:3">
      <c r="A92" s="284" t="str">
        <f>IF('Solid Waste-Control'!$A$10=1, "Show", "Hide")</f>
        <v>Show</v>
      </c>
    </row>
    <row r="93" spans="1:3">
      <c r="A93" s="284" t="str">
        <f>IF('Solid Waste-Control'!$A$10=1, "Show", "Hide")</f>
        <v>Show</v>
      </c>
    </row>
    <row r="94" spans="1:3">
      <c r="A94" s="284" t="str">
        <f>IF('Solid Waste-Control'!$A$10=1, "Show", "Hide")</f>
        <v>Show</v>
      </c>
    </row>
    <row r="95" spans="1:3">
      <c r="A95" s="284" t="str">
        <f>IF('Solid Waste-Control'!$A$10=1, "Show", "Hide")</f>
        <v>Show</v>
      </c>
    </row>
    <row r="96" spans="1:3">
      <c r="A96" s="284" t="str">
        <f>IF('Solid Waste-Control'!$A$10=1, "Show", "Hide")</f>
        <v>Show</v>
      </c>
    </row>
    <row r="97" spans="1:14">
      <c r="A97" s="284" t="str">
        <f>IF('Solid Waste-Control'!$A$10=1, "Show", "Hide")</f>
        <v>Show</v>
      </c>
    </row>
    <row r="98" spans="1:14">
      <c r="A98" s="284" t="str">
        <f>IF('Solid Waste-Control'!$A$10=1, "Show", "Hide")</f>
        <v>Show</v>
      </c>
    </row>
    <row r="99" spans="1:14">
      <c r="A99" s="284" t="str">
        <f>IF('Solid Waste-Control'!$A$10=1, "Show", "Hide")</f>
        <v>Show</v>
      </c>
    </row>
    <row r="100" spans="1:14">
      <c r="A100" s="284" t="str">
        <f>IF('Solid Waste-Control'!$A$10=1, "Show", "Hide")</f>
        <v>Show</v>
      </c>
    </row>
    <row r="101" spans="1:14">
      <c r="A101" s="284" t="str">
        <f>IF('Solid Waste-Control'!$A$10=1, "Show", "Hide")</f>
        <v>Show</v>
      </c>
    </row>
    <row r="102" spans="1:14">
      <c r="A102" s="284" t="str">
        <f>IF('Solid Waste-Control'!$A$10=1, "Show", "Hide")</f>
        <v>Show</v>
      </c>
    </row>
    <row r="103" spans="1:14">
      <c r="A103" s="284" t="str">
        <f>IF('Solid Waste-Control'!$A$10=1, "Show", "Hide")</f>
        <v>Show</v>
      </c>
    </row>
    <row r="104" spans="1:14">
      <c r="A104" s="284" t="str">
        <f>IF('Solid Waste-Control'!$A$10=1, "Show", "Hide")</f>
        <v>Show</v>
      </c>
    </row>
    <row r="105" spans="1:14">
      <c r="A105" s="284" t="str">
        <f>IF('Solid Waste-Control'!$A$10=1, "Show", "Hide")</f>
        <v>Show</v>
      </c>
    </row>
    <row r="106" spans="1:14">
      <c r="A106" s="284" t="str">
        <f>IF('Solid Waste-Control'!$A$10=1, "Show", "Hide")</f>
        <v>Show</v>
      </c>
    </row>
    <row r="109" spans="1:14" ht="65.150000000000006" customHeight="1">
      <c r="A109" s="1073" t="s">
        <v>1</v>
      </c>
      <c r="B109" s="1073"/>
      <c r="C109" s="1073"/>
      <c r="D109" s="1073"/>
      <c r="E109" s="1073"/>
      <c r="F109" s="1073"/>
      <c r="G109" s="1073"/>
      <c r="H109" s="1073"/>
      <c r="I109" s="1073"/>
      <c r="J109" s="1073"/>
      <c r="K109" s="1073"/>
      <c r="L109" s="1073"/>
      <c r="M109" s="1073"/>
      <c r="N109" s="1087"/>
    </row>
  </sheetData>
  <mergeCells count="2">
    <mergeCell ref="B77:C77"/>
    <mergeCell ref="A109:N109"/>
  </mergeCells>
  <dataValidations count="8">
    <dataValidation allowBlank="1" showInputMessage="1" showErrorMessage="1" prompt="Please enter the amount of landfill gas collected annually at each landfill (in million scf)." sqref="C63:C72 C44:C53" xr:uid="{00000000-0002-0000-1100-000000000000}"/>
    <dataValidation type="decimal" allowBlank="1" showInputMessage="1" showErrorMessage="1" error="This value must be between 0 and 100%." prompt="Please enter the ratio of uncollected surface area of the LFG collection system over the surface area where LFG is collected by the system._x000a__x000a_(area not collected / area collected)" sqref="H63:H72" xr:uid="{00000000-0002-0000-1100-000001000000}">
      <formula1>0</formula1>
      <formula2>1</formula2>
    </dataValidation>
    <dataValidation type="decimal" allowBlank="1" showInputMessage="1" showErrorMessage="1" error="This value  must be between 0 and 100%." prompt="Please enter the percentage of collected landfill gas that is methane. Check the box above to use a default methane fraction value." sqref="D45:D53" xr:uid="{00000000-0002-0000-1100-000002000000}">
      <formula1>0</formula1>
      <formula2>1</formula2>
    </dataValidation>
    <dataValidation type="decimal" allowBlank="1" showInputMessage="1" showErrorMessage="1" error="This value  must be between 0 and 100%." prompt="Please enter the efficiency of this landfill's methane collection system. Efficiencies range from 60-85%. Check the box above to apply the LGOP's default collection efficiency of 75%." sqref="F45:F53" xr:uid="{00000000-0002-0000-1100-000003000000}">
      <formula1>0</formula1>
      <formula2>1</formula2>
    </dataValidation>
    <dataValidation type="decimal" allowBlank="1" showInputMessage="1" showErrorMessage="1" error="This value must be between 0 and 100%." prompt="Please enter the percentage of collected landfill gas that is methane. Check the box above to use a default methane fraction value." sqref="D63 D65:D72" xr:uid="{00000000-0002-0000-1100-000004000000}">
      <formula1>0</formula1>
      <formula2>1</formula2>
    </dataValidation>
    <dataValidation type="decimal" allowBlank="1" showInputMessage="1" showErrorMessage="1" error="This value must be between 0 and 100%." prompt="Please enter the efficiency of this landfill's methane collection system. Efficiencies range from 60-85%. Check the box above to apply the LGOP's default collection efficiency of 75%." sqref="F63 F65:F72" xr:uid="{00000000-0002-0000-1100-000005000000}">
      <formula1>0</formula1>
      <formula2>1</formula2>
    </dataValidation>
    <dataValidation type="decimal" allowBlank="1" showInputMessage="1" showErrorMessage="1" error="This value  must be between 0 and 100%." prompt="Please enter the efficiency of this landfill's methane collection system. Efficiencies range from 60-85%. The default collection efficiency is 75%." sqref="F44 F64" xr:uid="{00000000-0002-0000-1100-000006000000}">
      <formula1>0</formula1>
      <formula2>1</formula2>
    </dataValidation>
    <dataValidation type="decimal" allowBlank="1" showInputMessage="1" showErrorMessage="1" error="This value  must be between 0 and 100%." prompt="Please enter the percentage of collected landfill gas that is methane. " sqref="D44 D64" xr:uid="{00000000-0002-0000-1100-000007000000}">
      <formula1>0</formula1>
      <formula2>1</formula2>
    </dataValidation>
  </dataValidations>
  <hyperlinks>
    <hyperlink ref="B20" r:id="rId1" xr:uid="{B42D8400-37C0-4F15-97EE-C9507A19F64F}"/>
  </hyperlinks>
  <pageMargins left="0.7" right="0.7" top="0.75" bottom="0.75" header="0.3" footer="0.3"/>
  <pageSetup orientation="portrait"/>
  <drawing r:id="rId2"/>
  <legacyDrawing r:id="rId3"/>
  <controls>
    <mc:AlternateContent xmlns:mc="http://schemas.openxmlformats.org/markup-compatibility/2006">
      <mc:Choice Requires="x14">
        <control shapeId="38920" r:id="rId4" name="CheckBox4">
          <controlPr defaultSize="0" autoLine="0" autoPict="0" linkedCell="SW_entry_partUseDef2" r:id="rId5">
            <anchor moveWithCells="1" sizeWithCells="1">
              <from>
                <xdr:col>5</xdr:col>
                <xdr:colOff>57150</xdr:colOff>
                <xdr:row>8</xdr:row>
                <xdr:rowOff>0</xdr:rowOff>
              </from>
              <to>
                <xdr:col>5</xdr:col>
                <xdr:colOff>889000</xdr:colOff>
                <xdr:row>8</xdr:row>
                <xdr:rowOff>0</xdr:rowOff>
              </to>
            </anchor>
          </controlPr>
        </control>
      </mc:Choice>
      <mc:Fallback>
        <control shapeId="38920" r:id="rId4" name="CheckBox4"/>
      </mc:Fallback>
    </mc:AlternateContent>
    <mc:AlternateContent xmlns:mc="http://schemas.openxmlformats.org/markup-compatibility/2006">
      <mc:Choice Requires="x14">
        <control shapeId="38919" r:id="rId6" name="CheckBox2">
          <controlPr defaultSize="0" autoLine="0" autoPict="0" linkedCell="SW_entry_partUseDef" r:id="rId7">
            <anchor moveWithCells="1" sizeWithCells="1">
              <from>
                <xdr:col>3</xdr:col>
                <xdr:colOff>88900</xdr:colOff>
                <xdr:row>8</xdr:row>
                <xdr:rowOff>0</xdr:rowOff>
              </from>
              <to>
                <xdr:col>3</xdr:col>
                <xdr:colOff>914400</xdr:colOff>
                <xdr:row>8</xdr:row>
                <xdr:rowOff>0</xdr:rowOff>
              </to>
            </anchor>
          </controlPr>
        </control>
      </mc:Choice>
      <mc:Fallback>
        <control shapeId="38919" r:id="rId6" name="CheckBox2"/>
      </mc:Fallback>
    </mc:AlternateContent>
    <mc:AlternateContent xmlns:mc="http://schemas.openxmlformats.org/markup-compatibility/2006">
      <mc:Choice Requires="x14">
        <control shapeId="38918" r:id="rId8" name="CheckBox3">
          <controlPr defaultSize="0" autoLine="0" autoPict="0" linkedCell="SW_entry_compusedef2" r:id="rId9">
            <anchor moveWithCells="1" sizeWithCells="1">
              <from>
                <xdr:col>5</xdr:col>
                <xdr:colOff>50800</xdr:colOff>
                <xdr:row>8</xdr:row>
                <xdr:rowOff>0</xdr:rowOff>
              </from>
              <to>
                <xdr:col>5</xdr:col>
                <xdr:colOff>914400</xdr:colOff>
                <xdr:row>8</xdr:row>
                <xdr:rowOff>0</xdr:rowOff>
              </to>
            </anchor>
          </controlPr>
        </control>
      </mc:Choice>
      <mc:Fallback>
        <control shapeId="38918" r:id="rId8" name="CheckBox3"/>
      </mc:Fallback>
    </mc:AlternateContent>
    <mc:AlternateContent xmlns:mc="http://schemas.openxmlformats.org/markup-compatibility/2006">
      <mc:Choice Requires="x14">
        <control shapeId="38916" r:id="rId10" name="CheckBox1">
          <controlPr defaultSize="0" autoLine="0" autoPict="0" linkedCell="SW_entry_compUseDef" r:id="rId11">
            <anchor moveWithCells="1" sizeWithCells="1">
              <from>
                <xdr:col>3</xdr:col>
                <xdr:colOff>88900</xdr:colOff>
                <xdr:row>8</xdr:row>
                <xdr:rowOff>0</xdr:rowOff>
              </from>
              <to>
                <xdr:col>3</xdr:col>
                <xdr:colOff>952500</xdr:colOff>
                <xdr:row>8</xdr:row>
                <xdr:rowOff>0</xdr:rowOff>
              </to>
            </anchor>
          </controlPr>
        </control>
      </mc:Choice>
      <mc:Fallback>
        <control shapeId="38916" r:id="rId10" name="CheckBox1"/>
      </mc:Fallback>
    </mc:AlternateContent>
    <mc:AlternateContent xmlns:mc="http://schemas.openxmlformats.org/markup-compatibility/2006">
      <mc:Choice Requires="x14">
        <control shapeId="38913" r:id="rId12" name="ck_comp_SWEntry">
          <controlPr locked="0" autoLine="0" linkedCell="comp_SWEntry" r:id="rId13">
            <anchor moveWithCells="1">
              <from>
                <xdr:col>10</xdr:col>
                <xdr:colOff>438150</xdr:colOff>
                <xdr:row>0</xdr:row>
                <xdr:rowOff>107950</xdr:rowOff>
              </from>
              <to>
                <xdr:col>13</xdr:col>
                <xdr:colOff>400050</xdr:colOff>
                <xdr:row>0</xdr:row>
                <xdr:rowOff>374650</xdr:rowOff>
              </to>
            </anchor>
          </controlPr>
        </control>
      </mc:Choice>
      <mc:Fallback>
        <control shapeId="38913" r:id="rId12" name="ck_comp_SWEntr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theme="9"/>
  </sheetPr>
  <dimension ref="A1:S64"/>
  <sheetViews>
    <sheetView showGridLines="0" topLeftCell="A37" workbookViewId="0">
      <selection activeCell="K54" sqref="K54"/>
    </sheetView>
  </sheetViews>
  <sheetFormatPr defaultColWidth="8.81640625" defaultRowHeight="14.5"/>
  <cols>
    <col min="1" max="1" width="8.81640625" style="265"/>
    <col min="2" max="2" width="2.7265625" customWidth="1"/>
    <col min="3" max="3" width="43.26953125" customWidth="1"/>
    <col min="16" max="16" width="9.1796875" style="308" customWidth="1"/>
    <col min="17" max="17" width="9.1796875" style="109" hidden="1" customWidth="1"/>
    <col min="18" max="18" width="5.453125" style="109" hidden="1" customWidth="1"/>
    <col min="19" max="19" width="9.1796875" style="109" hidden="1" customWidth="1"/>
    <col min="20" max="16384" width="8.81640625" style="109"/>
  </cols>
  <sheetData>
    <row r="1" spans="1:19" ht="38.25" customHeight="1" thickBot="1">
      <c r="A1" s="488" t="s">
        <v>518</v>
      </c>
      <c r="B1" s="483"/>
      <c r="C1" s="483"/>
      <c r="D1" s="483"/>
      <c r="E1" s="483"/>
      <c r="F1" s="483"/>
      <c r="G1" s="483"/>
      <c r="H1" s="483"/>
      <c r="I1" s="483"/>
      <c r="J1" s="483"/>
      <c r="K1" s="483"/>
      <c r="L1" s="483"/>
      <c r="M1" s="483"/>
      <c r="N1" s="483"/>
      <c r="O1" s="483"/>
    </row>
    <row r="2" spans="1:19" s="309" customFormat="1" ht="15" customHeight="1">
      <c r="A2" s="297"/>
      <c r="B2" s="71"/>
      <c r="C2" s="71"/>
      <c r="D2" s="71"/>
      <c r="E2" s="71"/>
      <c r="F2" s="71"/>
      <c r="G2" s="71"/>
      <c r="H2" s="71"/>
      <c r="I2" s="71"/>
      <c r="J2" s="71"/>
      <c r="K2" s="71"/>
      <c r="L2" s="71"/>
      <c r="M2" s="71"/>
      <c r="N2" s="71"/>
      <c r="O2" s="71"/>
      <c r="P2" s="312"/>
    </row>
    <row r="3" spans="1:19">
      <c r="C3" s="68"/>
    </row>
    <row r="4" spans="1:19">
      <c r="B4" s="1" t="s">
        <v>519</v>
      </c>
    </row>
    <row r="5" spans="1:19" ht="20.25" customHeight="1">
      <c r="B5" s="580" t="s">
        <v>520</v>
      </c>
    </row>
    <row r="6" spans="1:19">
      <c r="B6" t="s">
        <v>521</v>
      </c>
    </row>
    <row r="7" spans="1:19">
      <c r="C7" s="844" t="s">
        <v>103</v>
      </c>
    </row>
    <row r="9" spans="1:19">
      <c r="B9" t="s">
        <v>522</v>
      </c>
      <c r="Q9" s="109" t="s">
        <v>523</v>
      </c>
    </row>
    <row r="10" spans="1:19">
      <c r="Q10" s="1088" t="s">
        <v>524</v>
      </c>
      <c r="R10" s="1088"/>
      <c r="S10" s="1088"/>
    </row>
    <row r="11" spans="1:19">
      <c r="Q11" s="585">
        <v>2</v>
      </c>
      <c r="R11" s="585">
        <v>1</v>
      </c>
      <c r="S11" s="585" t="b">
        <f>IF(R11=1, TRUE, FALSE)</f>
        <v>1</v>
      </c>
    </row>
    <row r="12" spans="1:19">
      <c r="Q12" s="585">
        <v>3</v>
      </c>
      <c r="R12" s="585">
        <v>1</v>
      </c>
      <c r="S12" s="585" t="b">
        <f>IF(R12=1, TRUE, FALSE)</f>
        <v>1</v>
      </c>
    </row>
    <row r="13" spans="1:19">
      <c r="Q13" s="585">
        <v>4</v>
      </c>
      <c r="R13" s="585">
        <v>2</v>
      </c>
      <c r="S13" s="585" t="b">
        <f t="shared" ref="S13:S19" si="0">IF(R13=1, TRUE, FALSE)</f>
        <v>0</v>
      </c>
    </row>
    <row r="14" spans="1:19">
      <c r="Q14" s="585">
        <v>5</v>
      </c>
      <c r="R14" s="585">
        <v>2</v>
      </c>
      <c r="S14" s="585" t="b">
        <f t="shared" si="0"/>
        <v>0</v>
      </c>
    </row>
    <row r="15" spans="1:19">
      <c r="B15" t="s">
        <v>525</v>
      </c>
      <c r="Q15" s="585">
        <v>6</v>
      </c>
      <c r="R15" s="585">
        <v>1</v>
      </c>
      <c r="S15" s="585" t="b">
        <f t="shared" si="0"/>
        <v>1</v>
      </c>
    </row>
    <row r="16" spans="1:19">
      <c r="Q16" s="585">
        <v>7</v>
      </c>
      <c r="R16" s="585">
        <v>1</v>
      </c>
      <c r="S16" s="585" t="b">
        <f t="shared" si="0"/>
        <v>1</v>
      </c>
    </row>
    <row r="17" spans="2:19">
      <c r="Q17" s="585">
        <v>8</v>
      </c>
      <c r="R17" s="585">
        <v>1</v>
      </c>
      <c r="S17" s="585" t="b">
        <f t="shared" si="0"/>
        <v>1</v>
      </c>
    </row>
    <row r="18" spans="2:19">
      <c r="Q18" s="585">
        <v>9</v>
      </c>
      <c r="R18" s="585">
        <v>1</v>
      </c>
      <c r="S18" s="585" t="b">
        <f t="shared" si="0"/>
        <v>1</v>
      </c>
    </row>
    <row r="19" spans="2:19">
      <c r="Q19" s="585">
        <v>10</v>
      </c>
      <c r="R19" s="585">
        <v>2</v>
      </c>
      <c r="S19" s="585" t="b">
        <f t="shared" si="0"/>
        <v>0</v>
      </c>
    </row>
    <row r="21" spans="2:19" ht="16.5">
      <c r="B21" t="s">
        <v>526</v>
      </c>
    </row>
    <row r="27" spans="2:19" ht="16.5">
      <c r="B27" t="s">
        <v>527</v>
      </c>
    </row>
    <row r="33" spans="2:2">
      <c r="B33" t="s">
        <v>528</v>
      </c>
    </row>
    <row r="39" spans="2:2">
      <c r="B39" t="s">
        <v>529</v>
      </c>
    </row>
    <row r="45" spans="2:2">
      <c r="B45" t="s">
        <v>530</v>
      </c>
    </row>
    <row r="51" spans="1:15">
      <c r="B51" t="s">
        <v>531</v>
      </c>
    </row>
    <row r="57" spans="1:15">
      <c r="B57" t="s">
        <v>532</v>
      </c>
    </row>
    <row r="64" spans="1:15" ht="65.150000000000006" customHeight="1">
      <c r="A64" s="1073" t="s">
        <v>1</v>
      </c>
      <c r="B64" s="1073"/>
      <c r="C64" s="1073"/>
      <c r="D64" s="1073"/>
      <c r="E64" s="1073"/>
      <c r="F64" s="1073"/>
      <c r="G64" s="1073"/>
      <c r="H64" s="1073"/>
      <c r="I64" s="1073"/>
      <c r="J64" s="1073"/>
      <c r="K64" s="1073"/>
      <c r="L64" s="1073"/>
      <c r="M64" s="1073"/>
      <c r="N64" s="1073"/>
      <c r="O64" s="1087"/>
    </row>
  </sheetData>
  <mergeCells count="2">
    <mergeCell ref="Q10:S10"/>
    <mergeCell ref="A64:O64"/>
  </mergeCells>
  <pageMargins left="0.7" right="0.7" top="0.75" bottom="0.75" header="0.3" footer="0.3"/>
  <pageSetup orientation="portrait" r:id="rId1"/>
  <drawing r:id="rId2"/>
  <legacyDrawing r:id="rId3"/>
  <controls>
    <mc:AlternateContent xmlns:mc="http://schemas.openxmlformats.org/markup-compatibility/2006">
      <mc:Choice Requires="x14">
        <control shapeId="15406" r:id="rId4" name="ck_comp_WWControl">
          <controlPr locked="0" autoLine="0" linkedCell="comp_WWControl" r:id="rId5">
            <anchor moveWithCells="1">
              <from>
                <xdr:col>10</xdr:col>
                <xdr:colOff>400050</xdr:colOff>
                <xdr:row>0</xdr:row>
                <xdr:rowOff>107950</xdr:rowOff>
              </from>
              <to>
                <xdr:col>14</xdr:col>
                <xdr:colOff>488950</xdr:colOff>
                <xdr:row>0</xdr:row>
                <xdr:rowOff>374650</xdr:rowOff>
              </to>
            </anchor>
          </controlPr>
        </control>
      </mc:Choice>
      <mc:Fallback>
        <control shapeId="15406" r:id="rId4" name="ck_comp_WWControl"/>
      </mc:Fallback>
    </mc:AlternateContent>
    <mc:AlternateContent xmlns:mc="http://schemas.openxmlformats.org/markup-compatibility/2006">
      <mc:Choice Requires="x14">
        <control shapeId="15372" r:id="rId6" name="Group Box 12">
          <controlPr defaultSize="0" autoFill="0" autoPict="0">
            <anchor moveWithCells="1">
              <from>
                <xdr:col>2</xdr:col>
                <xdr:colOff>0</xdr:colOff>
                <xdr:row>9</xdr:row>
                <xdr:rowOff>88900</xdr:rowOff>
              </from>
              <to>
                <xdr:col>3</xdr:col>
                <xdr:colOff>495300</xdr:colOff>
                <xdr:row>12</xdr:row>
                <xdr:rowOff>165100</xdr:rowOff>
              </to>
            </anchor>
          </controlPr>
        </control>
      </mc:Choice>
    </mc:AlternateContent>
    <mc:AlternateContent xmlns:mc="http://schemas.openxmlformats.org/markup-compatibility/2006">
      <mc:Choice Requires="x14">
        <control shapeId="15373" r:id="rId7" name="Option Button 13">
          <controlPr defaultSize="0" autoFill="0" autoLine="0" autoPict="0">
            <anchor moveWithCells="1">
              <from>
                <xdr:col>2</xdr:col>
                <xdr:colOff>107950</xdr:colOff>
                <xdr:row>10</xdr:row>
                <xdr:rowOff>0</xdr:rowOff>
              </from>
              <to>
                <xdr:col>3</xdr:col>
                <xdr:colOff>304800</xdr:colOff>
                <xdr:row>11</xdr:row>
                <xdr:rowOff>0</xdr:rowOff>
              </to>
            </anchor>
          </controlPr>
        </control>
      </mc:Choice>
    </mc:AlternateContent>
    <mc:AlternateContent xmlns:mc="http://schemas.openxmlformats.org/markup-compatibility/2006">
      <mc:Choice Requires="x14">
        <control shapeId="15374" r:id="rId8" name="Option Button 14">
          <controlPr defaultSize="0" autoFill="0" autoLine="0" autoPict="0" macro="[0]!Sheet18.AnaerobicError">
            <anchor moveWithCells="1">
              <from>
                <xdr:col>2</xdr:col>
                <xdr:colOff>107950</xdr:colOff>
                <xdr:row>11</xdr:row>
                <xdr:rowOff>31750</xdr:rowOff>
              </from>
              <to>
                <xdr:col>3</xdr:col>
                <xdr:colOff>222250</xdr:colOff>
                <xdr:row>12</xdr:row>
                <xdr:rowOff>69850</xdr:rowOff>
              </to>
            </anchor>
          </controlPr>
        </control>
      </mc:Choice>
    </mc:AlternateContent>
    <mc:AlternateContent xmlns:mc="http://schemas.openxmlformats.org/markup-compatibility/2006">
      <mc:Choice Requires="x14">
        <control shapeId="15376" r:id="rId9" name="Group Box 16">
          <controlPr defaultSize="0" autoFill="0" autoPict="0">
            <anchor moveWithCells="1">
              <from>
                <xdr:col>2</xdr:col>
                <xdr:colOff>0</xdr:colOff>
                <xdr:row>21</xdr:row>
                <xdr:rowOff>88900</xdr:rowOff>
              </from>
              <to>
                <xdr:col>6</xdr:col>
                <xdr:colOff>203200</xdr:colOff>
                <xdr:row>24</xdr:row>
                <xdr:rowOff>165100</xdr:rowOff>
              </to>
            </anchor>
          </controlPr>
        </control>
      </mc:Choice>
    </mc:AlternateContent>
    <mc:AlternateContent xmlns:mc="http://schemas.openxmlformats.org/markup-compatibility/2006">
      <mc:Choice Requires="x14">
        <control shapeId="15377" r:id="rId10" name="Option Button 17">
          <controlPr defaultSize="0" autoFill="0" autoLine="0" autoPict="0">
            <anchor moveWithCells="1">
              <from>
                <xdr:col>2</xdr:col>
                <xdr:colOff>107950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5378" r:id="rId11" name="Option Button 18">
          <controlPr defaultSize="0" autoFill="0" autoLine="0" autoPict="0">
            <anchor moveWithCells="1">
              <from>
                <xdr:col>2</xdr:col>
                <xdr:colOff>107950</xdr:colOff>
                <xdr:row>23</xdr:row>
                <xdr:rowOff>31750</xdr:rowOff>
              </from>
              <to>
                <xdr:col>6</xdr:col>
                <xdr:colOff>114300</xdr:colOff>
                <xdr:row>24</xdr:row>
                <xdr:rowOff>69850</xdr:rowOff>
              </to>
            </anchor>
          </controlPr>
        </control>
      </mc:Choice>
    </mc:AlternateContent>
    <mc:AlternateContent xmlns:mc="http://schemas.openxmlformats.org/markup-compatibility/2006">
      <mc:Choice Requires="x14">
        <control shapeId="15382" r:id="rId12" name="Group Box 22">
          <controlPr defaultSize="0" autoFill="0" autoPict="0">
            <anchor moveWithCells="1">
              <from>
                <xdr:col>2</xdr:col>
                <xdr:colOff>0</xdr:colOff>
                <xdr:row>33</xdr:row>
                <xdr:rowOff>88900</xdr:rowOff>
              </from>
              <to>
                <xdr:col>3</xdr:col>
                <xdr:colOff>393700</xdr:colOff>
                <xdr:row>36</xdr:row>
                <xdr:rowOff>165100</xdr:rowOff>
              </to>
            </anchor>
          </controlPr>
        </control>
      </mc:Choice>
    </mc:AlternateContent>
    <mc:AlternateContent xmlns:mc="http://schemas.openxmlformats.org/markup-compatibility/2006">
      <mc:Choice Requires="x14">
        <control shapeId="15383" r:id="rId13" name="Option Button 23">
          <controlPr defaultSize="0" autoFill="0" autoLine="0" autoPict="0">
            <anchor moveWithCells="1">
              <from>
                <xdr:col>2</xdr:col>
                <xdr:colOff>88900</xdr:colOff>
                <xdr:row>34</xdr:row>
                <xdr:rowOff>0</xdr:rowOff>
              </from>
              <to>
                <xdr:col>3</xdr:col>
                <xdr:colOff>203200</xdr:colOff>
                <xdr:row>35</xdr:row>
                <xdr:rowOff>38100</xdr:rowOff>
              </to>
            </anchor>
          </controlPr>
        </control>
      </mc:Choice>
    </mc:AlternateContent>
    <mc:AlternateContent xmlns:mc="http://schemas.openxmlformats.org/markup-compatibility/2006">
      <mc:Choice Requires="x14">
        <control shapeId="15384" r:id="rId14" name="Option Button 24">
          <controlPr defaultSize="0" autoFill="0" autoLine="0" autoPict="0">
            <anchor moveWithCells="1">
              <from>
                <xdr:col>2</xdr:col>
                <xdr:colOff>88900</xdr:colOff>
                <xdr:row>35</xdr:row>
                <xdr:rowOff>31750</xdr:rowOff>
              </from>
              <to>
                <xdr:col>3</xdr:col>
                <xdr:colOff>203200</xdr:colOff>
                <xdr:row>36</xdr:row>
                <xdr:rowOff>69850</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2</xdr:col>
                <xdr:colOff>0</xdr:colOff>
                <xdr:row>39</xdr:row>
                <xdr:rowOff>88900</xdr:rowOff>
              </from>
              <to>
                <xdr:col>3</xdr:col>
                <xdr:colOff>393700</xdr:colOff>
                <xdr:row>42</xdr:row>
                <xdr:rowOff>165100</xdr:rowOff>
              </to>
            </anchor>
          </controlPr>
        </control>
      </mc:Choice>
    </mc:AlternateContent>
    <mc:AlternateContent xmlns:mc="http://schemas.openxmlformats.org/markup-compatibility/2006">
      <mc:Choice Requires="x14">
        <control shapeId="15386" r:id="rId16" name="Option Button 26">
          <controlPr defaultSize="0" autoFill="0" autoLine="0" autoPict="0">
            <anchor moveWithCells="1">
              <from>
                <xdr:col>2</xdr:col>
                <xdr:colOff>88900</xdr:colOff>
                <xdr:row>40</xdr:row>
                <xdr:rowOff>0</xdr:rowOff>
              </from>
              <to>
                <xdr:col>3</xdr:col>
                <xdr:colOff>203200</xdr:colOff>
                <xdr:row>41</xdr:row>
                <xdr:rowOff>38100</xdr:rowOff>
              </to>
            </anchor>
          </controlPr>
        </control>
      </mc:Choice>
    </mc:AlternateContent>
    <mc:AlternateContent xmlns:mc="http://schemas.openxmlformats.org/markup-compatibility/2006">
      <mc:Choice Requires="x14">
        <control shapeId="15387" r:id="rId17" name="Option Button 27">
          <controlPr defaultSize="0" autoFill="0" autoLine="0" autoPict="0">
            <anchor moveWithCells="1">
              <from>
                <xdr:col>2</xdr:col>
                <xdr:colOff>88900</xdr:colOff>
                <xdr:row>41</xdr:row>
                <xdr:rowOff>31750</xdr:rowOff>
              </from>
              <to>
                <xdr:col>3</xdr:col>
                <xdr:colOff>317500</xdr:colOff>
                <xdr:row>42</xdr:row>
                <xdr:rowOff>69850</xdr:rowOff>
              </to>
            </anchor>
          </controlPr>
        </control>
      </mc:Choice>
    </mc:AlternateContent>
    <mc:AlternateContent xmlns:mc="http://schemas.openxmlformats.org/markup-compatibility/2006">
      <mc:Choice Requires="x14">
        <control shapeId="15388" r:id="rId18" name="Group Box 28">
          <controlPr defaultSize="0" autoFill="0" autoPict="0">
            <anchor moveWithCells="1">
              <from>
                <xdr:col>2</xdr:col>
                <xdr:colOff>0</xdr:colOff>
                <xdr:row>45</xdr:row>
                <xdr:rowOff>88900</xdr:rowOff>
              </from>
              <to>
                <xdr:col>3</xdr:col>
                <xdr:colOff>393700</xdr:colOff>
                <xdr:row>48</xdr:row>
                <xdr:rowOff>165100</xdr:rowOff>
              </to>
            </anchor>
          </controlPr>
        </control>
      </mc:Choice>
    </mc:AlternateContent>
    <mc:AlternateContent xmlns:mc="http://schemas.openxmlformats.org/markup-compatibility/2006">
      <mc:Choice Requires="x14">
        <control shapeId="15389" r:id="rId19" name="Option Button 29">
          <controlPr defaultSize="0" autoFill="0" autoLine="0" autoPict="0">
            <anchor moveWithCells="1">
              <from>
                <xdr:col>2</xdr:col>
                <xdr:colOff>88900</xdr:colOff>
                <xdr:row>46</xdr:row>
                <xdr:rowOff>0</xdr:rowOff>
              </from>
              <to>
                <xdr:col>3</xdr:col>
                <xdr:colOff>203200</xdr:colOff>
                <xdr:row>47</xdr:row>
                <xdr:rowOff>38100</xdr:rowOff>
              </to>
            </anchor>
          </controlPr>
        </control>
      </mc:Choice>
    </mc:AlternateContent>
    <mc:AlternateContent xmlns:mc="http://schemas.openxmlformats.org/markup-compatibility/2006">
      <mc:Choice Requires="x14">
        <control shapeId="15390" r:id="rId20" name="Option Button 30">
          <controlPr defaultSize="0" autoFill="0" autoLine="0" autoPict="0" macro="[0]!Sheet18.NitDenitError">
            <anchor moveWithCells="1">
              <from>
                <xdr:col>2</xdr:col>
                <xdr:colOff>88900</xdr:colOff>
                <xdr:row>47</xdr:row>
                <xdr:rowOff>31750</xdr:rowOff>
              </from>
              <to>
                <xdr:col>3</xdr:col>
                <xdr:colOff>203200</xdr:colOff>
                <xdr:row>48</xdr:row>
                <xdr:rowOff>69850</xdr:rowOff>
              </to>
            </anchor>
          </controlPr>
        </control>
      </mc:Choice>
    </mc:AlternateContent>
    <mc:AlternateContent xmlns:mc="http://schemas.openxmlformats.org/markup-compatibility/2006">
      <mc:Choice Requires="x14">
        <control shapeId="15391" r:id="rId21" name="Group Box 31">
          <controlPr defaultSize="0" autoFill="0" autoPict="0">
            <anchor moveWithCells="1">
              <from>
                <xdr:col>2</xdr:col>
                <xdr:colOff>0</xdr:colOff>
                <xdr:row>57</xdr:row>
                <xdr:rowOff>88900</xdr:rowOff>
              </from>
              <to>
                <xdr:col>5</xdr:col>
                <xdr:colOff>571500</xdr:colOff>
                <xdr:row>60</xdr:row>
                <xdr:rowOff>165100</xdr:rowOff>
              </to>
            </anchor>
          </controlPr>
        </control>
      </mc:Choice>
    </mc:AlternateContent>
    <mc:AlternateContent xmlns:mc="http://schemas.openxmlformats.org/markup-compatibility/2006">
      <mc:Choice Requires="x14">
        <control shapeId="15392" r:id="rId22" name="Option Button 32">
          <controlPr defaultSize="0" autoFill="0" autoLine="0" autoPict="0">
            <anchor moveWithCells="1">
              <from>
                <xdr:col>2</xdr:col>
                <xdr:colOff>88900</xdr:colOff>
                <xdr:row>58</xdr:row>
                <xdr:rowOff>0</xdr:rowOff>
              </from>
              <to>
                <xdr:col>3</xdr:col>
                <xdr:colOff>203200</xdr:colOff>
                <xdr:row>59</xdr:row>
                <xdr:rowOff>38100</xdr:rowOff>
              </to>
            </anchor>
          </controlPr>
        </control>
      </mc:Choice>
    </mc:AlternateContent>
    <mc:AlternateContent xmlns:mc="http://schemas.openxmlformats.org/markup-compatibility/2006">
      <mc:Choice Requires="x14">
        <control shapeId="15393" r:id="rId23" name="Option Button 33">
          <controlPr defaultSize="0" autoFill="0" autoLine="0" autoPict="0">
            <anchor moveWithCells="1">
              <from>
                <xdr:col>2</xdr:col>
                <xdr:colOff>88900</xdr:colOff>
                <xdr:row>59</xdr:row>
                <xdr:rowOff>31750</xdr:rowOff>
              </from>
              <to>
                <xdr:col>5</xdr:col>
                <xdr:colOff>38100</xdr:colOff>
                <xdr:row>60</xdr:row>
                <xdr:rowOff>69850</xdr:rowOff>
              </to>
            </anchor>
          </controlPr>
        </control>
      </mc:Choice>
    </mc:AlternateContent>
    <mc:AlternateContent xmlns:mc="http://schemas.openxmlformats.org/markup-compatibility/2006">
      <mc:Choice Requires="x14">
        <control shapeId="15396" r:id="rId24" name="Group Box 36">
          <controlPr defaultSize="0" autoFill="0" autoPict="0">
            <anchor moveWithCells="1">
              <from>
                <xdr:col>2</xdr:col>
                <xdr:colOff>0</xdr:colOff>
                <xdr:row>15</xdr:row>
                <xdr:rowOff>88900</xdr:rowOff>
              </from>
              <to>
                <xdr:col>3</xdr:col>
                <xdr:colOff>495300</xdr:colOff>
                <xdr:row>18</xdr:row>
                <xdr:rowOff>165100</xdr:rowOff>
              </to>
            </anchor>
          </controlPr>
        </control>
      </mc:Choice>
    </mc:AlternateContent>
    <mc:AlternateContent xmlns:mc="http://schemas.openxmlformats.org/markup-compatibility/2006">
      <mc:Choice Requires="x14">
        <control shapeId="15397" r:id="rId25" name="Option Button 37">
          <controlPr defaultSize="0" autoFill="0" autoLine="0" autoPict="0">
            <anchor moveWithCells="1">
              <from>
                <xdr:col>2</xdr:col>
                <xdr:colOff>107950</xdr:colOff>
                <xdr:row>16</xdr:row>
                <xdr:rowOff>0</xdr:rowOff>
              </from>
              <to>
                <xdr:col>3</xdr:col>
                <xdr:colOff>304800</xdr:colOff>
                <xdr:row>17</xdr:row>
                <xdr:rowOff>31750</xdr:rowOff>
              </to>
            </anchor>
          </controlPr>
        </control>
      </mc:Choice>
    </mc:AlternateContent>
    <mc:AlternateContent xmlns:mc="http://schemas.openxmlformats.org/markup-compatibility/2006">
      <mc:Choice Requires="x14">
        <control shapeId="15398" r:id="rId26" name="Option Button 38">
          <controlPr defaultSize="0" autoFill="0" autoLine="0" autoPict="0" macro="[0]!Sheet18.AnaerobicError">
            <anchor moveWithCells="1">
              <from>
                <xdr:col>2</xdr:col>
                <xdr:colOff>107950</xdr:colOff>
                <xdr:row>17</xdr:row>
                <xdr:rowOff>31750</xdr:rowOff>
              </from>
              <to>
                <xdr:col>3</xdr:col>
                <xdr:colOff>222250</xdr:colOff>
                <xdr:row>18</xdr:row>
                <xdr:rowOff>69850</xdr:rowOff>
              </to>
            </anchor>
          </controlPr>
        </control>
      </mc:Choice>
    </mc:AlternateContent>
    <mc:AlternateContent xmlns:mc="http://schemas.openxmlformats.org/markup-compatibility/2006">
      <mc:Choice Requires="x14">
        <control shapeId="15400" r:id="rId27" name="Group Box 40">
          <controlPr defaultSize="0" autoFill="0" autoPict="0">
            <anchor moveWithCells="1">
              <from>
                <xdr:col>2</xdr:col>
                <xdr:colOff>0</xdr:colOff>
                <xdr:row>27</xdr:row>
                <xdr:rowOff>88900</xdr:rowOff>
              </from>
              <to>
                <xdr:col>6</xdr:col>
                <xdr:colOff>190500</xdr:colOff>
                <xdr:row>30</xdr:row>
                <xdr:rowOff>165100</xdr:rowOff>
              </to>
            </anchor>
          </controlPr>
        </control>
      </mc:Choice>
    </mc:AlternateContent>
    <mc:AlternateContent xmlns:mc="http://schemas.openxmlformats.org/markup-compatibility/2006">
      <mc:Choice Requires="x14">
        <control shapeId="15401" r:id="rId28" name="Option Button 41">
          <controlPr defaultSize="0" autoFill="0" autoLine="0" autoPict="0">
            <anchor moveWithCells="1">
              <from>
                <xdr:col>2</xdr:col>
                <xdr:colOff>76200</xdr:colOff>
                <xdr:row>28</xdr:row>
                <xdr:rowOff>0</xdr:rowOff>
              </from>
              <to>
                <xdr:col>5</xdr:col>
                <xdr:colOff>584200</xdr:colOff>
                <xdr:row>29</xdr:row>
                <xdr:rowOff>38100</xdr:rowOff>
              </to>
            </anchor>
          </controlPr>
        </control>
      </mc:Choice>
    </mc:AlternateContent>
    <mc:AlternateContent xmlns:mc="http://schemas.openxmlformats.org/markup-compatibility/2006">
      <mc:Choice Requires="x14">
        <control shapeId="15402" r:id="rId29" name="Option Button 42">
          <controlPr defaultSize="0" autoFill="0" autoLine="0" autoPict="0">
            <anchor moveWithCells="1">
              <from>
                <xdr:col>2</xdr:col>
                <xdr:colOff>76200</xdr:colOff>
                <xdr:row>29</xdr:row>
                <xdr:rowOff>31750</xdr:rowOff>
              </from>
              <to>
                <xdr:col>6</xdr:col>
                <xdr:colOff>88900</xdr:colOff>
                <xdr:row>30</xdr:row>
                <xdr:rowOff>69850</xdr:rowOff>
              </to>
            </anchor>
          </controlPr>
        </control>
      </mc:Choice>
    </mc:AlternateContent>
    <mc:AlternateContent xmlns:mc="http://schemas.openxmlformats.org/markup-compatibility/2006">
      <mc:Choice Requires="x14">
        <control shapeId="15403" r:id="rId30" name="Group Box 43">
          <controlPr defaultSize="0" autoFill="0" autoPict="0">
            <anchor moveWithCells="1">
              <from>
                <xdr:col>2</xdr:col>
                <xdr:colOff>0</xdr:colOff>
                <xdr:row>51</xdr:row>
                <xdr:rowOff>107950</xdr:rowOff>
              </from>
              <to>
                <xdr:col>3</xdr:col>
                <xdr:colOff>393700</xdr:colOff>
                <xdr:row>55</xdr:row>
                <xdr:rowOff>12700</xdr:rowOff>
              </to>
            </anchor>
          </controlPr>
        </control>
      </mc:Choice>
    </mc:AlternateContent>
    <mc:AlternateContent xmlns:mc="http://schemas.openxmlformats.org/markup-compatibility/2006">
      <mc:Choice Requires="x14">
        <control shapeId="15404" r:id="rId31" name="Option Button 44">
          <controlPr defaultSize="0" autoFill="0" autoLine="0" autoPict="0">
            <anchor moveWithCells="1">
              <from>
                <xdr:col>2</xdr:col>
                <xdr:colOff>88900</xdr:colOff>
                <xdr:row>52</xdr:row>
                <xdr:rowOff>0</xdr:rowOff>
              </from>
              <to>
                <xdr:col>3</xdr:col>
                <xdr:colOff>203200</xdr:colOff>
                <xdr:row>53</xdr:row>
                <xdr:rowOff>38100</xdr:rowOff>
              </to>
            </anchor>
          </controlPr>
        </control>
      </mc:Choice>
    </mc:AlternateContent>
    <mc:AlternateContent xmlns:mc="http://schemas.openxmlformats.org/markup-compatibility/2006">
      <mc:Choice Requires="x14">
        <control shapeId="15405" r:id="rId32" name="Option Button 45">
          <controlPr defaultSize="0" autoFill="0" autoLine="0" autoPict="0" macro="[0]!Sheet18.NitDenitError">
            <anchor moveWithCells="1">
              <from>
                <xdr:col>2</xdr:col>
                <xdr:colOff>88900</xdr:colOff>
                <xdr:row>53</xdr:row>
                <xdr:rowOff>38100</xdr:rowOff>
              </from>
              <to>
                <xdr:col>3</xdr:col>
                <xdr:colOff>203200</xdr:colOff>
                <xdr:row>54</xdr:row>
                <xdr:rowOff>76200</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theme="9"/>
  </sheetPr>
  <dimension ref="A1:L48"/>
  <sheetViews>
    <sheetView showGridLines="0" workbookViewId="0"/>
  </sheetViews>
  <sheetFormatPr defaultColWidth="8.81640625" defaultRowHeight="14.5"/>
  <cols>
    <col min="1" max="1" width="8.81640625" style="71"/>
    <col min="2" max="2" width="49" bestFit="1" customWidth="1"/>
    <col min="12" max="12" width="8.81640625" style="308"/>
    <col min="13" max="16384" width="8.81640625" style="109"/>
  </cols>
  <sheetData>
    <row r="1" spans="1:11" ht="38.25" customHeight="1" thickBot="1">
      <c r="A1" s="489" t="s">
        <v>533</v>
      </c>
      <c r="B1" s="483"/>
      <c r="C1" s="483"/>
      <c r="D1" s="483"/>
      <c r="E1" s="483"/>
      <c r="F1" s="483"/>
      <c r="G1" s="483"/>
      <c r="H1" s="483"/>
      <c r="I1" s="483"/>
      <c r="J1" s="483"/>
      <c r="K1" s="483"/>
    </row>
    <row r="2" spans="1:11" ht="15.5">
      <c r="A2" s="129"/>
    </row>
    <row r="3" spans="1:11" ht="15.5">
      <c r="A3" s="129"/>
    </row>
    <row r="4" spans="1:11" ht="15.5">
      <c r="A4" s="129"/>
    </row>
    <row r="5" spans="1:11" ht="15.5">
      <c r="A5" s="129"/>
    </row>
    <row r="6" spans="1:11" ht="15.5">
      <c r="A6" s="129"/>
    </row>
    <row r="7" spans="1:11" ht="15.5">
      <c r="A7" s="129"/>
    </row>
    <row r="8" spans="1:11" ht="15.5">
      <c r="A8" s="129"/>
    </row>
    <row r="9" spans="1:11" ht="15.5">
      <c r="A9" s="186" t="s">
        <v>534</v>
      </c>
      <c r="B9" s="187"/>
      <c r="C9" s="187"/>
      <c r="D9" s="187"/>
      <c r="E9" s="187"/>
      <c r="F9" s="187"/>
      <c r="G9" s="187"/>
      <c r="H9" s="187"/>
      <c r="I9" s="187"/>
      <c r="J9" s="187"/>
      <c r="K9" s="187"/>
    </row>
    <row r="10" spans="1:11" ht="15.5">
      <c r="A10" s="184"/>
    </row>
    <row r="11" spans="1:11">
      <c r="A11" s="112" t="str">
        <f>IF(wwt_control_q8=TRUE, "Show", "Hide")</f>
        <v>Show</v>
      </c>
      <c r="B11" s="1" t="s">
        <v>535</v>
      </c>
    </row>
    <row r="12" spans="1:11">
      <c r="A12" s="112" t="str">
        <f>IF(wwt_control_q8=TRUE, "Show", "Hide")</f>
        <v>Show</v>
      </c>
      <c r="B12" s="842"/>
      <c r="C12" s="360" t="s">
        <v>536</v>
      </c>
    </row>
    <row r="13" spans="1:11">
      <c r="A13" s="112" t="str">
        <f>IF(wwt_control_q8=TRUE, "Show", "Hide")</f>
        <v>Show</v>
      </c>
    </row>
    <row r="14" spans="1:11">
      <c r="A14" s="112" t="str">
        <f>IF(wwt_control_q9=TRUE, "Show", "Hide")</f>
        <v>Show</v>
      </c>
      <c r="B14" s="1" t="s">
        <v>537</v>
      </c>
    </row>
    <row r="15" spans="1:11">
      <c r="A15" s="112" t="str">
        <f>IF(wwt_control_q9=TRUE, "Show", "Hide")</f>
        <v>Show</v>
      </c>
      <c r="B15" s="842"/>
      <c r="C15" s="360" t="s">
        <v>536</v>
      </c>
    </row>
    <row r="16" spans="1:11">
      <c r="A16" s="112" t="str">
        <f>IF(wwt_control_q9=TRUE, "Show", "Hide")</f>
        <v>Show</v>
      </c>
    </row>
    <row r="17" spans="1:11">
      <c r="A17" s="112" t="str">
        <f>IF(wwt_control_q2=TRUE, "Show", "Hide")</f>
        <v>Show</v>
      </c>
      <c r="B17" s="1" t="s">
        <v>538</v>
      </c>
    </row>
    <row r="18" spans="1:11">
      <c r="A18" s="112" t="str">
        <f>IF(wwt_control_q2=TRUE, "Show", "Hide")</f>
        <v>Show</v>
      </c>
      <c r="B18" s="842"/>
      <c r="C18" s="360" t="s">
        <v>536</v>
      </c>
    </row>
    <row r="19" spans="1:11">
      <c r="A19" s="112" t="str">
        <f>IF(wwt_control_q2=TRUE, "Show", "Hide")</f>
        <v>Show</v>
      </c>
    </row>
    <row r="20" spans="1:11">
      <c r="A20" s="112" t="str">
        <f>IF(wwt_control_q3=TRUE, "Show", "Hide")</f>
        <v>Show</v>
      </c>
      <c r="B20" s="1" t="s">
        <v>539</v>
      </c>
    </row>
    <row r="21" spans="1:11">
      <c r="A21" s="112" t="str">
        <f>IF(wwt_control_q3=TRUE, "Show", "Hide")</f>
        <v>Show</v>
      </c>
      <c r="B21" s="842"/>
      <c r="C21" s="360" t="s">
        <v>536</v>
      </c>
    </row>
    <row r="22" spans="1:11">
      <c r="A22" s="112" t="str">
        <f>IF(wwt_control_q3=TRUE, "Show", "Hide")</f>
        <v>Show</v>
      </c>
    </row>
    <row r="23" spans="1:11">
      <c r="A23" s="112" t="str">
        <f>IF(wwt_control_q6=TRUE,"Show","Hide")</f>
        <v>Show</v>
      </c>
      <c r="B23" s="1" t="s">
        <v>540</v>
      </c>
    </row>
    <row r="24" spans="1:11">
      <c r="A24" s="112" t="str">
        <f>IF(wwt_control_q6=TRUE,"Show","Hide")</f>
        <v>Show</v>
      </c>
      <c r="B24" s="842"/>
      <c r="C24" s="360" t="s">
        <v>536</v>
      </c>
    </row>
    <row r="25" spans="1:11">
      <c r="A25" s="112" t="str">
        <f>IF(wwt_control_q6=TRUE,"Show","Hide")</f>
        <v>Show</v>
      </c>
    </row>
    <row r="26" spans="1:11">
      <c r="A26" s="188" t="s">
        <v>541</v>
      </c>
      <c r="B26" s="187"/>
      <c r="C26" s="187"/>
      <c r="D26" s="187"/>
      <c r="E26" s="187"/>
      <c r="F26" s="187"/>
      <c r="G26" s="187"/>
      <c r="H26" s="187"/>
      <c r="I26" s="187"/>
      <c r="J26" s="187"/>
      <c r="K26" s="187"/>
    </row>
    <row r="27" spans="1:11">
      <c r="A27" s="185"/>
    </row>
    <row r="28" spans="1:11" hidden="1">
      <c r="A28" s="112" t="str">
        <f t="shared" ref="A28:A33" si="0">IF(AND(wwt_control_q2=TRUE, wwt_control_q4=TRUE),"Show","Hide")</f>
        <v>Hide</v>
      </c>
      <c r="B28" s="1" t="s">
        <v>542</v>
      </c>
    </row>
    <row r="29" spans="1:11" hidden="1">
      <c r="A29" s="112" t="str">
        <f t="shared" si="0"/>
        <v>Hide</v>
      </c>
      <c r="B29" s="841"/>
      <c r="C29" t="s">
        <v>543</v>
      </c>
    </row>
    <row r="30" spans="1:11" hidden="1">
      <c r="A30" s="112" t="str">
        <f t="shared" si="0"/>
        <v>Hide</v>
      </c>
    </row>
    <row r="31" spans="1:11" ht="16.5" hidden="1">
      <c r="A31" s="112" t="str">
        <f t="shared" si="0"/>
        <v>Hide</v>
      </c>
      <c r="B31" s="1" t="s">
        <v>544</v>
      </c>
    </row>
    <row r="32" spans="1:11" hidden="1">
      <c r="A32" s="112" t="str">
        <f t="shared" si="0"/>
        <v>Hide</v>
      </c>
      <c r="B32" s="900"/>
    </row>
    <row r="33" spans="1:11" hidden="1">
      <c r="A33" s="112" t="str">
        <f t="shared" si="0"/>
        <v>Hide</v>
      </c>
    </row>
    <row r="34" spans="1:11" ht="16.5" hidden="1">
      <c r="A34" s="112" t="str">
        <f t="shared" ref="A34:A39" si="1">IF(AND(wwt_control_q2=TRUE, wwt_control_q5=TRUE),"Show","Hide")</f>
        <v>Hide</v>
      </c>
      <c r="B34" s="1" t="s">
        <v>545</v>
      </c>
    </row>
    <row r="35" spans="1:11" ht="16.5" hidden="1" customHeight="1">
      <c r="A35" s="112" t="str">
        <f t="shared" si="1"/>
        <v>Hide</v>
      </c>
      <c r="B35" s="901"/>
      <c r="C35" t="s">
        <v>546</v>
      </c>
    </row>
    <row r="36" spans="1:11" hidden="1">
      <c r="A36" s="112" t="str">
        <f t="shared" si="1"/>
        <v>Hide</v>
      </c>
    </row>
    <row r="37" spans="1:11" ht="16.5" hidden="1">
      <c r="A37" s="112" t="str">
        <f t="shared" si="1"/>
        <v>Hide</v>
      </c>
      <c r="B37" s="1" t="s">
        <v>547</v>
      </c>
    </row>
    <row r="38" spans="1:11" hidden="1">
      <c r="A38" s="112" t="str">
        <f t="shared" si="1"/>
        <v>Hide</v>
      </c>
      <c r="B38" s="900"/>
    </row>
    <row r="39" spans="1:11" hidden="1">
      <c r="A39" s="112" t="str">
        <f t="shared" si="1"/>
        <v>Hide</v>
      </c>
    </row>
    <row r="40" spans="1:11">
      <c r="A40" s="112" t="str">
        <f>IF(wwt_control_q7=TRUE,"Show","Hide")</f>
        <v>Show</v>
      </c>
      <c r="B40" s="1" t="s">
        <v>548</v>
      </c>
    </row>
    <row r="41" spans="1:11">
      <c r="A41" s="112" t="str">
        <f>IF(wwt_control_q7=TRUE,"Show","Hide")</f>
        <v>Show</v>
      </c>
      <c r="B41" s="841"/>
      <c r="C41" t="s">
        <v>549</v>
      </c>
    </row>
    <row r="42" spans="1:11">
      <c r="A42" s="112" t="str">
        <f>IF(wwt_control_q7=TRUE,"Show","Hide")</f>
        <v>Show</v>
      </c>
    </row>
    <row r="43" spans="1:11">
      <c r="A43" s="112" t="str">
        <f>IF(wwt_control_q8=TRUE,"Show","Hide")</f>
        <v>Show</v>
      </c>
      <c r="B43" s="1" t="s">
        <v>550</v>
      </c>
    </row>
    <row r="44" spans="1:11">
      <c r="A44" s="112" t="str">
        <f>IF(wwt_control_q8=TRUE,"Show","Hide")</f>
        <v>Show</v>
      </c>
      <c r="B44" s="841"/>
      <c r="C44" t="s">
        <v>549</v>
      </c>
    </row>
    <row r="45" spans="1:11">
      <c r="A45" s="112" t="str">
        <f>IF(wwt_control_q8=TRUE,"Show","Hide")</f>
        <v>Show</v>
      </c>
    </row>
    <row r="48" spans="1:11" ht="65.150000000000006" customHeight="1">
      <c r="A48" s="1089" t="s">
        <v>1</v>
      </c>
      <c r="B48" s="1089"/>
      <c r="C48" s="1089"/>
      <c r="D48" s="1089"/>
      <c r="E48" s="1089"/>
      <c r="F48" s="1089"/>
      <c r="G48" s="1089"/>
      <c r="H48" s="1089"/>
      <c r="I48" s="1089"/>
      <c r="J48" s="1089"/>
      <c r="K48" s="1090"/>
    </row>
  </sheetData>
  <mergeCells count="1">
    <mergeCell ref="A48:K48"/>
  </mergeCells>
  <dataValidations count="6">
    <dataValidation allowBlank="1" showInputMessage="1" showErrorMessage="1" prompt="Please enter the amount of biogas (in cubic feet) that your system's digesters produce daily." sqref="B29" xr:uid="{00000000-0002-0000-1300-000000000000}"/>
    <dataValidation type="decimal" allowBlank="1" showInputMessage="1" showErrorMessage="1" error="This value must be between 0 and 100%." prompt="Please specify what fraction of the biogas produced by your digesters is methane (CH4)." sqref="B32" xr:uid="{00000000-0002-0000-1300-000001000000}">
      <formula1>0</formula1>
      <formula2>1</formula2>
    </dataValidation>
    <dataValidation allowBlank="1" showInputMessage="1" showErrorMessage="1" prompt="Please enter the amount of BOD5 produced per day in your municipality. This is equivalent to the BOD5 influent to your wastewater treatment system each day." sqref="B35" xr:uid="{00000000-0002-0000-1300-000002000000}"/>
    <dataValidation type="decimal" allowBlank="1" showInputMessage="1" showErrorMessage="1" error="This value must be between 0 and 100%." prompt="Please specify what fraction of BOD5 influent into your system is removed during primary treatment." sqref="B38" xr:uid="{00000000-0002-0000-1300-000003000000}">
      <formula1>0</formula1>
      <formula2>1</formula2>
    </dataValidation>
    <dataValidation allowBlank="1" showInputMessage="1" showErrorMessage="1" prompt="Please enter the amount of Nitrogen (in kg/day) that is input into your municipal wastewater treatment system by industrial sources." sqref="B41" xr:uid="{00000000-0002-0000-1300-000004000000}"/>
    <dataValidation allowBlank="1" showInputMessage="1" showErrorMessage="1" prompt="Please specify the amount of Nitrogen that your wastewater treatment system discharges daily into local water bodies (in kg N per day)." sqref="B44" xr:uid="{00000000-0002-0000-1300-000005000000}"/>
  </dataValidations>
  <pageMargins left="0.7" right="0.7" top="0.75" bottom="0.75" header="0.3" footer="0.3"/>
  <pageSetup orientation="portrait"/>
  <drawing r:id="rId1"/>
  <legacyDrawing r:id="rId2"/>
  <controls>
    <mc:AlternateContent xmlns:mc="http://schemas.openxmlformats.org/markup-compatibility/2006">
      <mc:Choice Requires="x14">
        <control shapeId="30722" r:id="rId3" name="ck_comp_WWEntry">
          <controlPr locked="0" autoLine="0" linkedCell="comp_WWEntry" r:id="rId4">
            <anchor moveWithCells="1">
              <from>
                <xdr:col>6</xdr:col>
                <xdr:colOff>342900</xdr:colOff>
                <xdr:row>0</xdr:row>
                <xdr:rowOff>107950</xdr:rowOff>
              </from>
              <to>
                <xdr:col>10</xdr:col>
                <xdr:colOff>431800</xdr:colOff>
                <xdr:row>0</xdr:row>
                <xdr:rowOff>374650</xdr:rowOff>
              </to>
            </anchor>
          </controlPr>
        </control>
      </mc:Choice>
      <mc:Fallback>
        <control shapeId="30722" r:id="rId3" name="ck_comp_WWEntry"/>
      </mc:Fallback>
    </mc:AlternateContent>
    <mc:AlternateContent xmlns:mc="http://schemas.openxmlformats.org/markup-compatibility/2006">
      <mc:Choice Requires="x14">
        <control shapeId="30721" r:id="rId5" name="Button 1">
          <controlPr defaultSize="0" print="0" autoFill="0" autoPict="0" macro="[0]!Sheet17.ResetForm">
            <anchor moveWithCells="1" sizeWithCells="1">
              <from>
                <xdr:col>5</xdr:col>
                <xdr:colOff>469900</xdr:colOff>
                <xdr:row>4</xdr:row>
                <xdr:rowOff>133350</xdr:rowOff>
              </from>
              <to>
                <xdr:col>8</xdr:col>
                <xdr:colOff>190500</xdr:colOff>
                <xdr:row>6</xdr:row>
                <xdr:rowOff>50800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6">
    <tabColor theme="9"/>
  </sheetPr>
  <dimension ref="A1:Q91"/>
  <sheetViews>
    <sheetView showGridLines="0" topLeftCell="B1" zoomScaleNormal="100" workbookViewId="0">
      <selection activeCell="L55" sqref="L55"/>
    </sheetView>
  </sheetViews>
  <sheetFormatPr defaultColWidth="8.81640625" defaultRowHeight="14.5"/>
  <cols>
    <col min="1" max="1" width="8.81640625" style="265"/>
    <col min="2" max="3" width="20.7265625" customWidth="1"/>
    <col min="4" max="4" width="20.453125" bestFit="1" customWidth="1"/>
    <col min="5" max="5" width="21" customWidth="1"/>
    <col min="6" max="6" width="20.26953125" customWidth="1"/>
    <col min="7" max="7" width="19.453125" customWidth="1"/>
    <col min="8" max="8" width="17.26953125" customWidth="1"/>
    <col min="9" max="9" width="13.81640625" customWidth="1"/>
    <col min="10" max="10" width="15.81640625" customWidth="1"/>
    <col min="11" max="11" width="12.81640625" customWidth="1"/>
    <col min="12" max="12" width="13.453125" customWidth="1"/>
    <col min="14" max="14" width="11.54296875" customWidth="1"/>
    <col min="15" max="15" width="4" customWidth="1"/>
    <col min="16" max="16" width="8.81640625" style="308"/>
    <col min="17" max="16384" width="8.81640625" style="109"/>
  </cols>
  <sheetData>
    <row r="1" spans="1:15" ht="38.25" customHeight="1" thickBot="1">
      <c r="A1" s="488" t="s">
        <v>551</v>
      </c>
      <c r="B1" s="483"/>
      <c r="C1" s="483"/>
      <c r="D1" s="483"/>
      <c r="E1" s="483"/>
      <c r="F1" s="483"/>
      <c r="G1" s="483"/>
      <c r="H1" s="483"/>
      <c r="I1" s="483"/>
      <c r="J1" s="483"/>
      <c r="K1" s="483"/>
      <c r="L1" s="483"/>
      <c r="M1" s="483"/>
      <c r="N1" s="483"/>
      <c r="O1" s="483"/>
    </row>
    <row r="12" spans="1:15" ht="18.5">
      <c r="B12" s="1091" t="s">
        <v>552</v>
      </c>
      <c r="C12" s="1092"/>
      <c r="D12" s="1093"/>
    </row>
    <row r="13" spans="1:15" ht="16.5">
      <c r="B13" s="124"/>
      <c r="C13" s="98"/>
      <c r="D13" s="853" t="s">
        <v>71</v>
      </c>
    </row>
    <row r="14" spans="1:15" ht="16.5">
      <c r="B14" s="1094" t="s">
        <v>553</v>
      </c>
      <c r="C14" s="1095"/>
      <c r="D14" s="126">
        <v>0</v>
      </c>
    </row>
    <row r="15" spans="1:15" ht="16.5">
      <c r="B15" s="1094" t="s">
        <v>456</v>
      </c>
      <c r="C15" s="1095"/>
      <c r="D15" s="126">
        <f>K23+L28+J33+L38+J43</f>
        <v>0</v>
      </c>
    </row>
    <row r="16" spans="1:15" ht="16.5">
      <c r="B16" s="1094" t="s">
        <v>457</v>
      </c>
      <c r="C16" s="1095"/>
      <c r="D16" s="126">
        <f>H48+H53+I58+N64+N66+N68+N70</f>
        <v>0</v>
      </c>
      <c r="F16" s="211"/>
    </row>
    <row r="17" spans="1:17">
      <c r="B17" s="1096" t="s">
        <v>554</v>
      </c>
      <c r="C17" s="1097"/>
      <c r="D17" s="902">
        <f>SUM(D14:D16)</f>
        <v>0</v>
      </c>
    </row>
    <row r="18" spans="1:17" ht="15" thickBot="1"/>
    <row r="19" spans="1:17" ht="18.5">
      <c r="A19" s="301"/>
      <c r="B19" s="117" t="s">
        <v>242</v>
      </c>
      <c r="C19" s="73"/>
      <c r="D19" s="73"/>
      <c r="E19" s="73"/>
      <c r="F19" s="73"/>
      <c r="G19" s="73"/>
      <c r="H19" s="73"/>
      <c r="I19" s="73"/>
      <c r="J19" s="73"/>
      <c r="K19" s="73"/>
      <c r="L19" s="73"/>
      <c r="M19" s="73"/>
      <c r="N19" s="73"/>
      <c r="O19" s="73"/>
    </row>
    <row r="20" spans="1:17">
      <c r="A20" s="285"/>
    </row>
    <row r="21" spans="1:17" ht="16.5" hidden="1">
      <c r="A21" s="284" t="str">
        <f>IF(AND(wwt_control_q2=TRUE, wwt_control_q4=TRUE), "Show", "Hide")</f>
        <v>Hide</v>
      </c>
      <c r="B21" s="1099" t="s">
        <v>555</v>
      </c>
      <c r="C21" s="1099"/>
      <c r="D21" s="1099"/>
      <c r="E21" s="1099"/>
      <c r="F21" s="1099"/>
      <c r="G21" s="1099"/>
      <c r="H21" s="1099"/>
      <c r="I21" s="1099"/>
      <c r="J21" s="1099"/>
      <c r="K21" s="1099"/>
    </row>
    <row r="22" spans="1:17" s="377" customFormat="1" ht="32" hidden="1">
      <c r="A22" s="284" t="str">
        <f>IF(AND(wwt_control_q2=TRUE, wwt_control_q4=TRUE), "Show", "Hide")</f>
        <v>Hide</v>
      </c>
      <c r="B22" s="893" t="s">
        <v>556</v>
      </c>
      <c r="C22" s="893" t="s">
        <v>557</v>
      </c>
      <c r="D22" s="893" t="s">
        <v>558</v>
      </c>
      <c r="E22" s="893" t="s">
        <v>559</v>
      </c>
      <c r="F22" s="893" t="s">
        <v>560</v>
      </c>
      <c r="G22" s="893" t="s">
        <v>561</v>
      </c>
      <c r="H22" s="893" t="s">
        <v>562</v>
      </c>
      <c r="I22" s="868" t="s">
        <v>284</v>
      </c>
      <c r="J22" s="893" t="s">
        <v>506</v>
      </c>
      <c r="K22" s="868" t="s">
        <v>71</v>
      </c>
      <c r="L22" s="54"/>
      <c r="M22" s="54"/>
      <c r="N22" s="54"/>
      <c r="O22" s="54"/>
      <c r="P22" s="386"/>
      <c r="Q22" s="392"/>
    </row>
    <row r="23" spans="1:17" hidden="1">
      <c r="A23" s="284" t="str">
        <f>IF(AND(wwt_control_q2=TRUE, wwt_control_q4=TRUE), "Show", "Hide")</f>
        <v>Hide</v>
      </c>
      <c r="B23" s="903">
        <f>wwt_entry_biogas</f>
        <v>0</v>
      </c>
      <c r="C23" s="904">
        <f>wwt_entry_biogasCH4</f>
        <v>0</v>
      </c>
      <c r="D23" s="860">
        <f>wwt_factor_CH4density</f>
        <v>662</v>
      </c>
      <c r="E23" s="905">
        <f>1-wwt_factors_DE</f>
        <v>1.0000000000000009E-2</v>
      </c>
      <c r="F23" s="860">
        <f>ft3_m3</f>
        <v>2.8316846600000001E-2</v>
      </c>
      <c r="G23" s="860">
        <f>perday_peryr</f>
        <v>365.25</v>
      </c>
      <c r="H23" s="860">
        <f>g_MT</f>
        <v>9.9999999999999995E-7</v>
      </c>
      <c r="I23" s="906">
        <f>B23*C23*D23*E23*F23*G23*H23</f>
        <v>0</v>
      </c>
      <c r="J23" s="860">
        <f>CH4_CO2e</f>
        <v>28</v>
      </c>
      <c r="K23" s="907">
        <f>IF(AND(wwt_control_q2=TRUE, wwt_control_q4=TRUE), I23*J23, 0)</f>
        <v>0</v>
      </c>
    </row>
    <row r="24" spans="1:17" hidden="1">
      <c r="A24" s="284" t="str">
        <f>IF(AND(wwt_control_q2=TRUE, wwt_control_q4=TRUE), "Show", "Hide")</f>
        <v>Hide</v>
      </c>
      <c r="K24" s="1"/>
    </row>
    <row r="25" spans="1:17" hidden="1">
      <c r="A25" s="284" t="str">
        <f>IF(AND(wwt_control_q2=TRUE, wwt_control_q4=TRUE), "Show", "Hide")</f>
        <v>Hide</v>
      </c>
    </row>
    <row r="26" spans="1:17" ht="16.5">
      <c r="A26" s="284" t="str">
        <f>IF(AND(wwt_control_q2=TRUE, wwt_control_q4=FALSE), "Show", "Hide")</f>
        <v>Show</v>
      </c>
      <c r="B26" s="1099" t="s">
        <v>563</v>
      </c>
      <c r="C26" s="1099"/>
      <c r="D26" s="1099"/>
      <c r="E26" s="1099"/>
      <c r="F26" s="1099"/>
      <c r="G26" s="1099"/>
      <c r="H26" s="1099"/>
      <c r="I26" s="1099"/>
      <c r="J26" s="1099"/>
      <c r="K26" s="1099"/>
      <c r="L26" s="1099"/>
    </row>
    <row r="27" spans="1:17" s="376" customFormat="1" ht="46.5">
      <c r="A27" s="284" t="str">
        <f>IF(AND(wwt_control_q2=TRUE, wwt_control_q4=FALSE), "Show", "Hide")</f>
        <v>Show</v>
      </c>
      <c r="B27" s="893" t="s">
        <v>564</v>
      </c>
      <c r="C27" s="893" t="s">
        <v>565</v>
      </c>
      <c r="D27" s="893" t="s">
        <v>566</v>
      </c>
      <c r="E27" s="893" t="s">
        <v>567</v>
      </c>
      <c r="F27" s="893" t="s">
        <v>568</v>
      </c>
      <c r="G27" s="893" t="s">
        <v>569</v>
      </c>
      <c r="H27" s="893" t="s">
        <v>561</v>
      </c>
      <c r="I27" s="893" t="s">
        <v>562</v>
      </c>
      <c r="J27" s="868" t="s">
        <v>284</v>
      </c>
      <c r="K27" s="893" t="s">
        <v>506</v>
      </c>
      <c r="L27" s="868" t="s">
        <v>71</v>
      </c>
      <c r="M27"/>
      <c r="N27"/>
      <c r="O27"/>
      <c r="P27" s="374"/>
    </row>
    <row r="28" spans="1:17">
      <c r="A28" s="284" t="str">
        <f>IF(AND(wwt_control_q2=TRUE, wwt_control_q4=FALSE), "Show", "Hide")</f>
        <v>Show</v>
      </c>
      <c r="B28" s="908">
        <f>wwt_entry_popAnaerobic</f>
        <v>0</v>
      </c>
      <c r="C28" s="860">
        <f>wwt_factors_biogas_def</f>
        <v>1</v>
      </c>
      <c r="D28" s="905">
        <f>1-wwt_factors_FCH4_def</f>
        <v>0.35</v>
      </c>
      <c r="E28" s="860">
        <f>wwt_factor_CH4density</f>
        <v>662</v>
      </c>
      <c r="F28" s="905">
        <f>1-wwt_factors_DE</f>
        <v>1.0000000000000009E-2</v>
      </c>
      <c r="G28" s="860">
        <f>ft3_m3</f>
        <v>2.8316846600000001E-2</v>
      </c>
      <c r="H28" s="860">
        <f>perday_peryr</f>
        <v>365.25</v>
      </c>
      <c r="I28" s="860">
        <f>g_MT</f>
        <v>9.9999999999999995E-7</v>
      </c>
      <c r="J28" s="1022">
        <f>B28*C28*D28*E28*F28*G28*H28*I28</f>
        <v>0</v>
      </c>
      <c r="K28" s="860">
        <f>CH4_CO2e</f>
        <v>28</v>
      </c>
      <c r="L28" s="1019">
        <f>IF(AND(wwt_control_q2=TRUE, wwt_control_q4=FALSE), J28*K28, 0)</f>
        <v>0</v>
      </c>
    </row>
    <row r="29" spans="1:17">
      <c r="A29" s="284" t="str">
        <f>IF(AND(wwt_control_q2=TRUE, wwt_control_q4=FALSE), "Show", "Hide")</f>
        <v>Show</v>
      </c>
    </row>
    <row r="30" spans="1:17">
      <c r="A30" s="284" t="str">
        <f>IF(AND(wwt_control_q2=TRUE, wwt_control_q4=FALSE), "Show", "Hide")</f>
        <v>Show</v>
      </c>
    </row>
    <row r="31" spans="1:17" ht="16.5" hidden="1">
      <c r="A31" s="284" t="str">
        <f>IF(AND(wwt_control_q2=TRUE, wwt_control_q5=TRUE), "Show", "Hide")</f>
        <v>Hide</v>
      </c>
      <c r="B31" s="1099" t="s">
        <v>570</v>
      </c>
      <c r="C31" s="1099"/>
      <c r="D31" s="1099"/>
      <c r="E31" s="1099"/>
      <c r="F31" s="1099"/>
      <c r="G31" s="1099"/>
      <c r="H31" s="1099"/>
      <c r="I31" s="1099"/>
      <c r="J31" s="1099"/>
    </row>
    <row r="32" spans="1:17" s="377" customFormat="1" ht="47.5" hidden="1">
      <c r="A32" s="284" t="str">
        <f>IF(AND(wwt_control_q2=TRUE, wwt_control_q5=TRUE), "Show", "Hide")</f>
        <v>Hide</v>
      </c>
      <c r="B32" s="893" t="s">
        <v>571</v>
      </c>
      <c r="C32" s="893" t="s">
        <v>572</v>
      </c>
      <c r="D32" s="893" t="s">
        <v>573</v>
      </c>
      <c r="E32" s="893" t="s">
        <v>574</v>
      </c>
      <c r="F32" s="893" t="s">
        <v>561</v>
      </c>
      <c r="G32" s="893" t="s">
        <v>575</v>
      </c>
      <c r="H32" s="868" t="s">
        <v>284</v>
      </c>
      <c r="I32" s="893" t="s">
        <v>506</v>
      </c>
      <c r="J32" s="868" t="s">
        <v>71</v>
      </c>
      <c r="K32" s="118"/>
      <c r="L32" s="118"/>
      <c r="M32"/>
      <c r="N32"/>
      <c r="O32"/>
      <c r="P32" s="375"/>
    </row>
    <row r="33" spans="1:16" hidden="1">
      <c r="A33" s="284" t="str">
        <f>IF(AND(wwt_control_q2=TRUE, wwt_control_q5=TRUE), "Show", "Hide")</f>
        <v>Hide</v>
      </c>
      <c r="B33" s="903">
        <f>wwt_entry_BODinput</f>
        <v>0</v>
      </c>
      <c r="C33" s="904">
        <f>1-wwt_entry_BODremoved</f>
        <v>1</v>
      </c>
      <c r="D33" s="860">
        <f>wwt_factors_MaxCapacity</f>
        <v>0.6</v>
      </c>
      <c r="E33" s="860">
        <f>wwt_factors_anaerobicCF</f>
        <v>0.8</v>
      </c>
      <c r="F33" s="860">
        <f>perday_peryr</f>
        <v>365.25</v>
      </c>
      <c r="G33" s="860">
        <f>kg_mt</f>
        <v>1E-3</v>
      </c>
      <c r="H33" s="906">
        <f>B33*C33*D33*E33*F33*G33</f>
        <v>0</v>
      </c>
      <c r="I33" s="860">
        <f>CH4_CO2e</f>
        <v>28</v>
      </c>
      <c r="J33" s="909">
        <f>IF(AND(wwt_control_q2=TRUE, wwt_control_q5=TRUE), H33*I33, 0)</f>
        <v>0</v>
      </c>
    </row>
    <row r="34" spans="1:16" hidden="1">
      <c r="A34" s="284" t="str">
        <f>IF(AND(wwt_control_q2=TRUE, wwt_control_q5=TRUE), "Show", "Hide")</f>
        <v>Hide</v>
      </c>
    </row>
    <row r="35" spans="1:16" hidden="1">
      <c r="A35" s="284" t="str">
        <f>IF(AND(wwt_control_q2=TRUE, wwt_control_q5=TRUE), "Show", "Hide")</f>
        <v>Hide</v>
      </c>
    </row>
    <row r="36" spans="1:16" ht="16.5">
      <c r="A36" s="284" t="str">
        <f>IF(AND(wwt_control_q2=TRUE, wwt_control_q5=FALSE), "Show", "Hide")</f>
        <v>Show</v>
      </c>
      <c r="B36" s="1099" t="s">
        <v>576</v>
      </c>
      <c r="C36" s="1099"/>
      <c r="D36" s="1099"/>
      <c r="E36" s="1099"/>
      <c r="F36" s="1099"/>
      <c r="G36" s="1099"/>
      <c r="H36" s="1099"/>
      <c r="I36" s="1099"/>
      <c r="J36" s="1099"/>
      <c r="K36" s="1099"/>
      <c r="L36" s="1099"/>
    </row>
    <row r="37" spans="1:16" s="377" customFormat="1" ht="48" customHeight="1">
      <c r="A37" s="284" t="str">
        <f>IF(AND(wwt_control_q2=TRUE, wwt_control_q5=FALSE), "Show", "Hide")</f>
        <v>Show</v>
      </c>
      <c r="B37" s="893" t="s">
        <v>577</v>
      </c>
      <c r="C37" s="893" t="s">
        <v>578</v>
      </c>
      <c r="D37" s="893" t="s">
        <v>579</v>
      </c>
      <c r="E37" s="893" t="s">
        <v>580</v>
      </c>
      <c r="F37" s="893" t="s">
        <v>573</v>
      </c>
      <c r="G37" s="893" t="s">
        <v>574</v>
      </c>
      <c r="H37" s="893" t="s">
        <v>561</v>
      </c>
      <c r="I37" s="893" t="s">
        <v>575</v>
      </c>
      <c r="J37" s="868" t="s">
        <v>284</v>
      </c>
      <c r="K37" s="893" t="s">
        <v>506</v>
      </c>
      <c r="L37" s="868" t="s">
        <v>71</v>
      </c>
      <c r="M37"/>
      <c r="N37"/>
      <c r="O37"/>
      <c r="P37" s="375"/>
    </row>
    <row r="38" spans="1:16">
      <c r="A38" s="284" t="str">
        <f>IF(AND(wwt_control_q2=TRUE, wwt_control_q5=FALSE), "Show", "Hide")</f>
        <v>Show</v>
      </c>
      <c r="B38" s="910">
        <f>IF(wwt_control_q7=TRUE, wwt_calcs_Peff_anaerobic, wwt_entry_popAnaerobic)</f>
        <v>0</v>
      </c>
      <c r="C38" s="860">
        <f>wwt_factors_FInd</f>
        <v>1.25</v>
      </c>
      <c r="D38" s="860">
        <f>wwt_factors_BOD5load_def</f>
        <v>0.09</v>
      </c>
      <c r="E38" s="905">
        <f>1-wwt_factors_Fp_def</f>
        <v>0.67500000000000004</v>
      </c>
      <c r="F38" s="860">
        <f>wwt_factors_MaxCapacity</f>
        <v>0.6</v>
      </c>
      <c r="G38" s="860">
        <f>wwt_factors_anaerobicCF</f>
        <v>0.8</v>
      </c>
      <c r="H38" s="860">
        <f>perday_peryr</f>
        <v>365.25</v>
      </c>
      <c r="I38" s="860">
        <f>kg_mt</f>
        <v>1E-3</v>
      </c>
      <c r="J38" s="1022">
        <f>B38*C38*D38*E38*F38*G38*H38*I38</f>
        <v>0</v>
      </c>
      <c r="K38" s="860">
        <f>CH4_CO2e</f>
        <v>28</v>
      </c>
      <c r="L38" s="1019">
        <f>IF(AND(wwt_control_q2=TRUE, wwt_control_q5=FALSE), J38*K38, 0)</f>
        <v>0</v>
      </c>
    </row>
    <row r="39" spans="1:16">
      <c r="A39" s="284" t="str">
        <f>IF(AND(wwt_control_q2=TRUE, wwt_control_q5=FALSE), "Show", "Hide")</f>
        <v>Show</v>
      </c>
    </row>
    <row r="40" spans="1:16">
      <c r="A40" s="284" t="str">
        <f>IF(AND(wwt_control_q2=TRUE, wwt_control_q5=FALSE), "Show", "Hide")</f>
        <v>Show</v>
      </c>
    </row>
    <row r="41" spans="1:16" ht="16.5">
      <c r="A41" s="284" t="str">
        <f>IF(wwt_control_q6=TRUE, "Show", "Hide")</f>
        <v>Show</v>
      </c>
      <c r="B41" s="1099" t="s">
        <v>581</v>
      </c>
      <c r="C41" s="1099"/>
      <c r="D41" s="1099"/>
      <c r="E41" s="1099"/>
      <c r="F41" s="1099"/>
      <c r="G41" s="1099"/>
      <c r="H41" s="1099"/>
      <c r="I41" s="1099"/>
      <c r="J41" s="1099"/>
    </row>
    <row r="42" spans="1:16" s="377" customFormat="1" ht="47.5">
      <c r="A42" s="284" t="str">
        <f>IF(wwt_control_q6=TRUE, "Show", "Hide")</f>
        <v>Show</v>
      </c>
      <c r="B42" s="893" t="s">
        <v>540</v>
      </c>
      <c r="C42" s="893" t="s">
        <v>579</v>
      </c>
      <c r="D42" s="893" t="s">
        <v>573</v>
      </c>
      <c r="E42" s="893" t="s">
        <v>582</v>
      </c>
      <c r="F42" s="893" t="s">
        <v>561</v>
      </c>
      <c r="G42" s="893" t="s">
        <v>575</v>
      </c>
      <c r="H42" s="868" t="s">
        <v>284</v>
      </c>
      <c r="I42" s="893" t="s">
        <v>506</v>
      </c>
      <c r="J42" s="868" t="s">
        <v>71</v>
      </c>
      <c r="K42" s="118"/>
      <c r="L42" s="118"/>
      <c r="M42"/>
      <c r="N42"/>
      <c r="O42"/>
      <c r="P42" s="375"/>
    </row>
    <row r="43" spans="1:16">
      <c r="A43" s="284" t="str">
        <f>IF(wwt_control_q6=TRUE, "Show", "Hide")</f>
        <v>Show</v>
      </c>
      <c r="B43" s="908">
        <f>wwt_entry_popSeptic</f>
        <v>0</v>
      </c>
      <c r="C43" s="860">
        <f>wwt_factors_BOD5load_def</f>
        <v>0.09</v>
      </c>
      <c r="D43" s="860">
        <f>wwt_factors_MaxCapacity</f>
        <v>0.6</v>
      </c>
      <c r="E43" s="860">
        <f>wwt_factors_septicCF</f>
        <v>0.5</v>
      </c>
      <c r="F43" s="860">
        <f>perday_peryr</f>
        <v>365.25</v>
      </c>
      <c r="G43" s="860">
        <f>kg_mt</f>
        <v>1E-3</v>
      </c>
      <c r="H43" s="1022">
        <f>B43*C43*D43*E43*F43*G43</f>
        <v>0</v>
      </c>
      <c r="I43" s="860">
        <f>CH4_CO2e</f>
        <v>28</v>
      </c>
      <c r="J43" s="1019">
        <f>IF(wwt_control_q6=TRUE, H43*I43, 0)</f>
        <v>0</v>
      </c>
    </row>
    <row r="44" spans="1:16">
      <c r="A44" s="284" t="str">
        <f>IF(wwt_control_q6=TRUE, "Show", "Hide")</f>
        <v>Show</v>
      </c>
    </row>
    <row r="45" spans="1:16">
      <c r="A45" s="284" t="str">
        <f>IF(wwt_control_q6=TRUE, "Show", "Hide")</f>
        <v>Show</v>
      </c>
    </row>
    <row r="46" spans="1:16" ht="16.5">
      <c r="A46" s="284" t="str">
        <f>IF(wwt_control_q8=TRUE, "Show", "Hide")</f>
        <v>Show</v>
      </c>
      <c r="B46" s="1099" t="s">
        <v>583</v>
      </c>
      <c r="C46" s="1099"/>
      <c r="D46" s="1099"/>
      <c r="E46" s="1099"/>
      <c r="F46" s="1099"/>
      <c r="G46" s="1099"/>
      <c r="H46" s="1099"/>
    </row>
    <row r="47" spans="1:16" ht="45.5">
      <c r="A47" s="284" t="str">
        <f>IF(wwt_control_q8=TRUE, "Show", "Hide")</f>
        <v>Show</v>
      </c>
      <c r="B47" s="893" t="s">
        <v>584</v>
      </c>
      <c r="C47" s="893" t="s">
        <v>578</v>
      </c>
      <c r="D47" s="893" t="s">
        <v>585</v>
      </c>
      <c r="E47" s="893" t="s">
        <v>562</v>
      </c>
      <c r="F47" s="868" t="s">
        <v>288</v>
      </c>
      <c r="G47" s="893" t="s">
        <v>506</v>
      </c>
      <c r="H47" s="868" t="s">
        <v>71</v>
      </c>
    </row>
    <row r="48" spans="1:16">
      <c r="A48" s="284" t="str">
        <f>IF(wwt_control_q8=TRUE, "Show", "Hide")</f>
        <v>Show</v>
      </c>
      <c r="B48" s="910">
        <f>IF(wwt_control_q7=TRUE, wwt_calcs_Peff_nit, wwt_entry_popNit)</f>
        <v>0</v>
      </c>
      <c r="C48" s="860">
        <f>wwt_factors_FInd</f>
        <v>1.25</v>
      </c>
      <c r="D48" s="860">
        <f>wwt_factors_EFnitdenit</f>
        <v>7</v>
      </c>
      <c r="E48" s="860">
        <f>g_MT</f>
        <v>9.9999999999999995E-7</v>
      </c>
      <c r="F48" s="1023">
        <f>B48*C48*D48*E48</f>
        <v>0</v>
      </c>
      <c r="G48" s="860">
        <f>N2O_CO2e</f>
        <v>265</v>
      </c>
      <c r="H48" s="1020">
        <f>IF(wwt_control_q8=TRUE, F48*G48, 0)</f>
        <v>0</v>
      </c>
    </row>
    <row r="49" spans="1:14">
      <c r="A49" s="284" t="str">
        <f>IF(wwt_control_q8=TRUE, "Show", "Hide")</f>
        <v>Show</v>
      </c>
    </row>
    <row r="50" spans="1:14">
      <c r="A50" s="284" t="str">
        <f>IF(wwt_control_q8=TRUE, "Show", "Hide")</f>
        <v>Show</v>
      </c>
    </row>
    <row r="51" spans="1:14" ht="16.5">
      <c r="A51" s="284" t="str">
        <f>IF(wwt_control_q9=TRUE, "Show", "Hide")</f>
        <v>Show</v>
      </c>
      <c r="B51" s="1099" t="s">
        <v>586</v>
      </c>
      <c r="C51" s="1099"/>
      <c r="D51" s="1099"/>
      <c r="E51" s="1099"/>
      <c r="F51" s="1099"/>
      <c r="G51" s="1099"/>
      <c r="H51" s="1099"/>
    </row>
    <row r="52" spans="1:14" ht="45.5">
      <c r="A52" s="284" t="str">
        <f t="shared" ref="A52:A60" si="0">IF(wwt_control_q9=TRUE, "Show", "Hide")</f>
        <v>Show</v>
      </c>
      <c r="B52" s="893" t="s">
        <v>587</v>
      </c>
      <c r="C52" s="893" t="s">
        <v>578</v>
      </c>
      <c r="D52" s="893" t="s">
        <v>588</v>
      </c>
      <c r="E52" s="893" t="s">
        <v>562</v>
      </c>
      <c r="F52" s="868" t="s">
        <v>288</v>
      </c>
      <c r="G52" s="893" t="s">
        <v>506</v>
      </c>
      <c r="H52" s="868" t="s">
        <v>71</v>
      </c>
    </row>
    <row r="53" spans="1:14">
      <c r="A53" s="284" t="str">
        <f t="shared" si="0"/>
        <v>Show</v>
      </c>
      <c r="B53" s="910">
        <f>IF(wwt_control_q7=TRUE, wwt_calcs_Peff_noNit, wwt_entry_popNoNit)</f>
        <v>0</v>
      </c>
      <c r="C53" s="860">
        <f>wwt_factors_FInd</f>
        <v>1.25</v>
      </c>
      <c r="D53" s="860">
        <f>wwt_factors_EFnoNit</f>
        <v>3.2</v>
      </c>
      <c r="E53" s="860">
        <f>g_MT</f>
        <v>9.9999999999999995E-7</v>
      </c>
      <c r="F53" s="1023">
        <f>B53*C53*D53*E53</f>
        <v>0</v>
      </c>
      <c r="G53" s="860">
        <f>N2O_CO2e</f>
        <v>265</v>
      </c>
      <c r="H53" s="1020">
        <f>IF(wwt_control_q9=TRUE,F53*G53,0)</f>
        <v>0</v>
      </c>
    </row>
    <row r="54" spans="1:14">
      <c r="A54" s="284" t="str">
        <f t="shared" si="0"/>
        <v>Show</v>
      </c>
    </row>
    <row r="55" spans="1:14">
      <c r="A55" s="284" t="str">
        <f t="shared" si="0"/>
        <v>Show</v>
      </c>
    </row>
    <row r="56" spans="1:14" ht="16.5">
      <c r="A56" s="284" t="str">
        <f>IF(wwt_control_q9=TRUE, "Show", "Hide")</f>
        <v>Show</v>
      </c>
      <c r="B56" s="1099" t="s">
        <v>589</v>
      </c>
      <c r="C56" s="1099"/>
      <c r="D56" s="1099"/>
      <c r="E56" s="1099"/>
      <c r="F56" s="1099"/>
      <c r="G56" s="1099"/>
      <c r="H56" s="1099"/>
      <c r="I56" s="1099"/>
    </row>
    <row r="57" spans="1:14" ht="46.5">
      <c r="A57" s="284" t="str">
        <f t="shared" si="0"/>
        <v>Show</v>
      </c>
      <c r="B57" s="893" t="s">
        <v>590</v>
      </c>
      <c r="C57" s="893" t="s">
        <v>591</v>
      </c>
      <c r="D57" s="893" t="s">
        <v>561</v>
      </c>
      <c r="E57" s="893" t="s">
        <v>592</v>
      </c>
      <c r="F57" s="893" t="s">
        <v>593</v>
      </c>
      <c r="G57" s="868" t="s">
        <v>288</v>
      </c>
      <c r="H57" s="893" t="s">
        <v>506</v>
      </c>
      <c r="I57" s="868" t="s">
        <v>71</v>
      </c>
    </row>
    <row r="58" spans="1:14">
      <c r="A58" s="284" t="str">
        <f t="shared" si="0"/>
        <v>Show</v>
      </c>
      <c r="B58" s="903">
        <f>wwt_entry_Neffluent</f>
        <v>0</v>
      </c>
      <c r="C58" s="860">
        <f>wwt_factors_EFeff</f>
        <v>5.0000000000000001E-3</v>
      </c>
      <c r="D58" s="860">
        <f>perday_peryr</f>
        <v>365.25</v>
      </c>
      <c r="E58" s="860">
        <f>kg_mt</f>
        <v>1E-3</v>
      </c>
      <c r="F58" s="860">
        <f>wwt_factors_N2O_N2</f>
        <v>1.5714285714285714</v>
      </c>
      <c r="G58" s="1023">
        <f>B58*C58*D58*E58*F58</f>
        <v>0</v>
      </c>
      <c r="H58" s="860">
        <f>N2O_CO2e</f>
        <v>265</v>
      </c>
      <c r="I58" s="1020">
        <f>IF(wwt_control_q9=TRUE, G58*H58, 0)</f>
        <v>0</v>
      </c>
    </row>
    <row r="59" spans="1:14">
      <c r="A59" s="284" t="str">
        <f t="shared" si="0"/>
        <v>Show</v>
      </c>
    </row>
    <row r="60" spans="1:14">
      <c r="A60" s="284" t="str">
        <f t="shared" si="0"/>
        <v>Show</v>
      </c>
    </row>
    <row r="61" spans="1:14" ht="16.5">
      <c r="A61" s="284" t="str">
        <f>IF(wwt_control_q10=FALSE, "Show", "Hide")</f>
        <v>Show</v>
      </c>
      <c r="B61" s="1099" t="s">
        <v>594</v>
      </c>
      <c r="C61" s="1099"/>
      <c r="D61" s="1099"/>
      <c r="E61" s="1099"/>
      <c r="F61" s="1099"/>
      <c r="G61" s="1099"/>
      <c r="H61" s="1099"/>
      <c r="I61" s="1099"/>
      <c r="J61" s="1099"/>
      <c r="K61" s="1099"/>
      <c r="L61" s="1099"/>
      <c r="M61" s="1101"/>
      <c r="N61" s="1099"/>
    </row>
    <row r="62" spans="1:14" ht="49.5" customHeight="1">
      <c r="A62" s="284" t="str">
        <f>IF(wwt_control_q10=FALSE, "Show", "Hide")</f>
        <v>Show</v>
      </c>
      <c r="B62" s="893" t="s">
        <v>595</v>
      </c>
      <c r="C62" s="893" t="s">
        <v>596</v>
      </c>
      <c r="D62" s="893" t="s">
        <v>597</v>
      </c>
      <c r="E62" s="911" t="s">
        <v>598</v>
      </c>
      <c r="F62" s="893" t="s">
        <v>599</v>
      </c>
      <c r="G62" s="893" t="s">
        <v>600</v>
      </c>
      <c r="H62" s="893" t="s">
        <v>601</v>
      </c>
      <c r="I62" s="893" t="s">
        <v>602</v>
      </c>
      <c r="J62" s="893" t="s">
        <v>561</v>
      </c>
      <c r="K62" s="893" t="s">
        <v>575</v>
      </c>
      <c r="L62" s="253" t="s">
        <v>288</v>
      </c>
      <c r="M62" s="912" t="s">
        <v>506</v>
      </c>
      <c r="N62" s="396" t="s">
        <v>71</v>
      </c>
    </row>
    <row r="63" spans="1:14">
      <c r="A63" s="284" t="str">
        <f>IF(AND(wwt_control_q10=FALSE, wwt_control_q2=TRUE, wwt_control_q8=TRUE), "Show", "Hide")</f>
        <v>Show</v>
      </c>
      <c r="B63" s="1102" t="s">
        <v>603</v>
      </c>
      <c r="C63" s="1102"/>
      <c r="D63" s="1102"/>
      <c r="E63" s="1102"/>
      <c r="F63" s="1102"/>
      <c r="G63" s="1102"/>
      <c r="H63" s="1102"/>
      <c r="I63" s="1102"/>
      <c r="J63" s="1102"/>
      <c r="K63" s="1102"/>
      <c r="L63" s="1102"/>
      <c r="M63" s="1103"/>
      <c r="N63" s="1102"/>
    </row>
    <row r="64" spans="1:14">
      <c r="A64" s="284" t="str">
        <f>IF(AND(wwt_control_q10=FALSE, wwt_control_q2=TRUE, wwt_control_q8=TRUE), "Show", "Hide")</f>
        <v>Show</v>
      </c>
      <c r="B64" s="908">
        <f>wwt_entry_popNit</f>
        <v>0</v>
      </c>
      <c r="C64" s="860">
        <f>wwt_factors_FInd</f>
        <v>1.25</v>
      </c>
      <c r="D64" s="860">
        <f>wwt_factors_NloadTot</f>
        <v>2.5999999999999999E-2</v>
      </c>
      <c r="E64" s="913">
        <f>wwt_factors_NupAnaerobic</f>
        <v>5.0000000000000001E-3</v>
      </c>
      <c r="F64" s="860">
        <f>wwt_factors_BOD5load_def</f>
        <v>0.09</v>
      </c>
      <c r="G64" s="860">
        <f>wwt_factors_EFeff</f>
        <v>5.0000000000000001E-3</v>
      </c>
      <c r="H64" s="860">
        <f>wwt_factors_N2O_N2</f>
        <v>1.5714285714285714</v>
      </c>
      <c r="I64" s="913">
        <f>1-wwt_factors_nitdenit_def</f>
        <v>0.30000000000000004</v>
      </c>
      <c r="J64" s="860">
        <f>perday_peryr</f>
        <v>365.25</v>
      </c>
      <c r="K64" s="860">
        <f>kg_mt</f>
        <v>1E-3</v>
      </c>
      <c r="L64" s="1024">
        <f>B64*C64*(D64-E64*F64)*G64*H64*I64*J64*K64</f>
        <v>0</v>
      </c>
      <c r="M64" s="914">
        <f>N2O_CO2e</f>
        <v>265</v>
      </c>
      <c r="N64" s="1021">
        <f>IF(AND(wwt_control_q10=FALSE, wwt_control_q2=TRUE, wwt_control_q8=TRUE), L64*M64, 0)</f>
        <v>0</v>
      </c>
    </row>
    <row r="65" spans="1:14">
      <c r="A65" s="284" t="str">
        <f>IF(AND(wwt_control_q10=FALSE, wwt_control_q2=TRUE, wwt_control_q9=TRUE), "Show", "Hide")</f>
        <v>Show</v>
      </c>
      <c r="B65" s="1104" t="s">
        <v>604</v>
      </c>
      <c r="C65" s="1104"/>
      <c r="D65" s="1104"/>
      <c r="E65" s="1104"/>
      <c r="F65" s="1104"/>
      <c r="G65" s="1104"/>
      <c r="H65" s="1104"/>
      <c r="I65" s="1104"/>
      <c r="J65" s="1104"/>
      <c r="K65" s="1104"/>
      <c r="L65" s="1104"/>
      <c r="M65" s="1105"/>
      <c r="N65" s="1104"/>
    </row>
    <row r="66" spans="1:14">
      <c r="A66" s="284" t="str">
        <f>IF(AND(wwt_control_q10=FALSE, wwt_control_q2=TRUE, wwt_control_q9=TRUE), "Show", "Hide")</f>
        <v>Show</v>
      </c>
      <c r="B66" s="908">
        <f>wwt_entry_popNoNit</f>
        <v>0</v>
      </c>
      <c r="C66" s="860">
        <f>wwt_factors_FInd</f>
        <v>1.25</v>
      </c>
      <c r="D66" s="860">
        <f>wwt_factors_NloadTot</f>
        <v>2.5999999999999999E-2</v>
      </c>
      <c r="E66" s="913">
        <f>wwt_factors_NupAnaerobic</f>
        <v>5.0000000000000001E-3</v>
      </c>
      <c r="F66" s="860">
        <f>wwt_factors_BOD5load_def</f>
        <v>0.09</v>
      </c>
      <c r="G66" s="860">
        <f>wwt_factors_EFeff</f>
        <v>5.0000000000000001E-3</v>
      </c>
      <c r="H66" s="860">
        <f>wwt_factors_N2O_N2</f>
        <v>1.5714285714285714</v>
      </c>
      <c r="I66" s="913">
        <f>1-wwt_factors_nonitdenit_def</f>
        <v>1</v>
      </c>
      <c r="J66" s="860">
        <f>perday_peryr</f>
        <v>365.25</v>
      </c>
      <c r="K66" s="860">
        <f>kg_mt</f>
        <v>1E-3</v>
      </c>
      <c r="L66" s="1024">
        <f>B66*C66*(D66-E66*F66)*G66*H66*I66*J66*K66</f>
        <v>0</v>
      </c>
      <c r="M66" s="914">
        <f>N2O_CO2e</f>
        <v>265</v>
      </c>
      <c r="N66" s="1021">
        <f>IF(AND(wwt_control_q10=FALSE, wwt_control_q2=TRUE, wwt_control_q9=TRUE), L66*M66, 0)</f>
        <v>0</v>
      </c>
    </row>
    <row r="67" spans="1:14">
      <c r="A67" s="284" t="str">
        <f>IF(AND(wwt_control_q10=FALSE, wwt_control_q3=TRUE, wwt_control_q8=TRUE), "Show", "Hide")</f>
        <v>Show</v>
      </c>
      <c r="B67" s="1104" t="s">
        <v>605</v>
      </c>
      <c r="C67" s="1104"/>
      <c r="D67" s="1104"/>
      <c r="E67" s="1104"/>
      <c r="F67" s="1104"/>
      <c r="G67" s="1104"/>
      <c r="H67" s="1104"/>
      <c r="I67" s="1104"/>
      <c r="J67" s="1104"/>
      <c r="K67" s="1104"/>
      <c r="L67" s="1104"/>
      <c r="M67" s="1105"/>
      <c r="N67" s="1104"/>
    </row>
    <row r="68" spans="1:14">
      <c r="A68" s="284" t="str">
        <f>IF(AND(wwt_control_q10=FALSE, wwt_control_q3=TRUE, wwt_control_q8=TRUE), "Show", "Hide")</f>
        <v>Show</v>
      </c>
      <c r="B68" s="908">
        <f>wwt_entry_popNit</f>
        <v>0</v>
      </c>
      <c r="C68" s="860">
        <f>wwt_factors_FInd</f>
        <v>1.25</v>
      </c>
      <c r="D68" s="860">
        <f>wwt_factors_NloadTot</f>
        <v>2.5999999999999999E-2</v>
      </c>
      <c r="E68" s="913">
        <f>wwt_factors_NupAerobic</f>
        <v>0.05</v>
      </c>
      <c r="F68" s="860">
        <f>wwt_factors_BOD5load_def</f>
        <v>0.09</v>
      </c>
      <c r="G68" s="860">
        <f>wwt_factors_EFeff</f>
        <v>5.0000000000000001E-3</v>
      </c>
      <c r="H68" s="860">
        <f>wwt_factors_N2O_N2</f>
        <v>1.5714285714285714</v>
      </c>
      <c r="I68" s="913">
        <f>1-wwt_factors_nitdenit_def</f>
        <v>0.30000000000000004</v>
      </c>
      <c r="J68" s="860">
        <f>perday_peryr</f>
        <v>365.25</v>
      </c>
      <c r="K68" s="860">
        <f>kg_mt</f>
        <v>1E-3</v>
      </c>
      <c r="L68" s="1024">
        <f>B68*C68*(D68-E68*F68)*G68*H68*I68*J68*K68</f>
        <v>0</v>
      </c>
      <c r="M68" s="914">
        <f>N2O_CO2e</f>
        <v>265</v>
      </c>
      <c r="N68" s="1021">
        <f>IF(AND(wwt_control_q10=FALSE, wwt_control_q3=TRUE, wwt_control_q8=TRUE), L68*M68, 0)</f>
        <v>0</v>
      </c>
    </row>
    <row r="69" spans="1:14">
      <c r="A69" s="284" t="str">
        <f>IF(AND(wwt_control_q10=FALSE, wwt_control_q3=TRUE, wwt_control_q9=TRUE), "Show", "Hide")</f>
        <v>Show</v>
      </c>
      <c r="B69" s="1104" t="s">
        <v>606</v>
      </c>
      <c r="C69" s="1104"/>
      <c r="D69" s="1104"/>
      <c r="E69" s="1104"/>
      <c r="F69" s="1104"/>
      <c r="G69" s="1104"/>
      <c r="H69" s="1104"/>
      <c r="I69" s="1104"/>
      <c r="J69" s="1104"/>
      <c r="K69" s="1104"/>
      <c r="L69" s="1104"/>
      <c r="M69" s="1105"/>
      <c r="N69" s="1104"/>
    </row>
    <row r="70" spans="1:14">
      <c r="A70" s="284" t="str">
        <f>IF(AND(wwt_control_q10=FALSE, wwt_control_q3=TRUE, wwt_control_q9=TRUE), "Show", "Hide")</f>
        <v>Show</v>
      </c>
      <c r="B70" s="908">
        <f>wwt_entry_popNoNit</f>
        <v>0</v>
      </c>
      <c r="C70" s="860">
        <f>wwt_factors_FInd</f>
        <v>1.25</v>
      </c>
      <c r="D70" s="860">
        <f>wwt_factors_NloadTot</f>
        <v>2.5999999999999999E-2</v>
      </c>
      <c r="E70" s="913">
        <f>wwt_factors_NupAerobic</f>
        <v>0.05</v>
      </c>
      <c r="F70" s="860">
        <f>wwt_factors_BOD5load_def</f>
        <v>0.09</v>
      </c>
      <c r="G70" s="860">
        <f>wwt_factors_EFeff</f>
        <v>5.0000000000000001E-3</v>
      </c>
      <c r="H70" s="860">
        <f>wwt_factors_N2O_N2</f>
        <v>1.5714285714285714</v>
      </c>
      <c r="I70" s="913">
        <f>1-wwt_factors_nonitdenit_def</f>
        <v>1</v>
      </c>
      <c r="J70" s="860">
        <f>perday_peryr</f>
        <v>365.25</v>
      </c>
      <c r="K70" s="860">
        <f>kg_mt</f>
        <v>1E-3</v>
      </c>
      <c r="L70" s="1024">
        <f>B70*C70*(D70-E70*F70)*G70*H70*I70*J70*K70</f>
        <v>0</v>
      </c>
      <c r="M70" s="914">
        <f>N2O_CO2e</f>
        <v>265</v>
      </c>
      <c r="N70" s="1021">
        <f>IF(AND(wwt_control_q10=FALSE, wwt_control_q3=TRUE, wwt_control_q9=TRUE), L70*M70, 0)</f>
        <v>0</v>
      </c>
    </row>
    <row r="71" spans="1:14">
      <c r="A71" s="284" t="str">
        <f>IF(wwt_control_q10=FALSE, "Show", "Hide")</f>
        <v>Show</v>
      </c>
      <c r="B71" s="1106" t="s">
        <v>607</v>
      </c>
      <c r="C71" s="1106"/>
      <c r="D71" s="1106"/>
      <c r="E71" s="1106"/>
      <c r="F71" s="1106"/>
      <c r="G71" s="1106"/>
      <c r="H71" s="1106"/>
      <c r="I71" s="1106"/>
      <c r="J71" s="1106"/>
      <c r="K71" s="1106"/>
      <c r="L71" s="1106"/>
      <c r="M71" s="1107"/>
      <c r="N71" s="1106"/>
    </row>
    <row r="72" spans="1:14" hidden="1">
      <c r="A72" s="284" t="str">
        <f>IF(wwt_control_q9=FALSE, "Show", "Hide")</f>
        <v>Hide</v>
      </c>
    </row>
    <row r="73" spans="1:14" hidden="1">
      <c r="A73" s="284" t="str">
        <f>IF(wwt_control_q9=FALSE, "Show", "Hide")</f>
        <v>Hide</v>
      </c>
    </row>
    <row r="74" spans="1:14">
      <c r="A74" s="284" t="str">
        <f>IF(wwt_control_q7=TRUE, "Show", "Hide")</f>
        <v>Show</v>
      </c>
      <c r="B74" s="1100" t="s">
        <v>608</v>
      </c>
      <c r="C74" s="1100"/>
      <c r="D74" s="1100"/>
      <c r="E74" s="1100"/>
      <c r="F74" s="1100"/>
      <c r="G74" s="1100"/>
      <c r="H74" s="1100"/>
    </row>
    <row r="75" spans="1:14" ht="43.5">
      <c r="A75" s="284" t="str">
        <f>IF(wwt_control_q7=TRUE, "Show", "Hide")</f>
        <v>Show</v>
      </c>
      <c r="B75" s="893" t="s">
        <v>609</v>
      </c>
      <c r="C75" s="893" t="s">
        <v>610</v>
      </c>
      <c r="D75" s="893" t="s">
        <v>611</v>
      </c>
      <c r="E75" s="893" t="s">
        <v>612</v>
      </c>
      <c r="F75" s="911" t="s">
        <v>613</v>
      </c>
      <c r="G75" s="911" t="s">
        <v>614</v>
      </c>
      <c r="H75" s="911" t="s">
        <v>615</v>
      </c>
    </row>
    <row r="76" spans="1:14">
      <c r="A76" s="284" t="str">
        <f>IF(AND(wwt_control_q7=TRUE, wwt_control_q2=TRUE), "Show", "Hide")</f>
        <v>Show</v>
      </c>
      <c r="B76" s="860" t="s">
        <v>616</v>
      </c>
      <c r="C76" s="915">
        <f>wwt_entry_indusNload</f>
        <v>0</v>
      </c>
      <c r="D76" s="860">
        <f>lb_kg</f>
        <v>0.45359237000000002</v>
      </c>
      <c r="E76" s="860">
        <v>2.5999999999999999E-2</v>
      </c>
      <c r="F76" s="860">
        <f>C76*D76/E76</f>
        <v>0</v>
      </c>
      <c r="G76" s="916">
        <f>wwt_entry_popAnaerobic</f>
        <v>0</v>
      </c>
      <c r="H76" s="917">
        <f>F76+G76</f>
        <v>0</v>
      </c>
    </row>
    <row r="77" spans="1:14">
      <c r="A77" s="284" t="str">
        <f>IF(AND(wwt_control_q7=TRUE, wwt_control_q3=TRUE), "Show", "Hide")</f>
        <v>Show</v>
      </c>
      <c r="B77" s="860" t="s">
        <v>617</v>
      </c>
      <c r="C77" s="915">
        <f>wwt_entry_indusNload</f>
        <v>0</v>
      </c>
      <c r="D77" s="860">
        <f>lb_kg</f>
        <v>0.45359237000000002</v>
      </c>
      <c r="E77" s="860">
        <v>2.5999999999999999E-2</v>
      </c>
      <c r="F77" s="860">
        <f>C77*D77/E77</f>
        <v>0</v>
      </c>
      <c r="G77" s="916">
        <f>wwt_entry_popAerobic</f>
        <v>0</v>
      </c>
      <c r="H77" s="917">
        <f>F77+G77</f>
        <v>0</v>
      </c>
    </row>
    <row r="78" spans="1:14">
      <c r="A78" s="284" t="str">
        <f>IF(AND(wwt_control_q7=TRUE, wwt_control_q8=TRUE), "Show", "Hide")</f>
        <v>Show</v>
      </c>
      <c r="B78" s="860" t="s">
        <v>618</v>
      </c>
      <c r="C78" s="915">
        <f>wwt_entry_indusNload</f>
        <v>0</v>
      </c>
      <c r="D78" s="860">
        <f>lb_kg</f>
        <v>0.45359237000000002</v>
      </c>
      <c r="E78" s="860">
        <v>2.5999999999999999E-2</v>
      </c>
      <c r="F78" s="860">
        <f>C78*D78/E78</f>
        <v>0</v>
      </c>
      <c r="G78" s="916">
        <f>wwt_entry_popNit</f>
        <v>0</v>
      </c>
      <c r="H78" s="917">
        <f>F78+G78</f>
        <v>0</v>
      </c>
    </row>
    <row r="79" spans="1:14">
      <c r="A79" s="284" t="str">
        <f>IF(wwt_control_q7=TRUE, "Show", "Hide")</f>
        <v>Show</v>
      </c>
      <c r="B79" s="860" t="s">
        <v>619</v>
      </c>
      <c r="C79" s="915">
        <f>wwt_entry_indusNload</f>
        <v>0</v>
      </c>
      <c r="D79" s="860">
        <f>lb_kg</f>
        <v>0.45359237000000002</v>
      </c>
      <c r="E79" s="860">
        <v>2.5999999999999999E-2</v>
      </c>
      <c r="F79" s="860">
        <f>C79*D79/E79</f>
        <v>0</v>
      </c>
      <c r="G79" s="916">
        <f>wwt_entry_popNoNit</f>
        <v>0</v>
      </c>
      <c r="H79" s="917">
        <f>F79+G79</f>
        <v>0</v>
      </c>
    </row>
    <row r="80" spans="1:14">
      <c r="A80" s="284"/>
    </row>
    <row r="82" spans="1:15">
      <c r="B82" s="1" t="s">
        <v>620</v>
      </c>
    </row>
    <row r="83" spans="1:15">
      <c r="B83" s="475" t="s">
        <v>621</v>
      </c>
      <c r="C83" s="310"/>
    </row>
    <row r="84" spans="1:15">
      <c r="B84" s="397" t="s">
        <v>622</v>
      </c>
      <c r="C84" s="398"/>
    </row>
    <row r="85" spans="1:15" ht="16.5">
      <c r="B85" s="399" t="s">
        <v>623</v>
      </c>
      <c r="C85" s="400"/>
    </row>
    <row r="86" spans="1:15" ht="16.5">
      <c r="B86" s="401" t="s">
        <v>624</v>
      </c>
      <c r="C86" s="402"/>
    </row>
    <row r="87" spans="1:15">
      <c r="B87" s="403" t="s">
        <v>625</v>
      </c>
      <c r="C87" s="404"/>
    </row>
    <row r="90" spans="1:15" ht="65.150000000000006" customHeight="1" thickBot="1">
      <c r="A90" s="1098" t="s">
        <v>1</v>
      </c>
      <c r="B90" s="1073"/>
      <c r="C90" s="1073"/>
      <c r="D90" s="1073"/>
      <c r="E90" s="1073"/>
      <c r="F90" s="1073"/>
      <c r="G90" s="1073"/>
      <c r="H90" s="1073"/>
      <c r="I90" s="1073"/>
      <c r="J90" s="1073"/>
      <c r="K90" s="1073"/>
      <c r="L90" s="1073"/>
      <c r="M90" s="1073"/>
      <c r="N90" s="1073"/>
      <c r="O90" s="1087"/>
    </row>
    <row r="91" spans="1:15">
      <c r="M91" s="73"/>
      <c r="N91" s="73"/>
      <c r="O91" s="73"/>
    </row>
  </sheetData>
  <mergeCells count="21">
    <mergeCell ref="A90:O90"/>
    <mergeCell ref="B21:K21"/>
    <mergeCell ref="B26:L26"/>
    <mergeCell ref="B31:J31"/>
    <mergeCell ref="B36:L36"/>
    <mergeCell ref="B41:J41"/>
    <mergeCell ref="B74:H74"/>
    <mergeCell ref="B46:H46"/>
    <mergeCell ref="B51:H51"/>
    <mergeCell ref="B56:I56"/>
    <mergeCell ref="B61:N61"/>
    <mergeCell ref="B63:N63"/>
    <mergeCell ref="B65:N65"/>
    <mergeCell ref="B67:N67"/>
    <mergeCell ref="B69:N69"/>
    <mergeCell ref="B71:N71"/>
    <mergeCell ref="B12:D12"/>
    <mergeCell ref="B14:C14"/>
    <mergeCell ref="B15:C15"/>
    <mergeCell ref="B16:C16"/>
    <mergeCell ref="B17:C17"/>
  </mergeCell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1F168-D57B-4F36-B38A-F902DE0CDF70}">
  <sheetPr codeName="Sheet28">
    <tabColor theme="7"/>
  </sheetPr>
  <dimension ref="A1:BG24"/>
  <sheetViews>
    <sheetView showGridLines="0" zoomScale="108" zoomScaleNormal="108" workbookViewId="0">
      <selection activeCell="D12" sqref="D12"/>
    </sheetView>
  </sheetViews>
  <sheetFormatPr defaultColWidth="8.81640625" defaultRowHeight="14.5"/>
  <cols>
    <col min="1" max="1" width="8.81640625" style="274"/>
    <col min="2" max="2" width="27.1796875" style="27" customWidth="1"/>
    <col min="3" max="4" width="41.7265625" style="27" customWidth="1"/>
    <col min="5" max="5" width="44.1796875" style="27" bestFit="1" customWidth="1"/>
    <col min="6" max="6" width="42.81640625" style="27" customWidth="1"/>
    <col min="7" max="7" width="44.453125" style="27" bestFit="1" customWidth="1"/>
    <col min="8" max="8" width="32.26953125" style="27" customWidth="1"/>
    <col min="9" max="9" width="8.81640625" style="308"/>
    <col min="10" max="16384" width="8.81640625" style="109"/>
  </cols>
  <sheetData>
    <row r="1" spans="1:8" ht="38.25" customHeight="1" thickBot="1">
      <c r="A1" s="488" t="s">
        <v>626</v>
      </c>
      <c r="B1" s="483"/>
      <c r="C1" s="483"/>
      <c r="D1" s="483"/>
      <c r="E1" s="483"/>
      <c r="F1" s="483"/>
      <c r="G1" s="483"/>
      <c r="H1" s="483"/>
    </row>
    <row r="2" spans="1:8" ht="23.25" customHeight="1">
      <c r="A2" s="273" t="s">
        <v>146</v>
      </c>
    </row>
    <row r="3" spans="1:8" ht="15" customHeight="1"/>
    <row r="4" spans="1:8" ht="126.75" customHeight="1">
      <c r="H4" s="699"/>
    </row>
    <row r="5" spans="1:8" ht="15" customHeight="1">
      <c r="A5" s="700"/>
      <c r="H5" s="699"/>
    </row>
    <row r="6" spans="1:8" ht="17.25" customHeight="1">
      <c r="A6" s="700"/>
      <c r="H6" s="699"/>
    </row>
    <row r="7" spans="1:8" ht="17.25" customHeight="1">
      <c r="A7" s="307"/>
      <c r="H7" s="699"/>
    </row>
    <row r="8" spans="1:8" ht="15.75" customHeight="1">
      <c r="A8" s="701" t="s">
        <v>147</v>
      </c>
      <c r="B8" s="28" t="s">
        <v>627</v>
      </c>
      <c r="C8" s="29"/>
      <c r="D8" s="29"/>
      <c r="E8" s="29"/>
      <c r="F8" s="29"/>
      <c r="G8" s="29"/>
      <c r="H8" s="699"/>
    </row>
    <row r="9" spans="1:8" ht="15.5">
      <c r="A9" s="516"/>
      <c r="B9" s="28" t="s">
        <v>149</v>
      </c>
      <c r="C9" s="30" t="s">
        <v>628</v>
      </c>
      <c r="D9" s="321" t="s">
        <v>151</v>
      </c>
      <c r="E9" s="30" t="s">
        <v>152</v>
      </c>
      <c r="F9" s="5" t="s">
        <v>629</v>
      </c>
      <c r="G9" s="29"/>
      <c r="H9" s="699"/>
    </row>
    <row r="10" spans="1:8">
      <c r="A10" s="516">
        <v>0</v>
      </c>
      <c r="B10" s="850">
        <f>elec_CurrentID</f>
        <v>1</v>
      </c>
      <c r="C10" s="851"/>
      <c r="D10" s="841"/>
      <c r="E10" s="851"/>
      <c r="F10" s="852" t="s">
        <v>630</v>
      </c>
      <c r="G10" s="29"/>
      <c r="H10" s="699"/>
    </row>
    <row r="11" spans="1:8" ht="15.5">
      <c r="A11" s="516"/>
      <c r="D11" s="31"/>
      <c r="E11" s="31"/>
      <c r="F11" s="31"/>
      <c r="G11" s="32"/>
      <c r="H11" s="699"/>
    </row>
    <row r="12" spans="1:8">
      <c r="A12" s="516"/>
      <c r="B12" s="29"/>
      <c r="C12" s="29"/>
      <c r="E12" s="29"/>
      <c r="F12" s="29"/>
      <c r="G12" s="29"/>
      <c r="H12" s="699"/>
    </row>
    <row r="13" spans="1:8" ht="15.5">
      <c r="A13" s="275" t="s">
        <v>349</v>
      </c>
      <c r="B13" s="28" t="str">
        <f>"Enter the activity data for the year "&amp;MyYear</f>
        <v xml:space="preserve">Enter the activity data for the year </v>
      </c>
      <c r="C13" s="29"/>
      <c r="E13" s="29"/>
      <c r="F13" s="29"/>
      <c r="G13" s="29"/>
      <c r="H13" s="699"/>
    </row>
    <row r="14" spans="1:8">
      <c r="A14" s="278"/>
      <c r="B14" s="29"/>
      <c r="C14" s="29"/>
      <c r="D14" s="29"/>
      <c r="E14" s="29"/>
      <c r="F14" s="29"/>
      <c r="G14" s="29"/>
      <c r="H14" s="699"/>
    </row>
    <row r="15" spans="1:8" ht="28" customHeight="1">
      <c r="A15" s="277"/>
      <c r="B15" s="702" t="str">
        <f>IF(elec_entry_contract&lt;&gt;"No","Contractual Instrument Description (Unique ID)","")</f>
        <v/>
      </c>
      <c r="C15" s="30" t="s">
        <v>631</v>
      </c>
      <c r="D15" s="321" t="str">
        <f>IF(elec_entry_contract="No","Electric Utility","")</f>
        <v>Electric Utility</v>
      </c>
      <c r="E15" s="321" t="str">
        <f>IF(elec_entry_contract&lt;&gt;"No","Supplier-Specific CO2 Emissions Rate (lb/MWh)","")</f>
        <v/>
      </c>
      <c r="F15" s="321" t="str">
        <f>IF(elec_entry_contract&lt;&gt;"No","Supplier-Specific CH4 Emissions Rate (lb/MWh)","")</f>
        <v/>
      </c>
      <c r="G15" s="321" t="str">
        <f>IF(elec_entry_contract&lt;&gt;"No","Supplier-Specific N2O Emissions Rate (lb/MWh)","")</f>
        <v/>
      </c>
      <c r="H15" s="699"/>
    </row>
    <row r="16" spans="1:8" ht="17.25" customHeight="1">
      <c r="A16" s="278"/>
      <c r="B16" s="852"/>
      <c r="C16" s="852"/>
      <c r="D16" s="851" t="s">
        <v>632</v>
      </c>
      <c r="E16" s="852"/>
      <c r="F16" s="852"/>
      <c r="G16" s="852"/>
      <c r="H16" s="699"/>
    </row>
    <row r="17" spans="1:59">
      <c r="B17" s="703" t="str">
        <f>IF(AND(IFERROR(VLOOKUP(elec_entry_ID,elec_data,7,FALSE)&lt;&gt;elec_entry_contract_descript,TRUE),elec_entry_contract_descript&lt;&gt;"",ISNUMBER(MATCH(elec_entry_contract_descript,contractual_instrument_entries,0))),"WARNING: This description has already been used for another contractual instrument. Please provide a unique description.","")</f>
        <v/>
      </c>
      <c r="C17" s="29"/>
      <c r="H17" s="699"/>
    </row>
    <row r="18" spans="1:59" s="27" customFormat="1">
      <c r="A18" s="274"/>
      <c r="B18" s="704"/>
      <c r="C18" s="29"/>
      <c r="D18" s="321"/>
      <c r="E18" s="321"/>
      <c r="F18" s="321"/>
      <c r="G18" s="30"/>
      <c r="H18" s="699"/>
      <c r="I18" s="308"/>
      <c r="J18" s="109"/>
      <c r="K18" s="109"/>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row>
    <row r="19" spans="1:59" s="27" customFormat="1">
      <c r="A19" s="274"/>
      <c r="B19" s="29"/>
      <c r="C19" s="29"/>
      <c r="D19" s="29"/>
      <c r="E19" s="29"/>
      <c r="F19" s="29"/>
      <c r="G19" s="29"/>
      <c r="H19" s="699"/>
      <c r="I19" s="308"/>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row>
    <row r="20" spans="1:59">
      <c r="H20" s="699"/>
    </row>
    <row r="21" spans="1:59">
      <c r="H21" s="699" t="s">
        <v>155</v>
      </c>
    </row>
    <row r="22" spans="1:59">
      <c r="H22" s="699"/>
    </row>
    <row r="23" spans="1:59" ht="15" thickBot="1"/>
    <row r="24" spans="1:59" ht="65.150000000000006" customHeight="1" thickBot="1">
      <c r="A24" s="1042" t="s">
        <v>1</v>
      </c>
      <c r="B24" s="1043"/>
      <c r="C24" s="1043"/>
      <c r="D24" s="1043"/>
      <c r="E24" s="1043"/>
      <c r="F24" s="1043"/>
      <c r="G24" s="1043"/>
      <c r="H24" s="1044"/>
      <c r="I24" s="109"/>
    </row>
  </sheetData>
  <mergeCells count="1">
    <mergeCell ref="A24:H24"/>
  </mergeCells>
  <conditionalFormatting sqref="F16">
    <cfRule type="expression" dxfId="7" priority="1">
      <formula>$F$10="No"</formula>
    </cfRule>
  </conditionalFormatting>
  <conditionalFormatting sqref="D16">
    <cfRule type="expression" dxfId="6" priority="2">
      <formula>$F$10&lt;&gt;"No"</formula>
    </cfRule>
  </conditionalFormatting>
  <conditionalFormatting sqref="E16">
    <cfRule type="expression" dxfId="5" priority="3">
      <formula>$F$10="No"</formula>
    </cfRule>
  </conditionalFormatting>
  <conditionalFormatting sqref="G16">
    <cfRule type="expression" dxfId="4" priority="4">
      <formula>$F$10="No"</formula>
    </cfRule>
  </conditionalFormatting>
  <conditionalFormatting sqref="B16">
    <cfRule type="expression" dxfId="3" priority="5">
      <formula>$F$10="No"</formula>
    </cfRule>
  </conditionalFormatting>
  <dataValidations count="9">
    <dataValidation allowBlank="1" showInputMessage="1" showErrorMessage="1" prompt="Please add a unique description for each contractual agreement that you purchase electricity from (i.e., REC, PPA, tag, certificate, etc.). Each description must be distinct regardless of sector. Note, do not include utility-specific emission factors." sqref="B16" xr:uid="{2BA50C4E-A272-4242-9E32-F8A9CF9657B1}"/>
    <dataValidation allowBlank="1" showInputMessage="1" showErrorMessage="1" prompt="Please enter the emissions rate provided by the contractual agreement issuer. If you do not know the emissions rate assume the default rate of zero. " sqref="E16:G16" xr:uid="{ACD10D5E-CFD7-46BA-804C-DFA0DF880B6B}"/>
    <dataValidation type="list" allowBlank="1" showInputMessage="1" showErrorMessage="1" prompt="If you have chosen to enter data at the facility level, please specify the type of facility from the dropdown menu. This information will be used to more accurately determine the emissions reduction impacts of various reduction measures." sqref="D10" xr:uid="{25AE4186-606E-4F2A-BFB5-77A937089A02}">
      <formula1>bldg_type_list</formula1>
    </dataValidation>
    <dataValidation allowBlank="1" showInputMessage="1" showErrorMessage="1" prompt="Please use this field to describe or name the unit whose electricity data you are entering. This field is for the user's reference only." sqref="C10" xr:uid="{E68B08AE-F2CB-4017-8BC6-D07B99BB60B2}"/>
    <dataValidation type="list" allowBlank="1" showInputMessage="1" showErrorMessage="1" prompt="Please select the sector to which this unit belongs from the dropdown menu. Sectors were specified on the control sheet." sqref="E10" xr:uid="{3D225A3E-61E7-4156-921F-071978B0A02C}">
      <formula1>DepartmentList</formula1>
    </dataValidation>
    <dataValidation allowBlank="1" showInputMessage="1" showErrorMessage="1" prompt="Please enter the electricity consumption of this unit for the inventory year (in kWh)." sqref="C16" xr:uid="{7588F346-9CF3-43B9-8E1F-793E18C46E7F}"/>
    <dataValidation type="list" allowBlank="1" showInputMessage="1" showErrorMessage="1" prompt="Please select the electric utility that serves this unit. If you are unsure of the specific electric utility, select your eGRID Subregion. If no utilities appear, please return to the control sheet and select your electricity provider(s)." sqref="D16" xr:uid="{B23FE137-168A-4C39-A5E9-84700D9FB6F4}">
      <formula1>utilities_list</formula1>
    </dataValidation>
    <dataValidation type="list" allowBlank="1" showInputMessage="1" showErrorMessage="1" prompt="If you purchased electricity from the grid and/or from a specific utility, please select &quot;No&quot;. If you receive bundled green energy through a contractual instrument (i.e., PPA, etc.) or purchased offsets (i.e., REC, tag, etc.) please select &quot;Yes&quot;." sqref="F10" xr:uid="{390B4537-51B0-41E9-8C90-B1DCAE67ABB6}">
      <formula1>"Yes,No"</formula1>
    </dataValidation>
    <dataValidation type="list" allowBlank="1" showInputMessage="1" showErrorMessage="1" prompt="Please enter the electricity consumption of this unit for the inventory year (in kWh)." sqref="D16" xr:uid="{3C30DC96-E49B-45E5-85F0-4A43577FE8C4}">
      <formula1>"utilities_list"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6805" r:id="rId4" name="ck_comp_ElectricityEntry">
          <controlPr locked="0" autoLine="0" autoPict="0" linkedCell="comp_ElectricityEntry" r:id="rId5">
            <anchor moveWithCells="1">
              <from>
                <xdr:col>6</xdr:col>
                <xdr:colOff>1485900</xdr:colOff>
                <xdr:row>0</xdr:row>
                <xdr:rowOff>107950</xdr:rowOff>
              </from>
              <to>
                <xdr:col>7</xdr:col>
                <xdr:colOff>971550</xdr:colOff>
                <xdr:row>0</xdr:row>
                <xdr:rowOff>412750</xdr:rowOff>
              </to>
            </anchor>
          </controlPr>
        </control>
      </mc:Choice>
      <mc:Fallback>
        <control shapeId="76805" r:id="rId4" name="ck_comp_ElectricityEntry"/>
      </mc:Fallback>
    </mc:AlternateContent>
    <mc:AlternateContent xmlns:mc="http://schemas.openxmlformats.org/markup-compatibility/2006">
      <mc:Choice Requires="x14">
        <control shapeId="76801" r:id="rId6" name="Button 1">
          <controlPr defaultSize="0" print="0" autoFill="0" autoPict="0" macro="[0]!Electricity.DeleteRecord">
            <anchor moveWithCells="1" sizeWithCells="1">
              <from>
                <xdr:col>2</xdr:col>
                <xdr:colOff>2794000</xdr:colOff>
                <xdr:row>19</xdr:row>
                <xdr:rowOff>146050</xdr:rowOff>
              </from>
              <to>
                <xdr:col>3</xdr:col>
                <xdr:colOff>927100</xdr:colOff>
                <xdr:row>21</xdr:row>
                <xdr:rowOff>50800</xdr:rowOff>
              </to>
            </anchor>
          </controlPr>
        </control>
      </mc:Choice>
    </mc:AlternateContent>
    <mc:AlternateContent xmlns:mc="http://schemas.openxmlformats.org/markup-compatibility/2006">
      <mc:Choice Requires="x14">
        <control shapeId="76802" r:id="rId7" name="Button 2">
          <controlPr defaultSize="0" print="0" autoFill="0" autoPict="0" macro="[0]!Electricity.ResetForm">
            <anchor moveWithCells="1" sizeWithCells="1">
              <from>
                <xdr:col>3</xdr:col>
                <xdr:colOff>1403350</xdr:colOff>
                <xdr:row>19</xdr:row>
                <xdr:rowOff>146050</xdr:rowOff>
              </from>
              <to>
                <xdr:col>3</xdr:col>
                <xdr:colOff>2647950</xdr:colOff>
                <xdr:row>21</xdr:row>
                <xdr:rowOff>57150</xdr:rowOff>
              </to>
            </anchor>
          </controlPr>
        </control>
      </mc:Choice>
    </mc:AlternateContent>
    <mc:AlternateContent xmlns:mc="http://schemas.openxmlformats.org/markup-compatibility/2006">
      <mc:Choice Requires="x14">
        <control shapeId="76803" r:id="rId8" name="Button 3">
          <controlPr defaultSize="0" print="0" autoFill="0" autoPict="0" macro="[0]!Electricity.AddRecord">
            <anchor moveWithCells="1" sizeWithCells="1">
              <from>
                <xdr:col>1</xdr:col>
                <xdr:colOff>1060450</xdr:colOff>
                <xdr:row>19</xdr:row>
                <xdr:rowOff>146050</xdr:rowOff>
              </from>
              <to>
                <xdr:col>2</xdr:col>
                <xdr:colOff>717550</xdr:colOff>
                <xdr:row>21</xdr:row>
                <xdr:rowOff>50800</xdr:rowOff>
              </to>
            </anchor>
          </controlPr>
        </control>
      </mc:Choice>
    </mc:AlternateContent>
    <mc:AlternateContent xmlns:mc="http://schemas.openxmlformats.org/markup-compatibility/2006">
      <mc:Choice Requires="x14">
        <control shapeId="76804" r:id="rId9" name="Button 4">
          <controlPr defaultSize="0" print="0" autoFill="0" autoPict="0" macro="[0]!Electricity.EditRecord">
            <anchor moveWithCells="1" sizeWithCells="1">
              <from>
                <xdr:col>2</xdr:col>
                <xdr:colOff>1060450</xdr:colOff>
                <xdr:row>19</xdr:row>
                <xdr:rowOff>146050</xdr:rowOff>
              </from>
              <to>
                <xdr:col>2</xdr:col>
                <xdr:colOff>2374900</xdr:colOff>
                <xdr:row>21</xdr:row>
                <xdr:rowOff>50800</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tabColor theme="7"/>
  </sheetPr>
  <dimension ref="A1:L9999"/>
  <sheetViews>
    <sheetView showGridLines="0" workbookViewId="0">
      <selection activeCell="A9" sqref="A9:XFD9"/>
    </sheetView>
  </sheetViews>
  <sheetFormatPr defaultColWidth="8.81640625" defaultRowHeight="14.5"/>
  <cols>
    <col min="1" max="1" width="8.81640625" style="586"/>
    <col min="2" max="2" width="37.1796875" style="576" customWidth="1"/>
    <col min="3" max="3" width="21.7265625" style="576" customWidth="1"/>
    <col min="4" max="4" width="24.81640625" style="576" bestFit="1" customWidth="1"/>
    <col min="5" max="5" width="26.1796875" style="576" bestFit="1" customWidth="1"/>
    <col min="6" max="6" width="13.54296875" style="576" customWidth="1"/>
    <col min="7" max="7" width="22.1796875" style="576" customWidth="1"/>
    <col min="8" max="10" width="19.81640625" style="576" customWidth="1"/>
    <col min="11" max="11" width="8.81640625" style="576"/>
    <col min="12" max="12" width="8.81640625" style="584"/>
    <col min="13" max="16384" width="8.81640625" style="585"/>
  </cols>
  <sheetData>
    <row r="1" spans="1:12" s="109" customFormat="1" ht="38.25" customHeight="1" thickBot="1">
      <c r="A1" s="488" t="s">
        <v>633</v>
      </c>
      <c r="B1" s="483"/>
      <c r="C1" s="483"/>
      <c r="D1" s="483"/>
      <c r="E1" s="483"/>
      <c r="F1" s="483"/>
      <c r="G1" s="483"/>
      <c r="H1" s="483"/>
      <c r="I1" s="483"/>
      <c r="J1" s="483"/>
      <c r="K1" s="483"/>
      <c r="L1" s="308"/>
    </row>
    <row r="2" spans="1:12" ht="20.25" customHeight="1">
      <c r="A2" s="265"/>
      <c r="B2"/>
      <c r="C2"/>
      <c r="D2"/>
      <c r="E2"/>
      <c r="F2"/>
      <c r="G2"/>
      <c r="H2"/>
      <c r="I2"/>
      <c r="J2"/>
      <c r="K2"/>
    </row>
    <row r="3" spans="1:12" ht="45" customHeight="1">
      <c r="A3" s="265"/>
      <c r="B3"/>
      <c r="C3"/>
      <c r="D3"/>
      <c r="E3"/>
      <c r="F3"/>
      <c r="G3"/>
      <c r="H3"/>
      <c r="I3"/>
      <c r="J3"/>
      <c r="K3"/>
    </row>
    <row r="4" spans="1:12">
      <c r="A4" s="265"/>
      <c r="B4"/>
      <c r="C4"/>
      <c r="D4"/>
      <c r="E4"/>
      <c r="F4"/>
      <c r="G4"/>
      <c r="H4"/>
      <c r="I4"/>
      <c r="J4"/>
      <c r="K4"/>
    </row>
    <row r="5" spans="1:12" hidden="1">
      <c r="A5" s="798" t="s">
        <v>231</v>
      </c>
      <c r="B5" s="11"/>
      <c r="C5" s="11"/>
      <c r="D5" s="11"/>
      <c r="E5" s="11"/>
      <c r="F5" s="11"/>
      <c r="G5" s="11"/>
      <c r="H5" s="11"/>
      <c r="I5" s="11"/>
      <c r="J5" s="11"/>
      <c r="K5" s="11"/>
    </row>
    <row r="6" spans="1:12" ht="30" customHeight="1">
      <c r="A6" s="799" t="s">
        <v>149</v>
      </c>
      <c r="B6" s="1" t="s">
        <v>150</v>
      </c>
      <c r="C6" s="5" t="s">
        <v>152</v>
      </c>
      <c r="D6" s="1" t="s">
        <v>634</v>
      </c>
      <c r="E6" s="5" t="s">
        <v>635</v>
      </c>
      <c r="F6" s="5" t="s">
        <v>186</v>
      </c>
      <c r="G6" s="702" t="s">
        <v>636</v>
      </c>
      <c r="H6" s="800" t="s">
        <v>637</v>
      </c>
      <c r="I6" s="800" t="s">
        <v>638</v>
      </c>
      <c r="J6" s="800" t="s">
        <v>639</v>
      </c>
      <c r="K6" s="801" t="s">
        <v>640</v>
      </c>
    </row>
    <row r="7" spans="1:12" ht="19.5" hidden="1" customHeight="1">
      <c r="A7" s="590">
        <f>MAX(A9:A65513)+1</f>
        <v>1</v>
      </c>
      <c r="B7" s="576">
        <f>elec_entry_description</f>
        <v>0</v>
      </c>
      <c r="C7" s="591">
        <f>elec_entry_dept</f>
        <v>0</v>
      </c>
      <c r="D7" s="591" t="str">
        <f>IF(elec_entry_contract="Yes","N/A",elec_entry_utility)</f>
        <v>Select Electric Utility...</v>
      </c>
      <c r="E7" s="591">
        <f>elec_entry_consumption</f>
        <v>0</v>
      </c>
      <c r="F7" s="591">
        <f>elec_entry_bldgtype</f>
        <v>0</v>
      </c>
      <c r="G7" s="591">
        <f>elec_entry_contract_descript</f>
        <v>0</v>
      </c>
      <c r="H7" s="591">
        <f>elec_entry_CO2_ER</f>
        <v>0</v>
      </c>
      <c r="I7" s="591">
        <f>elec_entry_CH4_ER</f>
        <v>0</v>
      </c>
      <c r="J7" s="591">
        <f>elec_entry_N2O_ER</f>
        <v>0</v>
      </c>
      <c r="K7" s="705" t="str">
        <f>elec_entry_contract</f>
        <v>No</v>
      </c>
    </row>
    <row r="8" spans="1:12">
      <c r="A8" s="797" t="s">
        <v>233</v>
      </c>
      <c r="B8" s="647"/>
      <c r="C8" s="647"/>
      <c r="D8" s="647"/>
      <c r="E8" s="647"/>
      <c r="F8" s="647"/>
      <c r="G8" s="647"/>
      <c r="H8" s="647"/>
      <c r="I8" s="647"/>
      <c r="J8" s="647"/>
      <c r="K8" s="647"/>
    </row>
    <row r="9" spans="1:12" ht="19.5" customHeight="1">
      <c r="A9" s="590"/>
      <c r="C9" s="591"/>
      <c r="D9" s="591"/>
      <c r="E9" s="591"/>
      <c r="F9" s="591"/>
      <c r="G9" s="591"/>
      <c r="H9" s="591"/>
      <c r="I9" s="591"/>
      <c r="J9" s="591"/>
      <c r="K9" s="705"/>
    </row>
    <row r="10" spans="1:12" ht="19.5" customHeight="1">
      <c r="A10" s="576"/>
    </row>
    <row r="11" spans="1:12" ht="19.5" customHeight="1">
      <c r="A11" s="576"/>
    </row>
    <row r="12" spans="1:12" ht="19.5" customHeight="1">
      <c r="A12" s="576"/>
    </row>
    <row r="13" spans="1:12" ht="19.5" customHeight="1">
      <c r="A13" s="576"/>
    </row>
    <row r="14" spans="1:12" ht="19.5" customHeight="1">
      <c r="A14" s="576"/>
    </row>
    <row r="15" spans="1:12">
      <c r="A15" s="576"/>
    </row>
    <row r="16" spans="1:12">
      <c r="A16" s="576"/>
    </row>
    <row r="17" spans="1:1">
      <c r="A17" s="576"/>
    </row>
    <row r="18" spans="1:1">
      <c r="A18" s="576"/>
    </row>
    <row r="19" spans="1:1">
      <c r="A19" s="576"/>
    </row>
    <row r="20" spans="1:1">
      <c r="A20" s="576"/>
    </row>
    <row r="21" spans="1:1">
      <c r="A21" s="576"/>
    </row>
    <row r="22" spans="1:1">
      <c r="A22" s="576"/>
    </row>
    <row r="23" spans="1:1">
      <c r="A23" s="576"/>
    </row>
    <row r="24" spans="1:1">
      <c r="A24" s="576"/>
    </row>
    <row r="25" spans="1:1">
      <c r="A25" s="576"/>
    </row>
    <row r="26" spans="1:1">
      <c r="A26" s="576"/>
    </row>
    <row r="27" spans="1:1">
      <c r="A27" s="576"/>
    </row>
    <row r="28" spans="1:1">
      <c r="A28" s="576"/>
    </row>
    <row r="29" spans="1:1">
      <c r="A29" s="576"/>
    </row>
    <row r="30" spans="1:1">
      <c r="A30" s="576"/>
    </row>
    <row r="31" spans="1:1">
      <c r="A31" s="576"/>
    </row>
    <row r="32" spans="1:1">
      <c r="A32" s="576"/>
    </row>
    <row r="33" spans="1:1">
      <c r="A33" s="576"/>
    </row>
    <row r="34" spans="1:1">
      <c r="A34" s="576"/>
    </row>
    <row r="35" spans="1:1">
      <c r="A35" s="576"/>
    </row>
    <row r="36" spans="1:1">
      <c r="A36" s="576"/>
    </row>
    <row r="37" spans="1:1">
      <c r="A37" s="576"/>
    </row>
    <row r="38" spans="1:1">
      <c r="A38" s="576"/>
    </row>
    <row r="39" spans="1:1">
      <c r="A39" s="576"/>
    </row>
    <row r="40" spans="1:1">
      <c r="A40" s="576"/>
    </row>
    <row r="41" spans="1:1">
      <c r="A41" s="576"/>
    </row>
    <row r="42" spans="1:1">
      <c r="A42" s="576"/>
    </row>
    <row r="43" spans="1:1">
      <c r="A43" s="576"/>
    </row>
    <row r="44" spans="1:1">
      <c r="A44" s="576"/>
    </row>
    <row r="45" spans="1:1">
      <c r="A45" s="576"/>
    </row>
    <row r="46" spans="1:1">
      <c r="A46" s="576"/>
    </row>
    <row r="47" spans="1:1">
      <c r="A47" s="576"/>
    </row>
    <row r="48" spans="1:1">
      <c r="A48" s="576"/>
    </row>
    <row r="49" spans="1:1">
      <c r="A49" s="576"/>
    </row>
    <row r="50" spans="1:1">
      <c r="A50" s="576"/>
    </row>
    <row r="51" spans="1:1">
      <c r="A51" s="576"/>
    </row>
    <row r="52" spans="1:1">
      <c r="A52" s="576"/>
    </row>
    <row r="53" spans="1:1">
      <c r="A53" s="576"/>
    </row>
    <row r="54" spans="1:1">
      <c r="A54" s="576"/>
    </row>
    <row r="55" spans="1:1">
      <c r="A55" s="576"/>
    </row>
    <row r="56" spans="1:1">
      <c r="A56" s="576"/>
    </row>
    <row r="57" spans="1:1">
      <c r="A57" s="576"/>
    </row>
    <row r="58" spans="1:1">
      <c r="A58" s="576"/>
    </row>
    <row r="59" spans="1:1">
      <c r="A59" s="576"/>
    </row>
    <row r="60" spans="1:1">
      <c r="A60" s="576"/>
    </row>
    <row r="61" spans="1:1">
      <c r="A61" s="576"/>
    </row>
    <row r="62" spans="1:1">
      <c r="A62" s="576"/>
    </row>
    <row r="63" spans="1:1">
      <c r="A63" s="576"/>
    </row>
    <row r="64" spans="1:1">
      <c r="A64" s="576"/>
    </row>
    <row r="65" spans="1:1">
      <c r="A65" s="576"/>
    </row>
    <row r="66" spans="1:1">
      <c r="A66" s="576"/>
    </row>
    <row r="67" spans="1:1">
      <c r="A67" s="576"/>
    </row>
    <row r="68" spans="1:1">
      <c r="A68" s="576"/>
    </row>
    <row r="69" spans="1:1">
      <c r="A69" s="576"/>
    </row>
    <row r="70" spans="1:1">
      <c r="A70" s="576"/>
    </row>
    <row r="71" spans="1:1">
      <c r="A71" s="576"/>
    </row>
    <row r="72" spans="1:1">
      <c r="A72" s="576"/>
    </row>
    <row r="73" spans="1:1">
      <c r="A73" s="576"/>
    </row>
    <row r="74" spans="1:1">
      <c r="A74" s="576"/>
    </row>
    <row r="75" spans="1:1">
      <c r="A75" s="576"/>
    </row>
    <row r="76" spans="1:1">
      <c r="A76" s="576"/>
    </row>
    <row r="77" spans="1:1">
      <c r="A77" s="576"/>
    </row>
    <row r="78" spans="1:1">
      <c r="A78" s="576"/>
    </row>
    <row r="79" spans="1:1">
      <c r="A79" s="576"/>
    </row>
    <row r="80" spans="1:1">
      <c r="A80" s="576"/>
    </row>
    <row r="81" spans="1:1">
      <c r="A81" s="576"/>
    </row>
    <row r="82" spans="1:1">
      <c r="A82" s="576"/>
    </row>
    <row r="83" spans="1:1">
      <c r="A83" s="576"/>
    </row>
    <row r="84" spans="1:1">
      <c r="A84" s="576"/>
    </row>
    <row r="85" spans="1:1">
      <c r="A85" s="576"/>
    </row>
    <row r="86" spans="1:1">
      <c r="A86" s="576"/>
    </row>
    <row r="87" spans="1:1">
      <c r="A87" s="576"/>
    </row>
    <row r="88" spans="1:1">
      <c r="A88" s="576"/>
    </row>
    <row r="89" spans="1:1">
      <c r="A89" s="576"/>
    </row>
    <row r="90" spans="1:1">
      <c r="A90" s="576"/>
    </row>
    <row r="91" spans="1:1">
      <c r="A91" s="576"/>
    </row>
    <row r="92" spans="1:1">
      <c r="A92" s="576"/>
    </row>
    <row r="93" spans="1:1">
      <c r="A93" s="576"/>
    </row>
    <row r="94" spans="1:1">
      <c r="A94" s="576"/>
    </row>
    <row r="95" spans="1:1">
      <c r="A95" s="576"/>
    </row>
    <row r="96" spans="1:1">
      <c r="A96" s="576"/>
    </row>
    <row r="97" spans="1:1">
      <c r="A97" s="576"/>
    </row>
    <row r="98" spans="1:1">
      <c r="A98" s="576"/>
    </row>
    <row r="99" spans="1:1">
      <c r="A99" s="576"/>
    </row>
    <row r="100" spans="1:1">
      <c r="A100" s="576"/>
    </row>
    <row r="101" spans="1:1">
      <c r="A101" s="576"/>
    </row>
    <row r="102" spans="1:1">
      <c r="A102" s="576"/>
    </row>
    <row r="103" spans="1:1">
      <c r="A103" s="576"/>
    </row>
    <row r="104" spans="1:1">
      <c r="A104" s="576"/>
    </row>
    <row r="105" spans="1:1">
      <c r="A105" s="576"/>
    </row>
    <row r="106" spans="1:1">
      <c r="A106" s="576"/>
    </row>
    <row r="107" spans="1:1">
      <c r="A107" s="576"/>
    </row>
    <row r="108" spans="1:1">
      <c r="A108" s="576"/>
    </row>
    <row r="109" spans="1:1">
      <c r="A109" s="576"/>
    </row>
    <row r="110" spans="1:1">
      <c r="A110" s="576"/>
    </row>
    <row r="111" spans="1:1">
      <c r="A111" s="576"/>
    </row>
    <row r="112" spans="1:1">
      <c r="A112" s="576"/>
    </row>
    <row r="113" spans="1:1">
      <c r="A113" s="576"/>
    </row>
    <row r="114" spans="1:1">
      <c r="A114" s="576"/>
    </row>
    <row r="115" spans="1:1">
      <c r="A115" s="576"/>
    </row>
    <row r="116" spans="1:1">
      <c r="A116" s="576"/>
    </row>
    <row r="117" spans="1:1">
      <c r="A117" s="576"/>
    </row>
    <row r="118" spans="1:1">
      <c r="A118" s="576"/>
    </row>
    <row r="119" spans="1:1">
      <c r="A119" s="576"/>
    </row>
    <row r="120" spans="1:1">
      <c r="A120" s="576"/>
    </row>
    <row r="121" spans="1:1">
      <c r="A121" s="576"/>
    </row>
    <row r="122" spans="1:1">
      <c r="A122" s="576"/>
    </row>
    <row r="123" spans="1:1">
      <c r="A123" s="576"/>
    </row>
    <row r="124" spans="1:1">
      <c r="A124" s="576"/>
    </row>
    <row r="125" spans="1:1">
      <c r="A125" s="576"/>
    </row>
    <row r="126" spans="1:1">
      <c r="A126" s="576"/>
    </row>
    <row r="127" spans="1:1">
      <c r="A127" s="576"/>
    </row>
    <row r="128" spans="1:1">
      <c r="A128" s="576"/>
    </row>
    <row r="129" spans="1:1">
      <c r="A129" s="576"/>
    </row>
    <row r="130" spans="1:1">
      <c r="A130" s="576"/>
    </row>
    <row r="131" spans="1:1">
      <c r="A131" s="576"/>
    </row>
    <row r="132" spans="1:1">
      <c r="A132" s="576"/>
    </row>
    <row r="133" spans="1:1">
      <c r="A133" s="576"/>
    </row>
    <row r="134" spans="1:1">
      <c r="A134" s="576"/>
    </row>
    <row r="135" spans="1:1">
      <c r="A135" s="576"/>
    </row>
    <row r="136" spans="1:1">
      <c r="A136" s="576"/>
    </row>
    <row r="137" spans="1:1">
      <c r="A137" s="576"/>
    </row>
    <row r="138" spans="1:1">
      <c r="A138" s="576"/>
    </row>
    <row r="139" spans="1:1">
      <c r="A139" s="576"/>
    </row>
    <row r="140" spans="1:1">
      <c r="A140" s="576"/>
    </row>
    <row r="141" spans="1:1">
      <c r="A141" s="576"/>
    </row>
    <row r="142" spans="1:1">
      <c r="A142" s="576"/>
    </row>
    <row r="143" spans="1:1">
      <c r="A143" s="576"/>
    </row>
    <row r="144" spans="1:1">
      <c r="A144" s="576"/>
    </row>
    <row r="145" spans="1:1">
      <c r="A145" s="576"/>
    </row>
    <row r="146" spans="1:1">
      <c r="A146" s="576"/>
    </row>
    <row r="147" spans="1:1">
      <c r="A147" s="576"/>
    </row>
    <row r="148" spans="1:1">
      <c r="A148" s="576"/>
    </row>
    <row r="149" spans="1:1">
      <c r="A149" s="576"/>
    </row>
    <row r="150" spans="1:1">
      <c r="A150" s="576"/>
    </row>
    <row r="151" spans="1:1">
      <c r="A151" s="576"/>
    </row>
    <row r="152" spans="1:1">
      <c r="A152" s="576"/>
    </row>
    <row r="153" spans="1:1">
      <c r="A153" s="576"/>
    </row>
    <row r="154" spans="1:1">
      <c r="A154" s="576"/>
    </row>
    <row r="155" spans="1:1">
      <c r="A155" s="576"/>
    </row>
    <row r="156" spans="1:1">
      <c r="A156" s="576"/>
    </row>
    <row r="157" spans="1:1">
      <c r="A157" s="576"/>
    </row>
    <row r="158" spans="1:1">
      <c r="A158" s="576"/>
    </row>
    <row r="159" spans="1:1">
      <c r="A159" s="576"/>
    </row>
    <row r="160" spans="1:1">
      <c r="A160" s="576"/>
    </row>
    <row r="161" spans="1:1">
      <c r="A161" s="576"/>
    </row>
    <row r="162" spans="1:1">
      <c r="A162" s="576"/>
    </row>
    <row r="163" spans="1:1">
      <c r="A163" s="576"/>
    </row>
    <row r="164" spans="1:1">
      <c r="A164" s="576"/>
    </row>
    <row r="165" spans="1:1">
      <c r="A165" s="576"/>
    </row>
    <row r="166" spans="1:1">
      <c r="A166" s="576"/>
    </row>
    <row r="167" spans="1:1">
      <c r="A167" s="576"/>
    </row>
    <row r="168" spans="1:1">
      <c r="A168" s="576"/>
    </row>
    <row r="169" spans="1:1">
      <c r="A169" s="576"/>
    </row>
    <row r="170" spans="1:1">
      <c r="A170" s="576"/>
    </row>
    <row r="171" spans="1:1">
      <c r="A171" s="576"/>
    </row>
    <row r="172" spans="1:1">
      <c r="A172" s="576"/>
    </row>
    <row r="173" spans="1:1">
      <c r="A173" s="576"/>
    </row>
    <row r="174" spans="1:1">
      <c r="A174" s="576"/>
    </row>
    <row r="175" spans="1:1">
      <c r="A175" s="576"/>
    </row>
    <row r="176" spans="1:1">
      <c r="A176" s="576"/>
    </row>
    <row r="177" spans="1:1">
      <c r="A177" s="576"/>
    </row>
    <row r="178" spans="1:1">
      <c r="A178" s="576"/>
    </row>
    <row r="179" spans="1:1">
      <c r="A179" s="576"/>
    </row>
    <row r="180" spans="1:1">
      <c r="A180" s="576"/>
    </row>
    <row r="181" spans="1:1">
      <c r="A181" s="576"/>
    </row>
    <row r="182" spans="1:1">
      <c r="A182" s="576"/>
    </row>
    <row r="183" spans="1:1">
      <c r="A183" s="576"/>
    </row>
    <row r="184" spans="1:1">
      <c r="A184" s="576"/>
    </row>
    <row r="185" spans="1:1">
      <c r="A185" s="576"/>
    </row>
    <row r="186" spans="1:1">
      <c r="A186" s="576"/>
    </row>
    <row r="187" spans="1:1">
      <c r="A187" s="576"/>
    </row>
    <row r="188" spans="1:1">
      <c r="A188" s="576"/>
    </row>
    <row r="189" spans="1:1">
      <c r="A189" s="576"/>
    </row>
    <row r="190" spans="1:1">
      <c r="A190" s="576"/>
    </row>
    <row r="191" spans="1:1">
      <c r="A191" s="576"/>
    </row>
    <row r="192" spans="1:1">
      <c r="A192" s="576"/>
    </row>
    <row r="193" spans="1:1">
      <c r="A193" s="576"/>
    </row>
    <row r="194" spans="1:1">
      <c r="A194" s="576"/>
    </row>
    <row r="195" spans="1:1">
      <c r="A195" s="576"/>
    </row>
    <row r="196" spans="1:1">
      <c r="A196" s="576"/>
    </row>
    <row r="197" spans="1:1">
      <c r="A197" s="576"/>
    </row>
    <row r="198" spans="1:1">
      <c r="A198" s="576"/>
    </row>
    <row r="199" spans="1:1">
      <c r="A199" s="576"/>
    </row>
    <row r="200" spans="1:1">
      <c r="A200" s="576"/>
    </row>
    <row r="201" spans="1:1">
      <c r="A201" s="576"/>
    </row>
    <row r="202" spans="1:1">
      <c r="A202" s="576"/>
    </row>
    <row r="203" spans="1:1">
      <c r="A203" s="576"/>
    </row>
    <row r="204" spans="1:1">
      <c r="A204" s="576"/>
    </row>
    <row r="205" spans="1:1">
      <c r="A205" s="576"/>
    </row>
    <row r="206" spans="1:1">
      <c r="A206" s="576"/>
    </row>
    <row r="207" spans="1:1">
      <c r="A207" s="576"/>
    </row>
    <row r="208" spans="1:1">
      <c r="A208" s="576"/>
    </row>
    <row r="209" spans="1:1">
      <c r="A209" s="576"/>
    </row>
    <row r="210" spans="1:1">
      <c r="A210" s="576"/>
    </row>
    <row r="211" spans="1:1">
      <c r="A211" s="576"/>
    </row>
    <row r="212" spans="1:1">
      <c r="A212" s="576"/>
    </row>
    <row r="213" spans="1:1">
      <c r="A213" s="576"/>
    </row>
    <row r="214" spans="1:1">
      <c r="A214" s="576"/>
    </row>
    <row r="215" spans="1:1">
      <c r="A215" s="576"/>
    </row>
    <row r="216" spans="1:1">
      <c r="A216" s="576"/>
    </row>
    <row r="217" spans="1:1">
      <c r="A217" s="576"/>
    </row>
    <row r="218" spans="1:1">
      <c r="A218" s="576"/>
    </row>
    <row r="219" spans="1:1">
      <c r="A219" s="576"/>
    </row>
    <row r="220" spans="1:1">
      <c r="A220" s="576"/>
    </row>
    <row r="221" spans="1:1">
      <c r="A221" s="576"/>
    </row>
    <row r="222" spans="1:1">
      <c r="A222" s="576"/>
    </row>
    <row r="223" spans="1:1">
      <c r="A223" s="576"/>
    </row>
    <row r="224" spans="1:1">
      <c r="A224" s="576"/>
    </row>
    <row r="225" spans="1:1">
      <c r="A225" s="576"/>
    </row>
    <row r="226" spans="1:1">
      <c r="A226" s="576"/>
    </row>
    <row r="227" spans="1:1">
      <c r="A227" s="576"/>
    </row>
    <row r="228" spans="1:1">
      <c r="A228" s="576"/>
    </row>
    <row r="229" spans="1:1">
      <c r="A229" s="576"/>
    </row>
    <row r="230" spans="1:1">
      <c r="A230" s="576"/>
    </row>
    <row r="231" spans="1:1">
      <c r="A231" s="576"/>
    </row>
    <row r="232" spans="1:1">
      <c r="A232" s="576"/>
    </row>
    <row r="233" spans="1:1">
      <c r="A233" s="576"/>
    </row>
    <row r="234" spans="1:1">
      <c r="A234" s="576"/>
    </row>
    <row r="235" spans="1:1">
      <c r="A235" s="576"/>
    </row>
    <row r="236" spans="1:1">
      <c r="A236" s="576"/>
    </row>
    <row r="237" spans="1:1">
      <c r="A237" s="576"/>
    </row>
    <row r="238" spans="1:1">
      <c r="A238" s="576"/>
    </row>
    <row r="239" spans="1:1">
      <c r="A239" s="576"/>
    </row>
    <row r="240" spans="1:1">
      <c r="A240" s="576"/>
    </row>
    <row r="241" spans="1:1">
      <c r="A241" s="576"/>
    </row>
    <row r="242" spans="1:1">
      <c r="A242" s="576"/>
    </row>
    <row r="243" spans="1:1">
      <c r="A243" s="576"/>
    </row>
    <row r="244" spans="1:1">
      <c r="A244" s="576"/>
    </row>
    <row r="245" spans="1:1">
      <c r="A245" s="576"/>
    </row>
    <row r="246" spans="1:1">
      <c r="A246" s="576"/>
    </row>
    <row r="247" spans="1:1">
      <c r="A247" s="576"/>
    </row>
    <row r="248" spans="1:1">
      <c r="A248" s="576"/>
    </row>
    <row r="249" spans="1:1">
      <c r="A249" s="576"/>
    </row>
    <row r="250" spans="1:1">
      <c r="A250" s="576"/>
    </row>
    <row r="251" spans="1:1">
      <c r="A251" s="576"/>
    </row>
    <row r="252" spans="1:1">
      <c r="A252" s="576"/>
    </row>
    <row r="253" spans="1:1">
      <c r="A253" s="576"/>
    </row>
    <row r="254" spans="1:1">
      <c r="A254" s="576"/>
    </row>
    <row r="255" spans="1:1">
      <c r="A255" s="576"/>
    </row>
    <row r="256" spans="1:1">
      <c r="A256" s="576"/>
    </row>
    <row r="257" spans="1:1">
      <c r="A257" s="576"/>
    </row>
    <row r="258" spans="1:1">
      <c r="A258" s="576"/>
    </row>
    <row r="259" spans="1:1">
      <c r="A259" s="576"/>
    </row>
    <row r="260" spans="1:1">
      <c r="A260" s="576"/>
    </row>
    <row r="261" spans="1:1">
      <c r="A261" s="576"/>
    </row>
    <row r="262" spans="1:1">
      <c r="A262" s="576"/>
    </row>
    <row r="263" spans="1:1">
      <c r="A263" s="576"/>
    </row>
    <row r="264" spans="1:1">
      <c r="A264" s="576"/>
    </row>
    <row r="265" spans="1:1">
      <c r="A265" s="576"/>
    </row>
    <row r="266" spans="1:1">
      <c r="A266" s="576"/>
    </row>
    <row r="267" spans="1:1">
      <c r="A267" s="576"/>
    </row>
    <row r="268" spans="1:1">
      <c r="A268" s="576"/>
    </row>
    <row r="269" spans="1:1">
      <c r="A269" s="576"/>
    </row>
    <row r="270" spans="1:1">
      <c r="A270" s="576"/>
    </row>
    <row r="271" spans="1:1">
      <c r="A271" s="576"/>
    </row>
    <row r="272" spans="1:1">
      <c r="A272" s="576"/>
    </row>
    <row r="273" spans="1:1">
      <c r="A273" s="576"/>
    </row>
    <row r="274" spans="1:1">
      <c r="A274" s="576"/>
    </row>
    <row r="275" spans="1:1">
      <c r="A275" s="576"/>
    </row>
    <row r="276" spans="1:1">
      <c r="A276" s="576"/>
    </row>
    <row r="277" spans="1:1">
      <c r="A277" s="576"/>
    </row>
    <row r="278" spans="1:1">
      <c r="A278" s="576"/>
    </row>
    <row r="279" spans="1:1">
      <c r="A279" s="576"/>
    </row>
    <row r="280" spans="1:1">
      <c r="A280" s="576"/>
    </row>
    <row r="281" spans="1:1">
      <c r="A281" s="576"/>
    </row>
    <row r="282" spans="1:1">
      <c r="A282" s="576"/>
    </row>
    <row r="283" spans="1:1">
      <c r="A283" s="576"/>
    </row>
    <row r="284" spans="1:1">
      <c r="A284" s="576"/>
    </row>
    <row r="285" spans="1:1">
      <c r="A285" s="576"/>
    </row>
    <row r="286" spans="1:1">
      <c r="A286" s="576"/>
    </row>
    <row r="287" spans="1:1">
      <c r="A287" s="576"/>
    </row>
    <row r="288" spans="1:1">
      <c r="A288" s="576"/>
    </row>
    <row r="289" spans="1:1">
      <c r="A289" s="576"/>
    </row>
    <row r="290" spans="1:1">
      <c r="A290" s="576"/>
    </row>
    <row r="291" spans="1:1">
      <c r="A291" s="576"/>
    </row>
    <row r="292" spans="1:1">
      <c r="A292" s="576"/>
    </row>
    <row r="293" spans="1:1">
      <c r="A293" s="576"/>
    </row>
    <row r="294" spans="1:1">
      <c r="A294" s="576"/>
    </row>
    <row r="295" spans="1:1">
      <c r="A295" s="576"/>
    </row>
    <row r="296" spans="1:1">
      <c r="A296" s="576"/>
    </row>
    <row r="297" spans="1:1">
      <c r="A297" s="576"/>
    </row>
    <row r="298" spans="1:1">
      <c r="A298" s="576"/>
    </row>
    <row r="299" spans="1:1">
      <c r="A299" s="576"/>
    </row>
    <row r="300" spans="1:1">
      <c r="A300" s="576"/>
    </row>
    <row r="301" spans="1:1">
      <c r="A301" s="576"/>
    </row>
    <row r="302" spans="1:1">
      <c r="A302" s="576"/>
    </row>
    <row r="303" spans="1:1">
      <c r="A303" s="576"/>
    </row>
    <row r="304" spans="1:1">
      <c r="A304" s="576"/>
    </row>
    <row r="305" spans="1:1">
      <c r="A305" s="576"/>
    </row>
    <row r="306" spans="1:1">
      <c r="A306" s="576"/>
    </row>
    <row r="307" spans="1:1">
      <c r="A307" s="576"/>
    </row>
    <row r="308" spans="1:1">
      <c r="A308" s="576"/>
    </row>
    <row r="309" spans="1:1">
      <c r="A309" s="576"/>
    </row>
    <row r="310" spans="1:1">
      <c r="A310" s="576"/>
    </row>
    <row r="311" spans="1:1">
      <c r="A311" s="576"/>
    </row>
    <row r="312" spans="1:1">
      <c r="A312" s="576"/>
    </row>
    <row r="313" spans="1:1">
      <c r="A313" s="576"/>
    </row>
    <row r="314" spans="1:1">
      <c r="A314" s="576"/>
    </row>
    <row r="315" spans="1:1">
      <c r="A315" s="576"/>
    </row>
    <row r="316" spans="1:1">
      <c r="A316" s="576"/>
    </row>
    <row r="317" spans="1:1">
      <c r="A317" s="576"/>
    </row>
    <row r="318" spans="1:1">
      <c r="A318" s="576"/>
    </row>
    <row r="319" spans="1:1">
      <c r="A319" s="576"/>
    </row>
    <row r="320" spans="1:1">
      <c r="A320" s="576"/>
    </row>
    <row r="321" spans="1:1">
      <c r="A321" s="576"/>
    </row>
    <row r="322" spans="1:1">
      <c r="A322" s="576"/>
    </row>
    <row r="323" spans="1:1">
      <c r="A323" s="576"/>
    </row>
    <row r="324" spans="1:1">
      <c r="A324" s="576"/>
    </row>
    <row r="325" spans="1:1">
      <c r="A325" s="576"/>
    </row>
    <row r="326" spans="1:1">
      <c r="A326" s="576"/>
    </row>
    <row r="327" spans="1:1">
      <c r="A327" s="576"/>
    </row>
    <row r="328" spans="1:1">
      <c r="A328" s="576"/>
    </row>
    <row r="329" spans="1:1">
      <c r="A329" s="576"/>
    </row>
    <row r="330" spans="1:1">
      <c r="A330" s="576"/>
    </row>
    <row r="331" spans="1:1">
      <c r="A331" s="576"/>
    </row>
    <row r="332" spans="1:1">
      <c r="A332" s="576"/>
    </row>
    <row r="333" spans="1:1">
      <c r="A333" s="576"/>
    </row>
    <row r="334" spans="1:1">
      <c r="A334" s="576"/>
    </row>
    <row r="335" spans="1:1">
      <c r="A335" s="576"/>
    </row>
    <row r="336" spans="1:1">
      <c r="A336" s="576"/>
    </row>
    <row r="337" spans="1:1">
      <c r="A337" s="576"/>
    </row>
    <row r="338" spans="1:1">
      <c r="A338" s="576"/>
    </row>
    <row r="339" spans="1:1">
      <c r="A339" s="576"/>
    </row>
    <row r="340" spans="1:1">
      <c r="A340" s="576"/>
    </row>
    <row r="341" spans="1:1">
      <c r="A341" s="576"/>
    </row>
    <row r="342" spans="1:1">
      <c r="A342" s="576"/>
    </row>
    <row r="343" spans="1:1">
      <c r="A343" s="576"/>
    </row>
    <row r="344" spans="1:1">
      <c r="A344" s="576"/>
    </row>
    <row r="345" spans="1:1">
      <c r="A345" s="576"/>
    </row>
    <row r="346" spans="1:1">
      <c r="A346" s="576"/>
    </row>
    <row r="347" spans="1:1">
      <c r="A347" s="576"/>
    </row>
    <row r="348" spans="1:1">
      <c r="A348" s="576"/>
    </row>
    <row r="349" spans="1:1">
      <c r="A349" s="576"/>
    </row>
    <row r="350" spans="1:1">
      <c r="A350" s="576"/>
    </row>
    <row r="351" spans="1:1">
      <c r="A351" s="576"/>
    </row>
    <row r="352" spans="1:1">
      <c r="A352" s="576"/>
    </row>
    <row r="353" spans="1:1">
      <c r="A353" s="576"/>
    </row>
    <row r="354" spans="1:1">
      <c r="A354" s="576"/>
    </row>
    <row r="355" spans="1:1">
      <c r="A355" s="576"/>
    </row>
    <row r="356" spans="1:1">
      <c r="A356" s="576"/>
    </row>
    <row r="357" spans="1:1">
      <c r="A357" s="576"/>
    </row>
    <row r="358" spans="1:1">
      <c r="A358" s="576"/>
    </row>
    <row r="359" spans="1:1">
      <c r="A359" s="576"/>
    </row>
    <row r="360" spans="1:1">
      <c r="A360" s="576"/>
    </row>
    <row r="361" spans="1:1">
      <c r="A361" s="576"/>
    </row>
    <row r="362" spans="1:1">
      <c r="A362" s="576"/>
    </row>
    <row r="363" spans="1:1">
      <c r="A363" s="576"/>
    </row>
    <row r="364" spans="1:1">
      <c r="A364" s="576"/>
    </row>
    <row r="365" spans="1:1">
      <c r="A365" s="576"/>
    </row>
    <row r="366" spans="1:1">
      <c r="A366" s="576"/>
    </row>
    <row r="367" spans="1:1">
      <c r="A367" s="576"/>
    </row>
    <row r="368" spans="1:1">
      <c r="A368" s="576"/>
    </row>
    <row r="369" spans="1:1">
      <c r="A369" s="576"/>
    </row>
    <row r="370" spans="1:1">
      <c r="A370" s="576"/>
    </row>
    <row r="371" spans="1:1">
      <c r="A371" s="576"/>
    </row>
    <row r="372" spans="1:1">
      <c r="A372" s="576"/>
    </row>
    <row r="373" spans="1:1">
      <c r="A373" s="576"/>
    </row>
    <row r="374" spans="1:1">
      <c r="A374" s="576"/>
    </row>
    <row r="375" spans="1:1">
      <c r="A375" s="576"/>
    </row>
    <row r="376" spans="1:1">
      <c r="A376" s="576"/>
    </row>
    <row r="377" spans="1:1">
      <c r="A377" s="576"/>
    </row>
    <row r="378" spans="1:1">
      <c r="A378" s="576"/>
    </row>
    <row r="379" spans="1:1">
      <c r="A379" s="576"/>
    </row>
    <row r="380" spans="1:1">
      <c r="A380" s="576"/>
    </row>
    <row r="381" spans="1:1">
      <c r="A381" s="576"/>
    </row>
    <row r="382" spans="1:1">
      <c r="A382" s="576"/>
    </row>
    <row r="383" spans="1:1">
      <c r="A383" s="576"/>
    </row>
    <row r="384" spans="1:1">
      <c r="A384" s="576"/>
    </row>
    <row r="385" spans="1:1">
      <c r="A385" s="576"/>
    </row>
    <row r="386" spans="1:1">
      <c r="A386" s="576"/>
    </row>
    <row r="387" spans="1:1">
      <c r="A387" s="576"/>
    </row>
    <row r="388" spans="1:1">
      <c r="A388" s="576"/>
    </row>
    <row r="389" spans="1:1">
      <c r="A389" s="576"/>
    </row>
    <row r="390" spans="1:1">
      <c r="A390" s="576"/>
    </row>
    <row r="391" spans="1:1">
      <c r="A391" s="576"/>
    </row>
    <row r="392" spans="1:1">
      <c r="A392" s="576"/>
    </row>
    <row r="393" spans="1:1">
      <c r="A393" s="576"/>
    </row>
    <row r="394" spans="1:1">
      <c r="A394" s="576"/>
    </row>
    <row r="395" spans="1:1">
      <c r="A395" s="576"/>
    </row>
    <row r="396" spans="1:1">
      <c r="A396" s="576"/>
    </row>
    <row r="397" spans="1:1">
      <c r="A397" s="576"/>
    </row>
    <row r="398" spans="1:1">
      <c r="A398" s="576"/>
    </row>
    <row r="399" spans="1:1">
      <c r="A399" s="576"/>
    </row>
    <row r="400" spans="1:1">
      <c r="A400" s="576"/>
    </row>
    <row r="401" spans="1:1">
      <c r="A401" s="576"/>
    </row>
    <row r="402" spans="1:1">
      <c r="A402" s="576"/>
    </row>
    <row r="403" spans="1:1">
      <c r="A403" s="576"/>
    </row>
    <row r="404" spans="1:1">
      <c r="A404" s="576"/>
    </row>
    <row r="405" spans="1:1">
      <c r="A405" s="576"/>
    </row>
    <row r="406" spans="1:1">
      <c r="A406" s="576"/>
    </row>
    <row r="407" spans="1:1">
      <c r="A407" s="576"/>
    </row>
    <row r="408" spans="1:1">
      <c r="A408" s="576"/>
    </row>
    <row r="409" spans="1:1">
      <c r="A409" s="576"/>
    </row>
    <row r="410" spans="1:1">
      <c r="A410" s="576"/>
    </row>
    <row r="411" spans="1:1">
      <c r="A411" s="576"/>
    </row>
    <row r="412" spans="1:1">
      <c r="A412" s="576"/>
    </row>
    <row r="413" spans="1:1">
      <c r="A413" s="576"/>
    </row>
    <row r="414" spans="1:1">
      <c r="A414" s="576"/>
    </row>
    <row r="415" spans="1:1">
      <c r="A415" s="576"/>
    </row>
    <row r="416" spans="1:1">
      <c r="A416" s="576"/>
    </row>
    <row r="417" spans="1:1">
      <c r="A417" s="576"/>
    </row>
    <row r="418" spans="1:1">
      <c r="A418" s="576"/>
    </row>
    <row r="419" spans="1:1">
      <c r="A419" s="576"/>
    </row>
    <row r="420" spans="1:1">
      <c r="A420" s="576"/>
    </row>
    <row r="421" spans="1:1">
      <c r="A421" s="576"/>
    </row>
    <row r="422" spans="1:1">
      <c r="A422" s="576"/>
    </row>
    <row r="423" spans="1:1">
      <c r="A423" s="576"/>
    </row>
    <row r="424" spans="1:1">
      <c r="A424" s="576"/>
    </row>
    <row r="425" spans="1:1">
      <c r="A425" s="576"/>
    </row>
    <row r="426" spans="1:1">
      <c r="A426" s="576"/>
    </row>
    <row r="427" spans="1:1">
      <c r="A427" s="576"/>
    </row>
    <row r="428" spans="1:1">
      <c r="A428" s="576"/>
    </row>
    <row r="429" spans="1:1">
      <c r="A429" s="576"/>
    </row>
    <row r="430" spans="1:1">
      <c r="A430" s="576"/>
    </row>
    <row r="431" spans="1:1">
      <c r="A431" s="576"/>
    </row>
    <row r="432" spans="1:1">
      <c r="A432" s="576"/>
    </row>
    <row r="433" spans="1:1">
      <c r="A433" s="576"/>
    </row>
    <row r="434" spans="1:1">
      <c r="A434" s="576"/>
    </row>
    <row r="435" spans="1:1">
      <c r="A435" s="576"/>
    </row>
    <row r="436" spans="1:1">
      <c r="A436" s="576"/>
    </row>
    <row r="437" spans="1:1">
      <c r="A437" s="576"/>
    </row>
    <row r="438" spans="1:1">
      <c r="A438" s="576"/>
    </row>
    <row r="439" spans="1:1">
      <c r="A439" s="576"/>
    </row>
    <row r="440" spans="1:1">
      <c r="A440" s="576"/>
    </row>
    <row r="441" spans="1:1">
      <c r="A441" s="576"/>
    </row>
    <row r="442" spans="1:1">
      <c r="A442" s="576"/>
    </row>
    <row r="443" spans="1:1">
      <c r="A443" s="576"/>
    </row>
    <row r="444" spans="1:1">
      <c r="A444" s="576"/>
    </row>
    <row r="445" spans="1:1">
      <c r="A445" s="576"/>
    </row>
    <row r="446" spans="1:1">
      <c r="A446" s="576"/>
    </row>
    <row r="447" spans="1:1">
      <c r="A447" s="576"/>
    </row>
    <row r="448" spans="1:1">
      <c r="A448" s="576"/>
    </row>
    <row r="449" spans="1:1">
      <c r="A449" s="576"/>
    </row>
    <row r="450" spans="1:1">
      <c r="A450" s="576"/>
    </row>
    <row r="451" spans="1:1">
      <c r="A451" s="576"/>
    </row>
    <row r="452" spans="1:1">
      <c r="A452" s="576"/>
    </row>
    <row r="453" spans="1:1">
      <c r="A453" s="576"/>
    </row>
    <row r="454" spans="1:1">
      <c r="A454" s="576"/>
    </row>
    <row r="455" spans="1:1">
      <c r="A455" s="576"/>
    </row>
    <row r="456" spans="1:1">
      <c r="A456" s="576"/>
    </row>
    <row r="457" spans="1:1">
      <c r="A457" s="576"/>
    </row>
    <row r="458" spans="1:1">
      <c r="A458" s="576"/>
    </row>
    <row r="459" spans="1:1">
      <c r="A459" s="576"/>
    </row>
    <row r="460" spans="1:1">
      <c r="A460" s="576"/>
    </row>
    <row r="461" spans="1:1">
      <c r="A461" s="576"/>
    </row>
    <row r="462" spans="1:1">
      <c r="A462" s="576"/>
    </row>
    <row r="463" spans="1:1">
      <c r="A463" s="576"/>
    </row>
    <row r="464" spans="1:1">
      <c r="A464" s="576"/>
    </row>
    <row r="465" spans="1:1">
      <c r="A465" s="576"/>
    </row>
    <row r="466" spans="1:1">
      <c r="A466" s="576"/>
    </row>
    <row r="467" spans="1:1">
      <c r="A467" s="576"/>
    </row>
    <row r="468" spans="1:1">
      <c r="A468" s="576"/>
    </row>
    <row r="469" spans="1:1">
      <c r="A469" s="576"/>
    </row>
    <row r="470" spans="1:1">
      <c r="A470" s="576"/>
    </row>
    <row r="471" spans="1:1">
      <c r="A471" s="576"/>
    </row>
    <row r="472" spans="1:1">
      <c r="A472" s="576"/>
    </row>
    <row r="473" spans="1:1">
      <c r="A473" s="576"/>
    </row>
    <row r="474" spans="1:1">
      <c r="A474" s="576"/>
    </row>
    <row r="475" spans="1:1">
      <c r="A475" s="576"/>
    </row>
    <row r="476" spans="1:1">
      <c r="A476" s="576"/>
    </row>
    <row r="477" spans="1:1">
      <c r="A477" s="576"/>
    </row>
    <row r="478" spans="1:1">
      <c r="A478" s="576"/>
    </row>
    <row r="479" spans="1:1">
      <c r="A479" s="576"/>
    </row>
    <row r="480" spans="1:1">
      <c r="A480" s="576"/>
    </row>
    <row r="481" spans="1:1">
      <c r="A481" s="576"/>
    </row>
    <row r="482" spans="1:1">
      <c r="A482" s="576"/>
    </row>
    <row r="483" spans="1:1">
      <c r="A483" s="576"/>
    </row>
    <row r="484" spans="1:1">
      <c r="A484" s="576"/>
    </row>
    <row r="485" spans="1:1">
      <c r="A485" s="576"/>
    </row>
    <row r="486" spans="1:1">
      <c r="A486" s="576"/>
    </row>
    <row r="487" spans="1:1">
      <c r="A487" s="576"/>
    </row>
    <row r="488" spans="1:1">
      <c r="A488" s="576"/>
    </row>
    <row r="489" spans="1:1">
      <c r="A489" s="576"/>
    </row>
    <row r="490" spans="1:1">
      <c r="A490" s="576"/>
    </row>
    <row r="491" spans="1:1">
      <c r="A491" s="576"/>
    </row>
    <row r="492" spans="1:1">
      <c r="A492" s="576"/>
    </row>
    <row r="493" spans="1:1">
      <c r="A493" s="576"/>
    </row>
    <row r="494" spans="1:1">
      <c r="A494" s="576"/>
    </row>
    <row r="495" spans="1:1">
      <c r="A495" s="576"/>
    </row>
    <row r="496" spans="1:1">
      <c r="A496" s="576"/>
    </row>
    <row r="497" spans="1:1">
      <c r="A497" s="576"/>
    </row>
    <row r="498" spans="1:1">
      <c r="A498" s="576"/>
    </row>
    <row r="499" spans="1:1">
      <c r="A499" s="576"/>
    </row>
    <row r="500" spans="1:1">
      <c r="A500" s="576"/>
    </row>
    <row r="501" spans="1:1">
      <c r="A501" s="576"/>
    </row>
    <row r="502" spans="1:1">
      <c r="A502" s="576"/>
    </row>
    <row r="503" spans="1:1">
      <c r="A503" s="576"/>
    </row>
    <row r="504" spans="1:1">
      <c r="A504" s="576"/>
    </row>
    <row r="505" spans="1:1">
      <c r="A505" s="576"/>
    </row>
    <row r="506" spans="1:1">
      <c r="A506" s="576"/>
    </row>
    <row r="507" spans="1:1">
      <c r="A507" s="576"/>
    </row>
    <row r="508" spans="1:1">
      <c r="A508" s="576"/>
    </row>
    <row r="509" spans="1:1">
      <c r="A509" s="576"/>
    </row>
    <row r="510" spans="1:1">
      <c r="A510" s="576"/>
    </row>
    <row r="511" spans="1:1">
      <c r="A511" s="576"/>
    </row>
    <row r="512" spans="1:1">
      <c r="A512" s="576"/>
    </row>
    <row r="513" spans="1:1">
      <c r="A513" s="576"/>
    </row>
    <row r="514" spans="1:1">
      <c r="A514" s="576"/>
    </row>
    <row r="515" spans="1:1">
      <c r="A515" s="576"/>
    </row>
    <row r="516" spans="1:1">
      <c r="A516" s="576"/>
    </row>
    <row r="517" spans="1:1">
      <c r="A517" s="576"/>
    </row>
    <row r="518" spans="1:1">
      <c r="A518" s="576"/>
    </row>
    <row r="519" spans="1:1">
      <c r="A519" s="576"/>
    </row>
    <row r="520" spans="1:1">
      <c r="A520" s="576"/>
    </row>
    <row r="521" spans="1:1">
      <c r="A521" s="576"/>
    </row>
    <row r="522" spans="1:1">
      <c r="A522" s="576"/>
    </row>
    <row r="523" spans="1:1">
      <c r="A523" s="576"/>
    </row>
    <row r="524" spans="1:1">
      <c r="A524" s="576"/>
    </row>
    <row r="525" spans="1:1">
      <c r="A525" s="576"/>
    </row>
    <row r="526" spans="1:1">
      <c r="A526" s="576"/>
    </row>
    <row r="527" spans="1:1">
      <c r="A527" s="576"/>
    </row>
    <row r="528" spans="1:1">
      <c r="A528" s="576"/>
    </row>
    <row r="529" spans="1:1">
      <c r="A529" s="576"/>
    </row>
    <row r="530" spans="1:1">
      <c r="A530" s="576"/>
    </row>
    <row r="531" spans="1:1">
      <c r="A531" s="576"/>
    </row>
    <row r="532" spans="1:1">
      <c r="A532" s="576"/>
    </row>
    <row r="533" spans="1:1">
      <c r="A533" s="576"/>
    </row>
    <row r="534" spans="1:1">
      <c r="A534" s="576"/>
    </row>
    <row r="535" spans="1:1">
      <c r="A535" s="576"/>
    </row>
    <row r="536" spans="1:1">
      <c r="A536" s="576"/>
    </row>
    <row r="537" spans="1:1">
      <c r="A537" s="576"/>
    </row>
    <row r="538" spans="1:1">
      <c r="A538" s="576"/>
    </row>
    <row r="539" spans="1:1">
      <c r="A539" s="576"/>
    </row>
    <row r="540" spans="1:1">
      <c r="A540" s="576"/>
    </row>
    <row r="541" spans="1:1">
      <c r="A541" s="576"/>
    </row>
    <row r="542" spans="1:1">
      <c r="A542" s="576"/>
    </row>
    <row r="543" spans="1:1">
      <c r="A543" s="576"/>
    </row>
    <row r="544" spans="1:1">
      <c r="A544" s="576"/>
    </row>
    <row r="545" spans="1:1">
      <c r="A545" s="576"/>
    </row>
    <row r="546" spans="1:1">
      <c r="A546" s="576"/>
    </row>
    <row r="547" spans="1:1">
      <c r="A547" s="576"/>
    </row>
    <row r="548" spans="1:1">
      <c r="A548" s="576"/>
    </row>
    <row r="549" spans="1:1">
      <c r="A549" s="576"/>
    </row>
    <row r="550" spans="1:1">
      <c r="A550" s="576"/>
    </row>
    <row r="551" spans="1:1">
      <c r="A551" s="576"/>
    </row>
    <row r="552" spans="1:1">
      <c r="A552" s="576"/>
    </row>
    <row r="553" spans="1:1">
      <c r="A553" s="576"/>
    </row>
    <row r="554" spans="1:1">
      <c r="A554" s="576"/>
    </row>
    <row r="555" spans="1:1">
      <c r="A555" s="576"/>
    </row>
    <row r="556" spans="1:1">
      <c r="A556" s="576"/>
    </row>
    <row r="557" spans="1:1">
      <c r="A557" s="576"/>
    </row>
    <row r="558" spans="1:1">
      <c r="A558" s="576"/>
    </row>
    <row r="559" spans="1:1">
      <c r="A559" s="576"/>
    </row>
    <row r="560" spans="1:1">
      <c r="A560" s="576"/>
    </row>
    <row r="561" spans="1:1">
      <c r="A561" s="576"/>
    </row>
    <row r="562" spans="1:1">
      <c r="A562" s="576"/>
    </row>
    <row r="563" spans="1:1">
      <c r="A563" s="576"/>
    </row>
    <row r="564" spans="1:1">
      <c r="A564" s="576"/>
    </row>
    <row r="565" spans="1:1">
      <c r="A565" s="576"/>
    </row>
    <row r="566" spans="1:1">
      <c r="A566" s="576"/>
    </row>
    <row r="567" spans="1:1">
      <c r="A567" s="576"/>
    </row>
    <row r="568" spans="1:1">
      <c r="A568" s="576"/>
    </row>
    <row r="569" spans="1:1">
      <c r="A569" s="576"/>
    </row>
    <row r="570" spans="1:1">
      <c r="A570" s="576"/>
    </row>
    <row r="571" spans="1:1">
      <c r="A571" s="576"/>
    </row>
    <row r="572" spans="1:1">
      <c r="A572" s="576"/>
    </row>
    <row r="573" spans="1:1">
      <c r="A573" s="576"/>
    </row>
    <row r="574" spans="1:1">
      <c r="A574" s="576"/>
    </row>
    <row r="575" spans="1:1">
      <c r="A575" s="576"/>
    </row>
    <row r="576" spans="1:1">
      <c r="A576" s="576"/>
    </row>
    <row r="577" spans="1:1">
      <c r="A577" s="576"/>
    </row>
    <row r="578" spans="1:1">
      <c r="A578" s="576"/>
    </row>
    <row r="579" spans="1:1">
      <c r="A579" s="576"/>
    </row>
    <row r="580" spans="1:1">
      <c r="A580" s="576"/>
    </row>
    <row r="581" spans="1:1">
      <c r="A581" s="576"/>
    </row>
    <row r="582" spans="1:1">
      <c r="A582" s="576"/>
    </row>
    <row r="583" spans="1:1">
      <c r="A583" s="576"/>
    </row>
    <row r="584" spans="1:1">
      <c r="A584" s="576"/>
    </row>
    <row r="585" spans="1:1">
      <c r="A585" s="576"/>
    </row>
    <row r="586" spans="1:1">
      <c r="A586" s="576"/>
    </row>
    <row r="587" spans="1:1">
      <c r="A587" s="576"/>
    </row>
    <row r="588" spans="1:1">
      <c r="A588" s="576"/>
    </row>
    <row r="589" spans="1:1">
      <c r="A589" s="576"/>
    </row>
    <row r="590" spans="1:1">
      <c r="A590" s="576"/>
    </row>
    <row r="591" spans="1:1">
      <c r="A591" s="576"/>
    </row>
    <row r="592" spans="1:1">
      <c r="A592" s="576"/>
    </row>
    <row r="593" spans="1:1">
      <c r="A593" s="576"/>
    </row>
    <row r="594" spans="1:1">
      <c r="A594" s="576"/>
    </row>
    <row r="595" spans="1:1">
      <c r="A595" s="576"/>
    </row>
    <row r="596" spans="1:1">
      <c r="A596" s="576"/>
    </row>
    <row r="597" spans="1:1">
      <c r="A597" s="576"/>
    </row>
    <row r="598" spans="1:1">
      <c r="A598" s="576"/>
    </row>
    <row r="599" spans="1:1">
      <c r="A599" s="576"/>
    </row>
    <row r="600" spans="1:1">
      <c r="A600" s="576"/>
    </row>
    <row r="601" spans="1:1">
      <c r="A601" s="576"/>
    </row>
    <row r="602" spans="1:1">
      <c r="A602" s="576"/>
    </row>
    <row r="603" spans="1:1">
      <c r="A603" s="576"/>
    </row>
    <row r="604" spans="1:1">
      <c r="A604" s="576"/>
    </row>
    <row r="605" spans="1:1">
      <c r="A605" s="576"/>
    </row>
    <row r="606" spans="1:1">
      <c r="A606" s="576"/>
    </row>
    <row r="607" spans="1:1">
      <c r="A607" s="576"/>
    </row>
    <row r="608" spans="1:1">
      <c r="A608" s="576"/>
    </row>
    <row r="609" spans="1:1">
      <c r="A609" s="576"/>
    </row>
    <row r="610" spans="1:1">
      <c r="A610" s="576"/>
    </row>
    <row r="611" spans="1:1">
      <c r="A611" s="576"/>
    </row>
    <row r="612" spans="1:1">
      <c r="A612" s="576"/>
    </row>
    <row r="613" spans="1:1">
      <c r="A613" s="576"/>
    </row>
    <row r="614" spans="1:1">
      <c r="A614" s="576"/>
    </row>
    <row r="615" spans="1:1">
      <c r="A615" s="576"/>
    </row>
    <row r="616" spans="1:1">
      <c r="A616" s="576"/>
    </row>
    <row r="617" spans="1:1">
      <c r="A617" s="576"/>
    </row>
    <row r="618" spans="1:1">
      <c r="A618" s="576"/>
    </row>
    <row r="619" spans="1:1">
      <c r="A619" s="576"/>
    </row>
    <row r="620" spans="1:1">
      <c r="A620" s="576"/>
    </row>
    <row r="621" spans="1:1">
      <c r="A621" s="576"/>
    </row>
    <row r="622" spans="1:1">
      <c r="A622" s="576"/>
    </row>
    <row r="623" spans="1:1">
      <c r="A623" s="576"/>
    </row>
    <row r="624" spans="1:1">
      <c r="A624" s="576"/>
    </row>
    <row r="625" spans="1:1">
      <c r="A625" s="576"/>
    </row>
    <row r="626" spans="1:1">
      <c r="A626" s="576"/>
    </row>
    <row r="627" spans="1:1">
      <c r="A627" s="576"/>
    </row>
    <row r="628" spans="1:1">
      <c r="A628" s="576"/>
    </row>
    <row r="629" spans="1:1">
      <c r="A629" s="576"/>
    </row>
    <row r="630" spans="1:1">
      <c r="A630" s="576"/>
    </row>
    <row r="631" spans="1:1">
      <c r="A631" s="576"/>
    </row>
    <row r="632" spans="1:1">
      <c r="A632" s="576"/>
    </row>
    <row r="633" spans="1:1">
      <c r="A633" s="576"/>
    </row>
    <row r="634" spans="1:1">
      <c r="A634" s="576"/>
    </row>
    <row r="635" spans="1:1">
      <c r="A635" s="576"/>
    </row>
    <row r="636" spans="1:1">
      <c r="A636" s="576"/>
    </row>
    <row r="637" spans="1:1">
      <c r="A637" s="576"/>
    </row>
    <row r="638" spans="1:1">
      <c r="A638" s="576"/>
    </row>
    <row r="639" spans="1:1">
      <c r="A639" s="576"/>
    </row>
    <row r="640" spans="1:1">
      <c r="A640" s="576"/>
    </row>
    <row r="641" spans="1:1">
      <c r="A641" s="576"/>
    </row>
    <row r="642" spans="1:1">
      <c r="A642" s="576"/>
    </row>
    <row r="643" spans="1:1">
      <c r="A643" s="576"/>
    </row>
    <row r="644" spans="1:1">
      <c r="A644" s="576"/>
    </row>
    <row r="645" spans="1:1">
      <c r="A645" s="576"/>
    </row>
    <row r="646" spans="1:1">
      <c r="A646" s="576"/>
    </row>
    <row r="647" spans="1:1">
      <c r="A647" s="576"/>
    </row>
    <row r="648" spans="1:1">
      <c r="A648" s="576"/>
    </row>
    <row r="649" spans="1:1">
      <c r="A649" s="576"/>
    </row>
    <row r="650" spans="1:1">
      <c r="A650" s="576"/>
    </row>
    <row r="651" spans="1:1">
      <c r="A651" s="576"/>
    </row>
    <row r="652" spans="1:1">
      <c r="A652" s="576"/>
    </row>
    <row r="653" spans="1:1">
      <c r="A653" s="576"/>
    </row>
    <row r="654" spans="1:1">
      <c r="A654" s="576"/>
    </row>
    <row r="655" spans="1:1">
      <c r="A655" s="576"/>
    </row>
    <row r="656" spans="1:1">
      <c r="A656" s="576"/>
    </row>
    <row r="657" spans="1:1">
      <c r="A657" s="576"/>
    </row>
    <row r="658" spans="1:1">
      <c r="A658" s="576"/>
    </row>
    <row r="659" spans="1:1">
      <c r="A659" s="576"/>
    </row>
    <row r="660" spans="1:1">
      <c r="A660" s="576"/>
    </row>
    <row r="661" spans="1:1">
      <c r="A661" s="576"/>
    </row>
    <row r="662" spans="1:1">
      <c r="A662" s="576"/>
    </row>
    <row r="663" spans="1:1">
      <c r="A663" s="576"/>
    </row>
    <row r="664" spans="1:1">
      <c r="A664" s="576"/>
    </row>
    <row r="665" spans="1:1">
      <c r="A665" s="576"/>
    </row>
    <row r="666" spans="1:1">
      <c r="A666" s="576"/>
    </row>
    <row r="667" spans="1:1">
      <c r="A667" s="576"/>
    </row>
    <row r="668" spans="1:1">
      <c r="A668" s="576"/>
    </row>
    <row r="669" spans="1:1">
      <c r="A669" s="576"/>
    </row>
    <row r="670" spans="1:1">
      <c r="A670" s="576"/>
    </row>
    <row r="671" spans="1:1">
      <c r="A671" s="576"/>
    </row>
    <row r="672" spans="1:1">
      <c r="A672" s="576"/>
    </row>
    <row r="673" spans="1:1">
      <c r="A673" s="576"/>
    </row>
    <row r="674" spans="1:1">
      <c r="A674" s="576"/>
    </row>
    <row r="675" spans="1:1">
      <c r="A675" s="576"/>
    </row>
    <row r="676" spans="1:1">
      <c r="A676" s="576"/>
    </row>
    <row r="677" spans="1:1">
      <c r="A677" s="576"/>
    </row>
    <row r="678" spans="1:1">
      <c r="A678" s="576"/>
    </row>
    <row r="679" spans="1:1">
      <c r="A679" s="576"/>
    </row>
    <row r="680" spans="1:1">
      <c r="A680" s="576"/>
    </row>
    <row r="681" spans="1:1">
      <c r="A681" s="576"/>
    </row>
    <row r="682" spans="1:1">
      <c r="A682" s="576"/>
    </row>
    <row r="683" spans="1:1">
      <c r="A683" s="576"/>
    </row>
    <row r="684" spans="1:1">
      <c r="A684" s="576"/>
    </row>
    <row r="685" spans="1:1">
      <c r="A685" s="576"/>
    </row>
    <row r="686" spans="1:1">
      <c r="A686" s="576"/>
    </row>
    <row r="687" spans="1:1">
      <c r="A687" s="576"/>
    </row>
    <row r="688" spans="1:1">
      <c r="A688" s="576"/>
    </row>
    <row r="689" spans="1:1">
      <c r="A689" s="576"/>
    </row>
    <row r="690" spans="1:1">
      <c r="A690" s="576"/>
    </row>
    <row r="691" spans="1:1">
      <c r="A691" s="576"/>
    </row>
    <row r="692" spans="1:1">
      <c r="A692" s="576"/>
    </row>
    <row r="693" spans="1:1">
      <c r="A693" s="576"/>
    </row>
    <row r="694" spans="1:1">
      <c r="A694" s="576"/>
    </row>
    <row r="695" spans="1:1">
      <c r="A695" s="576"/>
    </row>
    <row r="696" spans="1:1">
      <c r="A696" s="576"/>
    </row>
    <row r="697" spans="1:1">
      <c r="A697" s="576"/>
    </row>
    <row r="698" spans="1:1">
      <c r="A698" s="576"/>
    </row>
    <row r="699" spans="1:1">
      <c r="A699" s="576"/>
    </row>
    <row r="700" spans="1:1">
      <c r="A700" s="576"/>
    </row>
    <row r="701" spans="1:1">
      <c r="A701" s="576"/>
    </row>
    <row r="702" spans="1:1">
      <c r="A702" s="576"/>
    </row>
    <row r="703" spans="1:1">
      <c r="A703" s="576"/>
    </row>
    <row r="704" spans="1:1">
      <c r="A704" s="576"/>
    </row>
    <row r="705" spans="1:1">
      <c r="A705" s="576"/>
    </row>
    <row r="706" spans="1:1">
      <c r="A706" s="576"/>
    </row>
    <row r="707" spans="1:1">
      <c r="A707" s="576"/>
    </row>
    <row r="708" spans="1:1">
      <c r="A708" s="576"/>
    </row>
    <row r="709" spans="1:1">
      <c r="A709" s="576"/>
    </row>
    <row r="710" spans="1:1">
      <c r="A710" s="576"/>
    </row>
    <row r="711" spans="1:1">
      <c r="A711" s="576"/>
    </row>
    <row r="712" spans="1:1">
      <c r="A712" s="576"/>
    </row>
    <row r="713" spans="1:1">
      <c r="A713" s="576"/>
    </row>
    <row r="714" spans="1:1">
      <c r="A714" s="576"/>
    </row>
    <row r="715" spans="1:1">
      <c r="A715" s="576"/>
    </row>
    <row r="716" spans="1:1">
      <c r="A716" s="576"/>
    </row>
    <row r="717" spans="1:1">
      <c r="A717" s="576"/>
    </row>
    <row r="718" spans="1:1">
      <c r="A718" s="576"/>
    </row>
    <row r="719" spans="1:1">
      <c r="A719" s="576"/>
    </row>
    <row r="720" spans="1:1">
      <c r="A720" s="576"/>
    </row>
    <row r="721" spans="1:1">
      <c r="A721" s="576"/>
    </row>
    <row r="722" spans="1:1">
      <c r="A722" s="576"/>
    </row>
    <row r="723" spans="1:1">
      <c r="A723" s="576"/>
    </row>
    <row r="724" spans="1:1">
      <c r="A724" s="576"/>
    </row>
    <row r="725" spans="1:1">
      <c r="A725" s="576"/>
    </row>
    <row r="726" spans="1:1">
      <c r="A726" s="576"/>
    </row>
    <row r="727" spans="1:1">
      <c r="A727" s="576"/>
    </row>
    <row r="728" spans="1:1">
      <c r="A728" s="576"/>
    </row>
    <row r="729" spans="1:1">
      <c r="A729" s="576"/>
    </row>
    <row r="730" spans="1:1">
      <c r="A730" s="576"/>
    </row>
    <row r="731" spans="1:1">
      <c r="A731" s="576"/>
    </row>
    <row r="732" spans="1:1">
      <c r="A732" s="576"/>
    </row>
    <row r="733" spans="1:1">
      <c r="A733" s="576"/>
    </row>
    <row r="734" spans="1:1">
      <c r="A734" s="576"/>
    </row>
    <row r="735" spans="1:1">
      <c r="A735" s="576"/>
    </row>
    <row r="736" spans="1:1">
      <c r="A736" s="576"/>
    </row>
    <row r="737" spans="1:1">
      <c r="A737" s="576"/>
    </row>
    <row r="738" spans="1:1">
      <c r="A738" s="576"/>
    </row>
    <row r="739" spans="1:1">
      <c r="A739" s="576"/>
    </row>
    <row r="740" spans="1:1">
      <c r="A740" s="576"/>
    </row>
    <row r="741" spans="1:1">
      <c r="A741" s="576"/>
    </row>
    <row r="742" spans="1:1">
      <c r="A742" s="576"/>
    </row>
    <row r="743" spans="1:1">
      <c r="A743" s="576"/>
    </row>
    <row r="744" spans="1:1">
      <c r="A744" s="576"/>
    </row>
    <row r="745" spans="1:1">
      <c r="A745" s="576"/>
    </row>
    <row r="746" spans="1:1">
      <c r="A746" s="576"/>
    </row>
    <row r="747" spans="1:1">
      <c r="A747" s="576"/>
    </row>
    <row r="748" spans="1:1">
      <c r="A748" s="576"/>
    </row>
    <row r="749" spans="1:1">
      <c r="A749" s="576"/>
    </row>
    <row r="750" spans="1:1">
      <c r="A750" s="576"/>
    </row>
    <row r="751" spans="1:1">
      <c r="A751" s="576"/>
    </row>
    <row r="752" spans="1:1">
      <c r="A752" s="576"/>
    </row>
    <row r="753" spans="1:1">
      <c r="A753" s="576"/>
    </row>
    <row r="754" spans="1:1">
      <c r="A754" s="576"/>
    </row>
    <row r="755" spans="1:1">
      <c r="A755" s="576"/>
    </row>
    <row r="756" spans="1:1">
      <c r="A756" s="576"/>
    </row>
    <row r="757" spans="1:1">
      <c r="A757" s="576"/>
    </row>
    <row r="758" spans="1:1">
      <c r="A758" s="576"/>
    </row>
    <row r="759" spans="1:1">
      <c r="A759" s="576"/>
    </row>
    <row r="760" spans="1:1">
      <c r="A760" s="576"/>
    </row>
    <row r="761" spans="1:1">
      <c r="A761" s="576"/>
    </row>
    <row r="762" spans="1:1">
      <c r="A762" s="576"/>
    </row>
    <row r="763" spans="1:1">
      <c r="A763" s="576"/>
    </row>
    <row r="764" spans="1:1">
      <c r="A764" s="576"/>
    </row>
    <row r="765" spans="1:1">
      <c r="A765" s="576"/>
    </row>
    <row r="766" spans="1:1">
      <c r="A766" s="576"/>
    </row>
    <row r="767" spans="1:1">
      <c r="A767" s="576"/>
    </row>
    <row r="768" spans="1:1">
      <c r="A768" s="576"/>
    </row>
    <row r="769" spans="1:1">
      <c r="A769" s="576"/>
    </row>
    <row r="770" spans="1:1">
      <c r="A770" s="576"/>
    </row>
    <row r="771" spans="1:1">
      <c r="A771" s="576"/>
    </row>
    <row r="772" spans="1:1">
      <c r="A772" s="576"/>
    </row>
    <row r="773" spans="1:1">
      <c r="A773" s="576"/>
    </row>
    <row r="774" spans="1:1">
      <c r="A774" s="576"/>
    </row>
    <row r="775" spans="1:1">
      <c r="A775" s="576"/>
    </row>
    <row r="776" spans="1:1">
      <c r="A776" s="576"/>
    </row>
    <row r="777" spans="1:1">
      <c r="A777" s="576"/>
    </row>
    <row r="778" spans="1:1">
      <c r="A778" s="576"/>
    </row>
    <row r="779" spans="1:1">
      <c r="A779" s="576"/>
    </row>
    <row r="780" spans="1:1">
      <c r="A780" s="576"/>
    </row>
    <row r="781" spans="1:1">
      <c r="A781" s="576"/>
    </row>
    <row r="782" spans="1:1">
      <c r="A782" s="576"/>
    </row>
    <row r="783" spans="1:1">
      <c r="A783" s="576"/>
    </row>
    <row r="784" spans="1:1">
      <c r="A784" s="576"/>
    </row>
    <row r="785" spans="1:1">
      <c r="A785" s="576"/>
    </row>
    <row r="786" spans="1:1">
      <c r="A786" s="576"/>
    </row>
    <row r="787" spans="1:1">
      <c r="A787" s="576"/>
    </row>
    <row r="788" spans="1:1">
      <c r="A788" s="576"/>
    </row>
    <row r="789" spans="1:1">
      <c r="A789" s="576"/>
    </row>
    <row r="790" spans="1:1">
      <c r="A790" s="576"/>
    </row>
    <row r="791" spans="1:1">
      <c r="A791" s="576"/>
    </row>
    <row r="792" spans="1:1">
      <c r="A792" s="576"/>
    </row>
    <row r="793" spans="1:1">
      <c r="A793" s="576"/>
    </row>
    <row r="794" spans="1:1">
      <c r="A794" s="576"/>
    </row>
    <row r="795" spans="1:1">
      <c r="A795" s="576"/>
    </row>
    <row r="796" spans="1:1">
      <c r="A796" s="576"/>
    </row>
    <row r="797" spans="1:1">
      <c r="A797" s="576"/>
    </row>
    <row r="798" spans="1:1">
      <c r="A798" s="576"/>
    </row>
    <row r="799" spans="1:1">
      <c r="A799" s="576"/>
    </row>
    <row r="800" spans="1:1">
      <c r="A800" s="576"/>
    </row>
    <row r="801" spans="1:1">
      <c r="A801" s="576"/>
    </row>
    <row r="802" spans="1:1">
      <c r="A802" s="576"/>
    </row>
    <row r="803" spans="1:1">
      <c r="A803" s="576"/>
    </row>
    <row r="804" spans="1:1">
      <c r="A804" s="576"/>
    </row>
    <row r="805" spans="1:1">
      <c r="A805" s="576"/>
    </row>
    <row r="806" spans="1:1">
      <c r="A806" s="576"/>
    </row>
    <row r="807" spans="1:1">
      <c r="A807" s="576"/>
    </row>
    <row r="808" spans="1:1">
      <c r="A808" s="576"/>
    </row>
    <row r="809" spans="1:1">
      <c r="A809" s="576"/>
    </row>
    <row r="810" spans="1:1">
      <c r="A810" s="576"/>
    </row>
    <row r="811" spans="1:1">
      <c r="A811" s="576"/>
    </row>
    <row r="812" spans="1:1">
      <c r="A812" s="576"/>
    </row>
    <row r="813" spans="1:1">
      <c r="A813" s="576"/>
    </row>
    <row r="814" spans="1:1">
      <c r="A814" s="576"/>
    </row>
    <row r="815" spans="1:1">
      <c r="A815" s="576"/>
    </row>
    <row r="816" spans="1:1">
      <c r="A816" s="576"/>
    </row>
    <row r="817" spans="1:1">
      <c r="A817" s="576"/>
    </row>
    <row r="818" spans="1:1">
      <c r="A818" s="576"/>
    </row>
    <row r="819" spans="1:1">
      <c r="A819" s="576"/>
    </row>
    <row r="820" spans="1:1">
      <c r="A820" s="576"/>
    </row>
    <row r="821" spans="1:1">
      <c r="A821" s="576"/>
    </row>
    <row r="822" spans="1:1">
      <c r="A822" s="576"/>
    </row>
    <row r="823" spans="1:1">
      <c r="A823" s="576"/>
    </row>
    <row r="824" spans="1:1">
      <c r="A824" s="576"/>
    </row>
    <row r="825" spans="1:1">
      <c r="A825" s="576"/>
    </row>
    <row r="826" spans="1:1">
      <c r="A826" s="576"/>
    </row>
    <row r="827" spans="1:1">
      <c r="A827" s="576"/>
    </row>
    <row r="828" spans="1:1">
      <c r="A828" s="576"/>
    </row>
    <row r="829" spans="1:1">
      <c r="A829" s="576"/>
    </row>
    <row r="830" spans="1:1">
      <c r="A830" s="576"/>
    </row>
    <row r="831" spans="1:1">
      <c r="A831" s="576"/>
    </row>
    <row r="832" spans="1:1">
      <c r="A832" s="576"/>
    </row>
    <row r="833" spans="1:1">
      <c r="A833" s="576"/>
    </row>
    <row r="834" spans="1:1">
      <c r="A834" s="576"/>
    </row>
    <row r="835" spans="1:1">
      <c r="A835" s="576"/>
    </row>
    <row r="836" spans="1:1">
      <c r="A836" s="576"/>
    </row>
    <row r="837" spans="1:1">
      <c r="A837" s="576"/>
    </row>
    <row r="838" spans="1:1">
      <c r="A838" s="576"/>
    </row>
    <row r="839" spans="1:1">
      <c r="A839" s="576"/>
    </row>
    <row r="840" spans="1:1">
      <c r="A840" s="576"/>
    </row>
    <row r="841" spans="1:1">
      <c r="A841" s="576"/>
    </row>
    <row r="842" spans="1:1">
      <c r="A842" s="576"/>
    </row>
    <row r="843" spans="1:1">
      <c r="A843" s="576"/>
    </row>
    <row r="844" spans="1:1">
      <c r="A844" s="576"/>
    </row>
    <row r="845" spans="1:1">
      <c r="A845" s="576"/>
    </row>
    <row r="846" spans="1:1">
      <c r="A846" s="576"/>
    </row>
    <row r="847" spans="1:1">
      <c r="A847" s="576"/>
    </row>
    <row r="848" spans="1:1">
      <c r="A848" s="576"/>
    </row>
    <row r="849" spans="1:1">
      <c r="A849" s="576"/>
    </row>
    <row r="850" spans="1:1">
      <c r="A850" s="576"/>
    </row>
    <row r="851" spans="1:1">
      <c r="A851" s="576"/>
    </row>
    <row r="852" spans="1:1">
      <c r="A852" s="576"/>
    </row>
    <row r="853" spans="1:1">
      <c r="A853" s="576"/>
    </row>
    <row r="854" spans="1:1">
      <c r="A854" s="576"/>
    </row>
    <row r="855" spans="1:1">
      <c r="A855" s="576"/>
    </row>
    <row r="856" spans="1:1">
      <c r="A856" s="576"/>
    </row>
    <row r="857" spans="1:1">
      <c r="A857" s="576"/>
    </row>
    <row r="858" spans="1:1">
      <c r="A858" s="576"/>
    </row>
    <row r="859" spans="1:1">
      <c r="A859" s="576"/>
    </row>
    <row r="860" spans="1:1">
      <c r="A860" s="576"/>
    </row>
    <row r="861" spans="1:1">
      <c r="A861" s="576"/>
    </row>
    <row r="862" spans="1:1">
      <c r="A862" s="576"/>
    </row>
    <row r="863" spans="1:1">
      <c r="A863" s="576"/>
    </row>
    <row r="864" spans="1:1">
      <c r="A864" s="576"/>
    </row>
    <row r="865" spans="1:1">
      <c r="A865" s="576"/>
    </row>
    <row r="866" spans="1:1">
      <c r="A866" s="576"/>
    </row>
    <row r="867" spans="1:1">
      <c r="A867" s="576"/>
    </row>
    <row r="868" spans="1:1">
      <c r="A868" s="576"/>
    </row>
    <row r="869" spans="1:1">
      <c r="A869" s="576"/>
    </row>
    <row r="870" spans="1:1">
      <c r="A870" s="576"/>
    </row>
    <row r="871" spans="1:1">
      <c r="A871" s="576"/>
    </row>
    <row r="872" spans="1:1">
      <c r="A872" s="576"/>
    </row>
    <row r="873" spans="1:1">
      <c r="A873" s="576"/>
    </row>
    <row r="874" spans="1:1">
      <c r="A874" s="576"/>
    </row>
    <row r="875" spans="1:1">
      <c r="A875" s="576"/>
    </row>
    <row r="876" spans="1:1">
      <c r="A876" s="576"/>
    </row>
    <row r="877" spans="1:1">
      <c r="A877" s="576"/>
    </row>
    <row r="878" spans="1:1">
      <c r="A878" s="576"/>
    </row>
    <row r="879" spans="1:1">
      <c r="A879" s="576"/>
    </row>
    <row r="880" spans="1:1">
      <c r="A880" s="576"/>
    </row>
    <row r="881" spans="1:1">
      <c r="A881" s="576"/>
    </row>
    <row r="882" spans="1:1">
      <c r="A882" s="576"/>
    </row>
    <row r="883" spans="1:1">
      <c r="A883" s="576"/>
    </row>
    <row r="884" spans="1:1">
      <c r="A884" s="576"/>
    </row>
    <row r="885" spans="1:1">
      <c r="A885" s="576"/>
    </row>
    <row r="886" spans="1:1">
      <c r="A886" s="576"/>
    </row>
    <row r="887" spans="1:1">
      <c r="A887" s="576"/>
    </row>
    <row r="888" spans="1:1">
      <c r="A888" s="576"/>
    </row>
    <row r="889" spans="1:1">
      <c r="A889" s="576"/>
    </row>
    <row r="890" spans="1:1">
      <c r="A890" s="576"/>
    </row>
    <row r="891" spans="1:1">
      <c r="A891" s="576"/>
    </row>
    <row r="892" spans="1:1">
      <c r="A892" s="576"/>
    </row>
    <row r="893" spans="1:1">
      <c r="A893" s="576"/>
    </row>
    <row r="894" spans="1:1">
      <c r="A894" s="576"/>
    </row>
    <row r="895" spans="1:1">
      <c r="A895" s="576"/>
    </row>
    <row r="896" spans="1:1">
      <c r="A896" s="576"/>
    </row>
    <row r="897" spans="1:1">
      <c r="A897" s="576"/>
    </row>
    <row r="898" spans="1:1">
      <c r="A898" s="576"/>
    </row>
    <row r="899" spans="1:1">
      <c r="A899" s="576"/>
    </row>
    <row r="900" spans="1:1">
      <c r="A900" s="576"/>
    </row>
    <row r="901" spans="1:1">
      <c r="A901" s="576"/>
    </row>
    <row r="902" spans="1:1">
      <c r="A902" s="576"/>
    </row>
    <row r="903" spans="1:1">
      <c r="A903" s="576"/>
    </row>
    <row r="904" spans="1:1">
      <c r="A904" s="576"/>
    </row>
    <row r="905" spans="1:1">
      <c r="A905" s="576"/>
    </row>
    <row r="906" spans="1:1">
      <c r="A906" s="576"/>
    </row>
    <row r="907" spans="1:1">
      <c r="A907" s="576"/>
    </row>
    <row r="908" spans="1:1">
      <c r="A908" s="576"/>
    </row>
    <row r="909" spans="1:1">
      <c r="A909" s="576"/>
    </row>
    <row r="910" spans="1:1">
      <c r="A910" s="576"/>
    </row>
    <row r="911" spans="1:1">
      <c r="A911" s="576"/>
    </row>
    <row r="912" spans="1:1">
      <c r="A912" s="576"/>
    </row>
    <row r="913" spans="1:1">
      <c r="A913" s="576"/>
    </row>
    <row r="914" spans="1:1">
      <c r="A914" s="576"/>
    </row>
    <row r="915" spans="1:1">
      <c r="A915" s="576"/>
    </row>
    <row r="916" spans="1:1">
      <c r="A916" s="576"/>
    </row>
    <row r="917" spans="1:1">
      <c r="A917" s="576"/>
    </row>
    <row r="918" spans="1:1">
      <c r="A918" s="576"/>
    </row>
    <row r="919" spans="1:1">
      <c r="A919" s="576"/>
    </row>
    <row r="920" spans="1:1">
      <c r="A920" s="576"/>
    </row>
    <row r="921" spans="1:1">
      <c r="A921" s="576"/>
    </row>
    <row r="922" spans="1:1">
      <c r="A922" s="576"/>
    </row>
    <row r="923" spans="1:1">
      <c r="A923" s="576"/>
    </row>
    <row r="924" spans="1:1">
      <c r="A924" s="576"/>
    </row>
    <row r="925" spans="1:1">
      <c r="A925" s="576"/>
    </row>
    <row r="926" spans="1:1">
      <c r="A926" s="576"/>
    </row>
    <row r="927" spans="1:1">
      <c r="A927" s="576"/>
    </row>
    <row r="928" spans="1:1">
      <c r="A928" s="576"/>
    </row>
    <row r="929" spans="1:1">
      <c r="A929" s="576"/>
    </row>
    <row r="930" spans="1:1">
      <c r="A930" s="576"/>
    </row>
    <row r="931" spans="1:1">
      <c r="A931" s="576"/>
    </row>
    <row r="932" spans="1:1">
      <c r="A932" s="576"/>
    </row>
    <row r="933" spans="1:1">
      <c r="A933" s="576"/>
    </row>
    <row r="934" spans="1:1">
      <c r="A934" s="576"/>
    </row>
    <row r="935" spans="1:1">
      <c r="A935" s="576"/>
    </row>
    <row r="936" spans="1:1">
      <c r="A936" s="576"/>
    </row>
    <row r="937" spans="1:1">
      <c r="A937" s="576"/>
    </row>
    <row r="938" spans="1:1">
      <c r="A938" s="576"/>
    </row>
    <row r="939" spans="1:1">
      <c r="A939" s="576"/>
    </row>
    <row r="940" spans="1:1">
      <c r="A940" s="576"/>
    </row>
    <row r="941" spans="1:1">
      <c r="A941" s="576"/>
    </row>
    <row r="942" spans="1:1">
      <c r="A942" s="576"/>
    </row>
    <row r="943" spans="1:1">
      <c r="A943" s="576"/>
    </row>
    <row r="944" spans="1:1">
      <c r="A944" s="576"/>
    </row>
    <row r="945" spans="1:1">
      <c r="A945" s="576"/>
    </row>
    <row r="946" spans="1:1">
      <c r="A946" s="576"/>
    </row>
    <row r="947" spans="1:1">
      <c r="A947" s="576"/>
    </row>
    <row r="948" spans="1:1">
      <c r="A948" s="576"/>
    </row>
    <row r="949" spans="1:1">
      <c r="A949" s="576"/>
    </row>
    <row r="950" spans="1:1">
      <c r="A950" s="576"/>
    </row>
    <row r="951" spans="1:1">
      <c r="A951" s="576"/>
    </row>
    <row r="952" spans="1:1">
      <c r="A952" s="576"/>
    </row>
    <row r="953" spans="1:1">
      <c r="A953" s="576"/>
    </row>
    <row r="954" spans="1:1">
      <c r="A954" s="576"/>
    </row>
    <row r="955" spans="1:1">
      <c r="A955" s="576"/>
    </row>
    <row r="956" spans="1:1">
      <c r="A956" s="576"/>
    </row>
    <row r="957" spans="1:1">
      <c r="A957" s="576"/>
    </row>
    <row r="958" spans="1:1">
      <c r="A958" s="576"/>
    </row>
    <row r="959" spans="1:1">
      <c r="A959" s="576"/>
    </row>
    <row r="960" spans="1:1">
      <c r="A960" s="576"/>
    </row>
    <row r="961" spans="1:1">
      <c r="A961" s="576"/>
    </row>
    <row r="962" spans="1:1">
      <c r="A962" s="576"/>
    </row>
    <row r="963" spans="1:1">
      <c r="A963" s="576"/>
    </row>
    <row r="964" spans="1:1">
      <c r="A964" s="576"/>
    </row>
    <row r="965" spans="1:1">
      <c r="A965" s="576"/>
    </row>
    <row r="966" spans="1:1">
      <c r="A966" s="576"/>
    </row>
    <row r="967" spans="1:1">
      <c r="A967" s="576"/>
    </row>
    <row r="968" spans="1:1">
      <c r="A968" s="576"/>
    </row>
    <row r="969" spans="1:1">
      <c r="A969" s="576"/>
    </row>
    <row r="970" spans="1:1">
      <c r="A970" s="576"/>
    </row>
    <row r="971" spans="1:1">
      <c r="A971" s="576"/>
    </row>
    <row r="972" spans="1:1">
      <c r="A972" s="576"/>
    </row>
    <row r="973" spans="1:1">
      <c r="A973" s="576"/>
    </row>
    <row r="974" spans="1:1">
      <c r="A974" s="576"/>
    </row>
    <row r="975" spans="1:1">
      <c r="A975" s="576"/>
    </row>
    <row r="976" spans="1:1">
      <c r="A976" s="576"/>
    </row>
    <row r="977" spans="1:1">
      <c r="A977" s="576"/>
    </row>
    <row r="978" spans="1:1">
      <c r="A978" s="576"/>
    </row>
    <row r="979" spans="1:1">
      <c r="A979" s="576"/>
    </row>
    <row r="980" spans="1:1">
      <c r="A980" s="576"/>
    </row>
    <row r="981" spans="1:1">
      <c r="A981" s="576"/>
    </row>
    <row r="982" spans="1:1">
      <c r="A982" s="576"/>
    </row>
    <row r="983" spans="1:1">
      <c r="A983" s="576"/>
    </row>
    <row r="984" spans="1:1">
      <c r="A984" s="576"/>
    </row>
    <row r="985" spans="1:1">
      <c r="A985" s="576"/>
    </row>
    <row r="986" spans="1:1">
      <c r="A986" s="576"/>
    </row>
    <row r="987" spans="1:1">
      <c r="A987" s="576"/>
    </row>
    <row r="988" spans="1:1">
      <c r="A988" s="576"/>
    </row>
    <row r="989" spans="1:1">
      <c r="A989" s="576"/>
    </row>
    <row r="990" spans="1:1">
      <c r="A990" s="576"/>
    </row>
    <row r="991" spans="1:1">
      <c r="A991" s="576"/>
    </row>
    <row r="992" spans="1:1">
      <c r="A992" s="576"/>
    </row>
    <row r="993" spans="1:1">
      <c r="A993" s="576"/>
    </row>
    <row r="994" spans="1:1">
      <c r="A994" s="576"/>
    </row>
    <row r="995" spans="1:1">
      <c r="A995" s="576"/>
    </row>
    <row r="996" spans="1:1">
      <c r="A996" s="576"/>
    </row>
    <row r="997" spans="1:1">
      <c r="A997" s="576"/>
    </row>
    <row r="998" spans="1:1">
      <c r="A998" s="576"/>
    </row>
    <row r="999" spans="1:1">
      <c r="A999" s="576"/>
    </row>
    <row r="1000" spans="1:1">
      <c r="A1000" s="576"/>
    </row>
    <row r="1001" spans="1:1">
      <c r="A1001" s="576"/>
    </row>
    <row r="1002" spans="1:1">
      <c r="A1002" s="576"/>
    </row>
    <row r="1003" spans="1:1">
      <c r="A1003" s="576"/>
    </row>
    <row r="1004" spans="1:1">
      <c r="A1004" s="576"/>
    </row>
    <row r="1005" spans="1:1">
      <c r="A1005" s="576"/>
    </row>
    <row r="1006" spans="1:1">
      <c r="A1006" s="576"/>
    </row>
    <row r="1007" spans="1:1">
      <c r="A1007" s="576"/>
    </row>
    <row r="1008" spans="1:1">
      <c r="A1008" s="576"/>
    </row>
    <row r="1009" spans="1:1">
      <c r="A1009" s="576"/>
    </row>
    <row r="1010" spans="1:1">
      <c r="A1010" s="576"/>
    </row>
    <row r="1011" spans="1:1">
      <c r="A1011" s="576"/>
    </row>
    <row r="1012" spans="1:1">
      <c r="A1012" s="576"/>
    </row>
    <row r="1013" spans="1:1">
      <c r="A1013" s="576"/>
    </row>
    <row r="1014" spans="1:1">
      <c r="A1014" s="576"/>
    </row>
    <row r="1015" spans="1:1">
      <c r="A1015" s="576"/>
    </row>
    <row r="1016" spans="1:1">
      <c r="A1016" s="576"/>
    </row>
    <row r="1017" spans="1:1">
      <c r="A1017" s="576"/>
    </row>
    <row r="1018" spans="1:1">
      <c r="A1018" s="576"/>
    </row>
    <row r="1019" spans="1:1">
      <c r="A1019" s="576"/>
    </row>
    <row r="1020" spans="1:1">
      <c r="A1020" s="576"/>
    </row>
    <row r="1021" spans="1:1">
      <c r="A1021" s="576"/>
    </row>
    <row r="1022" spans="1:1">
      <c r="A1022" s="576"/>
    </row>
    <row r="1023" spans="1:1">
      <c r="A1023" s="576"/>
    </row>
    <row r="1024" spans="1:1">
      <c r="A1024" s="576"/>
    </row>
    <row r="1025" spans="1:1">
      <c r="A1025" s="576"/>
    </row>
    <row r="1026" spans="1:1">
      <c r="A1026" s="576"/>
    </row>
    <row r="1027" spans="1:1">
      <c r="A1027" s="576"/>
    </row>
    <row r="1028" spans="1:1">
      <c r="A1028" s="576"/>
    </row>
    <row r="1029" spans="1:1">
      <c r="A1029" s="576"/>
    </row>
    <row r="1030" spans="1:1">
      <c r="A1030" s="576"/>
    </row>
    <row r="1031" spans="1:1">
      <c r="A1031" s="576"/>
    </row>
    <row r="1032" spans="1:1">
      <c r="A1032" s="576"/>
    </row>
    <row r="1033" spans="1:1">
      <c r="A1033" s="576"/>
    </row>
    <row r="1034" spans="1:1">
      <c r="A1034" s="576"/>
    </row>
    <row r="1035" spans="1:1">
      <c r="A1035" s="576"/>
    </row>
    <row r="1036" spans="1:1">
      <c r="A1036" s="576"/>
    </row>
    <row r="1037" spans="1:1">
      <c r="A1037" s="576"/>
    </row>
    <row r="1038" spans="1:1">
      <c r="A1038" s="576"/>
    </row>
    <row r="1039" spans="1:1">
      <c r="A1039" s="576"/>
    </row>
    <row r="1040" spans="1:1">
      <c r="A1040" s="576"/>
    </row>
    <row r="1041" spans="1:1">
      <c r="A1041" s="576"/>
    </row>
    <row r="1042" spans="1:1">
      <c r="A1042" s="576"/>
    </row>
    <row r="1043" spans="1:1">
      <c r="A1043" s="576"/>
    </row>
    <row r="1044" spans="1:1">
      <c r="A1044" s="576"/>
    </row>
    <row r="1045" spans="1:1">
      <c r="A1045" s="576"/>
    </row>
    <row r="1046" spans="1:1">
      <c r="A1046" s="576"/>
    </row>
    <row r="1047" spans="1:1">
      <c r="A1047" s="576"/>
    </row>
    <row r="1048" spans="1:1">
      <c r="A1048" s="576"/>
    </row>
    <row r="1049" spans="1:1">
      <c r="A1049" s="576"/>
    </row>
    <row r="1050" spans="1:1">
      <c r="A1050" s="576"/>
    </row>
    <row r="1051" spans="1:1">
      <c r="A1051" s="576"/>
    </row>
    <row r="1052" spans="1:1">
      <c r="A1052" s="576"/>
    </row>
    <row r="1053" spans="1:1">
      <c r="A1053" s="576"/>
    </row>
    <row r="1054" spans="1:1">
      <c r="A1054" s="576"/>
    </row>
    <row r="1055" spans="1:1">
      <c r="A1055" s="576"/>
    </row>
    <row r="1056" spans="1:1">
      <c r="A1056" s="576"/>
    </row>
    <row r="1057" spans="1:1">
      <c r="A1057" s="576"/>
    </row>
    <row r="1058" spans="1:1">
      <c r="A1058" s="576"/>
    </row>
    <row r="1059" spans="1:1">
      <c r="A1059" s="576"/>
    </row>
    <row r="1060" spans="1:1">
      <c r="A1060" s="576"/>
    </row>
    <row r="1061" spans="1:1">
      <c r="A1061" s="576"/>
    </row>
    <row r="1062" spans="1:1">
      <c r="A1062" s="576"/>
    </row>
    <row r="1063" spans="1:1">
      <c r="A1063" s="576"/>
    </row>
    <row r="1064" spans="1:1">
      <c r="A1064" s="576"/>
    </row>
    <row r="1065" spans="1:1">
      <c r="A1065" s="576"/>
    </row>
    <row r="1066" spans="1:1">
      <c r="A1066" s="576"/>
    </row>
    <row r="1067" spans="1:1">
      <c r="A1067" s="576"/>
    </row>
    <row r="1068" spans="1:1">
      <c r="A1068" s="576"/>
    </row>
    <row r="1069" spans="1:1">
      <c r="A1069" s="576"/>
    </row>
    <row r="1070" spans="1:1">
      <c r="A1070" s="576"/>
    </row>
    <row r="1071" spans="1:1">
      <c r="A1071" s="576"/>
    </row>
    <row r="1072" spans="1:1">
      <c r="A1072" s="576"/>
    </row>
    <row r="1073" spans="1:1">
      <c r="A1073" s="576"/>
    </row>
    <row r="1074" spans="1:1">
      <c r="A1074" s="576"/>
    </row>
    <row r="1075" spans="1:1">
      <c r="A1075" s="576"/>
    </row>
    <row r="1076" spans="1:1">
      <c r="A1076" s="576"/>
    </row>
    <row r="1077" spans="1:1">
      <c r="A1077" s="576"/>
    </row>
    <row r="1078" spans="1:1">
      <c r="A1078" s="576"/>
    </row>
    <row r="1079" spans="1:1">
      <c r="A1079" s="576"/>
    </row>
    <row r="1080" spans="1:1">
      <c r="A1080" s="576"/>
    </row>
    <row r="1081" spans="1:1">
      <c r="A1081" s="576"/>
    </row>
    <row r="1082" spans="1:1">
      <c r="A1082" s="576"/>
    </row>
    <row r="1083" spans="1:1">
      <c r="A1083" s="576"/>
    </row>
    <row r="1084" spans="1:1">
      <c r="A1084" s="576"/>
    </row>
    <row r="1085" spans="1:1">
      <c r="A1085" s="576"/>
    </row>
    <row r="1086" spans="1:1">
      <c r="A1086" s="576"/>
    </row>
    <row r="1087" spans="1:1">
      <c r="A1087" s="576"/>
    </row>
    <row r="1088" spans="1:1">
      <c r="A1088" s="576"/>
    </row>
    <row r="1089" spans="1:1">
      <c r="A1089" s="576"/>
    </row>
    <row r="1090" spans="1:1">
      <c r="A1090" s="576"/>
    </row>
    <row r="1091" spans="1:1">
      <c r="A1091" s="576"/>
    </row>
    <row r="1092" spans="1:1">
      <c r="A1092" s="576"/>
    </row>
    <row r="1093" spans="1:1">
      <c r="A1093" s="576"/>
    </row>
    <row r="1094" spans="1:1">
      <c r="A1094" s="576"/>
    </row>
    <row r="1095" spans="1:1">
      <c r="A1095" s="576"/>
    </row>
    <row r="1096" spans="1:1">
      <c r="A1096" s="576"/>
    </row>
    <row r="1097" spans="1:1">
      <c r="A1097" s="576"/>
    </row>
    <row r="1098" spans="1:1">
      <c r="A1098" s="576"/>
    </row>
    <row r="1099" spans="1:1">
      <c r="A1099" s="576"/>
    </row>
    <row r="1100" spans="1:1">
      <c r="A1100" s="576"/>
    </row>
    <row r="1101" spans="1:1">
      <c r="A1101" s="576"/>
    </row>
    <row r="1102" spans="1:1">
      <c r="A1102" s="576"/>
    </row>
    <row r="1103" spans="1:1">
      <c r="A1103" s="576"/>
    </row>
    <row r="1104" spans="1:1">
      <c r="A1104" s="576"/>
    </row>
    <row r="1105" spans="1:1">
      <c r="A1105" s="576"/>
    </row>
    <row r="1106" spans="1:1">
      <c r="A1106" s="576"/>
    </row>
    <row r="1107" spans="1:1">
      <c r="A1107" s="576"/>
    </row>
    <row r="1108" spans="1:1">
      <c r="A1108" s="576"/>
    </row>
    <row r="1109" spans="1:1">
      <c r="A1109" s="576"/>
    </row>
    <row r="1110" spans="1:1">
      <c r="A1110" s="576"/>
    </row>
    <row r="1111" spans="1:1">
      <c r="A1111" s="576"/>
    </row>
    <row r="1112" spans="1:1">
      <c r="A1112" s="576"/>
    </row>
    <row r="1113" spans="1:1">
      <c r="A1113" s="576"/>
    </row>
    <row r="1114" spans="1:1">
      <c r="A1114" s="576"/>
    </row>
    <row r="1115" spans="1:1">
      <c r="A1115" s="576"/>
    </row>
    <row r="1116" spans="1:1">
      <c r="A1116" s="576"/>
    </row>
    <row r="1117" spans="1:1">
      <c r="A1117" s="576"/>
    </row>
    <row r="1118" spans="1:1">
      <c r="A1118" s="576"/>
    </row>
    <row r="1119" spans="1:1">
      <c r="A1119" s="576"/>
    </row>
    <row r="1120" spans="1:1">
      <c r="A1120" s="576"/>
    </row>
    <row r="1121" spans="1:1">
      <c r="A1121" s="576"/>
    </row>
    <row r="1122" spans="1:1">
      <c r="A1122" s="576"/>
    </row>
    <row r="1123" spans="1:1">
      <c r="A1123" s="576"/>
    </row>
    <row r="1124" spans="1:1">
      <c r="A1124" s="576"/>
    </row>
    <row r="1125" spans="1:1">
      <c r="A1125" s="576"/>
    </row>
    <row r="1126" spans="1:1">
      <c r="A1126" s="576"/>
    </row>
    <row r="1127" spans="1:1">
      <c r="A1127" s="576"/>
    </row>
    <row r="1128" spans="1:1">
      <c r="A1128" s="576"/>
    </row>
    <row r="1129" spans="1:1">
      <c r="A1129" s="576"/>
    </row>
    <row r="1130" spans="1:1">
      <c r="A1130" s="576"/>
    </row>
    <row r="1131" spans="1:1">
      <c r="A1131" s="576"/>
    </row>
    <row r="1132" spans="1:1">
      <c r="A1132" s="576"/>
    </row>
    <row r="1133" spans="1:1">
      <c r="A1133" s="576"/>
    </row>
    <row r="1134" spans="1:1">
      <c r="A1134" s="576"/>
    </row>
    <row r="1135" spans="1:1">
      <c r="A1135" s="576"/>
    </row>
    <row r="1136" spans="1:1">
      <c r="A1136" s="576"/>
    </row>
    <row r="1137" spans="1:1">
      <c r="A1137" s="576"/>
    </row>
    <row r="1138" spans="1:1">
      <c r="A1138" s="576"/>
    </row>
    <row r="1139" spans="1:1">
      <c r="A1139" s="576"/>
    </row>
    <row r="1140" spans="1:1">
      <c r="A1140" s="576"/>
    </row>
    <row r="1141" spans="1:1">
      <c r="A1141" s="576"/>
    </row>
    <row r="1142" spans="1:1">
      <c r="A1142" s="576"/>
    </row>
    <row r="1143" spans="1:1">
      <c r="A1143" s="576"/>
    </row>
    <row r="1144" spans="1:1">
      <c r="A1144" s="576"/>
    </row>
    <row r="1145" spans="1:1">
      <c r="A1145" s="576"/>
    </row>
    <row r="1146" spans="1:1">
      <c r="A1146" s="576"/>
    </row>
    <row r="1147" spans="1:1">
      <c r="A1147" s="576"/>
    </row>
    <row r="1148" spans="1:1">
      <c r="A1148" s="576"/>
    </row>
    <row r="1149" spans="1:1">
      <c r="A1149" s="576"/>
    </row>
    <row r="1150" spans="1:1">
      <c r="A1150" s="576"/>
    </row>
    <row r="1151" spans="1:1">
      <c r="A1151" s="576"/>
    </row>
    <row r="1152" spans="1:1">
      <c r="A1152" s="576"/>
    </row>
    <row r="1153" spans="1:1">
      <c r="A1153" s="576"/>
    </row>
    <row r="1154" spans="1:1">
      <c r="A1154" s="576"/>
    </row>
    <row r="1155" spans="1:1">
      <c r="A1155" s="576"/>
    </row>
    <row r="1156" spans="1:1">
      <c r="A1156" s="576"/>
    </row>
    <row r="1157" spans="1:1">
      <c r="A1157" s="576"/>
    </row>
    <row r="1158" spans="1:1">
      <c r="A1158" s="576"/>
    </row>
    <row r="1159" spans="1:1">
      <c r="A1159" s="576"/>
    </row>
    <row r="1160" spans="1:1">
      <c r="A1160" s="576"/>
    </row>
    <row r="1161" spans="1:1">
      <c r="A1161" s="576"/>
    </row>
    <row r="1162" spans="1:1">
      <c r="A1162" s="576"/>
    </row>
    <row r="1163" spans="1:1">
      <c r="A1163" s="576"/>
    </row>
    <row r="1164" spans="1:1">
      <c r="A1164" s="576"/>
    </row>
    <row r="1165" spans="1:1">
      <c r="A1165" s="576"/>
    </row>
    <row r="1166" spans="1:1">
      <c r="A1166" s="576"/>
    </row>
    <row r="1167" spans="1:1">
      <c r="A1167" s="576"/>
    </row>
    <row r="1168" spans="1:1">
      <c r="A1168" s="576"/>
    </row>
    <row r="1169" spans="1:1">
      <c r="A1169" s="576"/>
    </row>
    <row r="1170" spans="1:1">
      <c r="A1170" s="576"/>
    </row>
    <row r="1171" spans="1:1">
      <c r="A1171" s="576"/>
    </row>
    <row r="1172" spans="1:1">
      <c r="A1172" s="576"/>
    </row>
    <row r="1173" spans="1:1">
      <c r="A1173" s="576"/>
    </row>
    <row r="1174" spans="1:1">
      <c r="A1174" s="576"/>
    </row>
    <row r="1175" spans="1:1">
      <c r="A1175" s="576"/>
    </row>
    <row r="1176" spans="1:1">
      <c r="A1176" s="576"/>
    </row>
    <row r="1177" spans="1:1">
      <c r="A1177" s="576"/>
    </row>
    <row r="1178" spans="1:1">
      <c r="A1178" s="576"/>
    </row>
    <row r="1179" spans="1:1">
      <c r="A1179" s="576"/>
    </row>
    <row r="1180" spans="1:1">
      <c r="A1180" s="576"/>
    </row>
    <row r="1181" spans="1:1">
      <c r="A1181" s="576"/>
    </row>
    <row r="1182" spans="1:1">
      <c r="A1182" s="576"/>
    </row>
    <row r="1183" spans="1:1">
      <c r="A1183" s="576"/>
    </row>
    <row r="1184" spans="1:1">
      <c r="A1184" s="576"/>
    </row>
    <row r="1185" spans="1:1">
      <c r="A1185" s="576"/>
    </row>
    <row r="1186" spans="1:1">
      <c r="A1186" s="576"/>
    </row>
    <row r="1187" spans="1:1">
      <c r="A1187" s="576"/>
    </row>
    <row r="1188" spans="1:1">
      <c r="A1188" s="576"/>
    </row>
    <row r="1189" spans="1:1">
      <c r="A1189" s="576"/>
    </row>
    <row r="1190" spans="1:1">
      <c r="A1190" s="576"/>
    </row>
    <row r="1191" spans="1:1">
      <c r="A1191" s="576"/>
    </row>
    <row r="1192" spans="1:1">
      <c r="A1192" s="576"/>
    </row>
    <row r="1193" spans="1:1">
      <c r="A1193" s="576"/>
    </row>
    <row r="1194" spans="1:1">
      <c r="A1194" s="576"/>
    </row>
    <row r="1195" spans="1:1">
      <c r="A1195" s="576"/>
    </row>
    <row r="1196" spans="1:1">
      <c r="A1196" s="576"/>
    </row>
    <row r="1197" spans="1:1">
      <c r="A1197" s="576"/>
    </row>
    <row r="1198" spans="1:1">
      <c r="A1198" s="576"/>
    </row>
    <row r="1199" spans="1:1">
      <c r="A1199" s="576"/>
    </row>
    <row r="1200" spans="1:1">
      <c r="A1200" s="576"/>
    </row>
    <row r="1201" spans="1:1">
      <c r="A1201" s="576"/>
    </row>
    <row r="1202" spans="1:1">
      <c r="A1202" s="576"/>
    </row>
    <row r="1203" spans="1:1">
      <c r="A1203" s="576"/>
    </row>
    <row r="1204" spans="1:1">
      <c r="A1204" s="576"/>
    </row>
    <row r="1205" spans="1:1">
      <c r="A1205" s="576"/>
    </row>
    <row r="1206" spans="1:1">
      <c r="A1206" s="576"/>
    </row>
    <row r="1207" spans="1:1">
      <c r="A1207" s="576"/>
    </row>
    <row r="1208" spans="1:1">
      <c r="A1208" s="576"/>
    </row>
    <row r="1209" spans="1:1">
      <c r="A1209" s="576"/>
    </row>
    <row r="1210" spans="1:1">
      <c r="A1210" s="576"/>
    </row>
    <row r="1211" spans="1:1">
      <c r="A1211" s="576"/>
    </row>
    <row r="1212" spans="1:1">
      <c r="A1212" s="576"/>
    </row>
    <row r="1213" spans="1:1">
      <c r="A1213" s="576"/>
    </row>
    <row r="1214" spans="1:1">
      <c r="A1214" s="576"/>
    </row>
    <row r="1215" spans="1:1">
      <c r="A1215" s="576"/>
    </row>
    <row r="1216" spans="1:1">
      <c r="A1216" s="576"/>
    </row>
    <row r="1217" spans="1:1">
      <c r="A1217" s="576"/>
    </row>
    <row r="1218" spans="1:1">
      <c r="A1218" s="576"/>
    </row>
    <row r="1219" spans="1:1">
      <c r="A1219" s="576"/>
    </row>
    <row r="1220" spans="1:1">
      <c r="A1220" s="576"/>
    </row>
    <row r="1221" spans="1:1">
      <c r="A1221" s="576"/>
    </row>
    <row r="1222" spans="1:1">
      <c r="A1222" s="576"/>
    </row>
    <row r="1223" spans="1:1">
      <c r="A1223" s="576"/>
    </row>
    <row r="1224" spans="1:1">
      <c r="A1224" s="576"/>
    </row>
    <row r="1225" spans="1:1">
      <c r="A1225" s="576"/>
    </row>
    <row r="1226" spans="1:1">
      <c r="A1226" s="576"/>
    </row>
    <row r="1227" spans="1:1">
      <c r="A1227" s="576"/>
    </row>
    <row r="1228" spans="1:1">
      <c r="A1228" s="576"/>
    </row>
    <row r="1229" spans="1:1">
      <c r="A1229" s="576"/>
    </row>
    <row r="1230" spans="1:1">
      <c r="A1230" s="576"/>
    </row>
    <row r="1231" spans="1:1">
      <c r="A1231" s="576"/>
    </row>
    <row r="1232" spans="1:1">
      <c r="A1232" s="576"/>
    </row>
    <row r="1233" spans="1:1">
      <c r="A1233" s="576"/>
    </row>
    <row r="1234" spans="1:1">
      <c r="A1234" s="576"/>
    </row>
    <row r="1235" spans="1:1">
      <c r="A1235" s="576"/>
    </row>
    <row r="1236" spans="1:1">
      <c r="A1236" s="576"/>
    </row>
    <row r="1237" spans="1:1">
      <c r="A1237" s="576"/>
    </row>
    <row r="1238" spans="1:1">
      <c r="A1238" s="576"/>
    </row>
    <row r="1239" spans="1:1">
      <c r="A1239" s="576"/>
    </row>
    <row r="1240" spans="1:1">
      <c r="A1240" s="576"/>
    </row>
    <row r="1241" spans="1:1">
      <c r="A1241" s="576"/>
    </row>
    <row r="1242" spans="1:1">
      <c r="A1242" s="576"/>
    </row>
    <row r="1243" spans="1:1">
      <c r="A1243" s="576"/>
    </row>
    <row r="1244" spans="1:1">
      <c r="A1244" s="576"/>
    </row>
    <row r="1245" spans="1:1">
      <c r="A1245" s="576"/>
    </row>
    <row r="1246" spans="1:1">
      <c r="A1246" s="576"/>
    </row>
    <row r="1247" spans="1:1">
      <c r="A1247" s="576"/>
    </row>
    <row r="1248" spans="1:1">
      <c r="A1248" s="576"/>
    </row>
    <row r="1249" spans="1:1">
      <c r="A1249" s="576"/>
    </row>
    <row r="1250" spans="1:1">
      <c r="A1250" s="576"/>
    </row>
    <row r="1251" spans="1:1">
      <c r="A1251" s="576"/>
    </row>
    <row r="1252" spans="1:1">
      <c r="A1252" s="576"/>
    </row>
    <row r="1253" spans="1:1">
      <c r="A1253" s="576"/>
    </row>
    <row r="1254" spans="1:1">
      <c r="A1254" s="576"/>
    </row>
    <row r="1255" spans="1:1">
      <c r="A1255" s="576"/>
    </row>
    <row r="1256" spans="1:1">
      <c r="A1256" s="576"/>
    </row>
    <row r="1257" spans="1:1">
      <c r="A1257" s="576"/>
    </row>
    <row r="1258" spans="1:1">
      <c r="A1258" s="576"/>
    </row>
    <row r="1259" spans="1:1">
      <c r="A1259" s="576"/>
    </row>
    <row r="1260" spans="1:1">
      <c r="A1260" s="576"/>
    </row>
    <row r="1261" spans="1:1">
      <c r="A1261" s="576"/>
    </row>
    <row r="1262" spans="1:1">
      <c r="A1262" s="576"/>
    </row>
    <row r="1263" spans="1:1">
      <c r="A1263" s="576"/>
    </row>
    <row r="1264" spans="1:1">
      <c r="A1264" s="576"/>
    </row>
    <row r="1265" spans="1:1">
      <c r="A1265" s="576"/>
    </row>
    <row r="1266" spans="1:1">
      <c r="A1266" s="576"/>
    </row>
    <row r="1267" spans="1:1">
      <c r="A1267" s="576"/>
    </row>
    <row r="1268" spans="1:1">
      <c r="A1268" s="576"/>
    </row>
    <row r="1269" spans="1:1">
      <c r="A1269" s="576"/>
    </row>
    <row r="1270" spans="1:1">
      <c r="A1270" s="576"/>
    </row>
    <row r="1271" spans="1:1">
      <c r="A1271" s="576"/>
    </row>
    <row r="1272" spans="1:1">
      <c r="A1272" s="576"/>
    </row>
    <row r="1273" spans="1:1">
      <c r="A1273" s="576"/>
    </row>
    <row r="1274" spans="1:1">
      <c r="A1274" s="576"/>
    </row>
    <row r="1275" spans="1:1">
      <c r="A1275" s="576"/>
    </row>
    <row r="1276" spans="1:1">
      <c r="A1276" s="576"/>
    </row>
    <row r="1277" spans="1:1">
      <c r="A1277" s="576"/>
    </row>
    <row r="1278" spans="1:1">
      <c r="A1278" s="576"/>
    </row>
    <row r="1279" spans="1:1">
      <c r="A1279" s="576"/>
    </row>
    <row r="1280" spans="1:1">
      <c r="A1280" s="576"/>
    </row>
    <row r="1281" spans="1:1">
      <c r="A1281" s="576"/>
    </row>
    <row r="1282" spans="1:1">
      <c r="A1282" s="576"/>
    </row>
    <row r="1283" spans="1:1">
      <c r="A1283" s="576"/>
    </row>
    <row r="1284" spans="1:1">
      <c r="A1284" s="576"/>
    </row>
    <row r="1285" spans="1:1">
      <c r="A1285" s="576"/>
    </row>
    <row r="1286" spans="1:1">
      <c r="A1286" s="576"/>
    </row>
    <row r="1287" spans="1:1">
      <c r="A1287" s="576"/>
    </row>
    <row r="1288" spans="1:1">
      <c r="A1288" s="576"/>
    </row>
    <row r="1289" spans="1:1">
      <c r="A1289" s="576"/>
    </row>
    <row r="1290" spans="1:1">
      <c r="A1290" s="576"/>
    </row>
    <row r="1291" spans="1:1">
      <c r="A1291" s="576"/>
    </row>
    <row r="1292" spans="1:1">
      <c r="A1292" s="576"/>
    </row>
    <row r="1293" spans="1:1">
      <c r="A1293" s="576"/>
    </row>
    <row r="1294" spans="1:1">
      <c r="A1294" s="576"/>
    </row>
    <row r="1295" spans="1:1">
      <c r="A1295" s="576"/>
    </row>
    <row r="1296" spans="1:1">
      <c r="A1296" s="576"/>
    </row>
    <row r="1297" spans="1:1">
      <c r="A1297" s="576"/>
    </row>
    <row r="1298" spans="1:1">
      <c r="A1298" s="576"/>
    </row>
    <row r="1299" spans="1:1">
      <c r="A1299" s="576"/>
    </row>
    <row r="1300" spans="1:1">
      <c r="A1300" s="576"/>
    </row>
    <row r="1301" spans="1:1">
      <c r="A1301" s="576"/>
    </row>
    <row r="1302" spans="1:1">
      <c r="A1302" s="576"/>
    </row>
    <row r="1303" spans="1:1">
      <c r="A1303" s="576"/>
    </row>
    <row r="1304" spans="1:1">
      <c r="A1304" s="576"/>
    </row>
    <row r="1305" spans="1:1">
      <c r="A1305" s="576"/>
    </row>
    <row r="1306" spans="1:1">
      <c r="A1306" s="576"/>
    </row>
    <row r="1307" spans="1:1">
      <c r="A1307" s="576"/>
    </row>
    <row r="1308" spans="1:1">
      <c r="A1308" s="576"/>
    </row>
    <row r="1309" spans="1:1">
      <c r="A1309" s="576"/>
    </row>
    <row r="1310" spans="1:1">
      <c r="A1310" s="576"/>
    </row>
    <row r="1311" spans="1:1">
      <c r="A1311" s="576"/>
    </row>
    <row r="1312" spans="1:1">
      <c r="A1312" s="576"/>
    </row>
    <row r="1313" spans="1:1">
      <c r="A1313" s="576"/>
    </row>
    <row r="1314" spans="1:1">
      <c r="A1314" s="576"/>
    </row>
    <row r="1315" spans="1:1">
      <c r="A1315" s="576"/>
    </row>
    <row r="1316" spans="1:1">
      <c r="A1316" s="576"/>
    </row>
    <row r="1317" spans="1:1">
      <c r="A1317" s="576"/>
    </row>
    <row r="1318" spans="1:1">
      <c r="A1318" s="576"/>
    </row>
    <row r="1319" spans="1:1">
      <c r="A1319" s="576"/>
    </row>
    <row r="1320" spans="1:1">
      <c r="A1320" s="576"/>
    </row>
    <row r="1321" spans="1:1">
      <c r="A1321" s="576"/>
    </row>
    <row r="1322" spans="1:1">
      <c r="A1322" s="576"/>
    </row>
    <row r="1323" spans="1:1">
      <c r="A1323" s="576"/>
    </row>
    <row r="1324" spans="1:1">
      <c r="A1324" s="576"/>
    </row>
    <row r="1325" spans="1:1">
      <c r="A1325" s="576"/>
    </row>
    <row r="1326" spans="1:1">
      <c r="A1326" s="576"/>
    </row>
    <row r="1327" spans="1:1">
      <c r="A1327" s="576"/>
    </row>
    <row r="1328" spans="1:1">
      <c r="A1328" s="576"/>
    </row>
    <row r="1329" spans="1:1">
      <c r="A1329" s="576"/>
    </row>
    <row r="1330" spans="1:1">
      <c r="A1330" s="576"/>
    </row>
    <row r="1331" spans="1:1">
      <c r="A1331" s="576"/>
    </row>
    <row r="1332" spans="1:1">
      <c r="A1332" s="576"/>
    </row>
    <row r="1333" spans="1:1">
      <c r="A1333" s="576"/>
    </row>
    <row r="1334" spans="1:1">
      <c r="A1334" s="576"/>
    </row>
    <row r="1335" spans="1:1">
      <c r="A1335" s="576"/>
    </row>
    <row r="1336" spans="1:1">
      <c r="A1336" s="576"/>
    </row>
    <row r="1337" spans="1:1">
      <c r="A1337" s="576"/>
    </row>
    <row r="1338" spans="1:1">
      <c r="A1338" s="576"/>
    </row>
    <row r="1339" spans="1:1">
      <c r="A1339" s="576"/>
    </row>
    <row r="1340" spans="1:1">
      <c r="A1340" s="576"/>
    </row>
    <row r="1341" spans="1:1">
      <c r="A1341" s="576"/>
    </row>
    <row r="1342" spans="1:1">
      <c r="A1342" s="576"/>
    </row>
    <row r="1343" spans="1:1">
      <c r="A1343" s="576"/>
    </row>
    <row r="1344" spans="1:1">
      <c r="A1344" s="576"/>
    </row>
    <row r="1345" spans="1:1">
      <c r="A1345" s="576"/>
    </row>
    <row r="1346" spans="1:1">
      <c r="A1346" s="576"/>
    </row>
    <row r="1347" spans="1:1">
      <c r="A1347" s="576"/>
    </row>
    <row r="1348" spans="1:1">
      <c r="A1348" s="576"/>
    </row>
    <row r="1349" spans="1:1">
      <c r="A1349" s="576"/>
    </row>
    <row r="1350" spans="1:1">
      <c r="A1350" s="576"/>
    </row>
    <row r="1351" spans="1:1">
      <c r="A1351" s="576"/>
    </row>
    <row r="1352" spans="1:1">
      <c r="A1352" s="576"/>
    </row>
    <row r="1353" spans="1:1">
      <c r="A1353" s="576"/>
    </row>
    <row r="1354" spans="1:1">
      <c r="A1354" s="576"/>
    </row>
    <row r="1355" spans="1:1">
      <c r="A1355" s="576"/>
    </row>
    <row r="1356" spans="1:1">
      <c r="A1356" s="576"/>
    </row>
    <row r="1357" spans="1:1">
      <c r="A1357" s="576"/>
    </row>
    <row r="1358" spans="1:1">
      <c r="A1358" s="576"/>
    </row>
    <row r="1359" spans="1:1">
      <c r="A1359" s="576"/>
    </row>
    <row r="1360" spans="1:1">
      <c r="A1360" s="576"/>
    </row>
    <row r="1361" spans="1:1">
      <c r="A1361" s="576"/>
    </row>
    <row r="1362" spans="1:1">
      <c r="A1362" s="576"/>
    </row>
    <row r="1363" spans="1:1">
      <c r="A1363" s="576"/>
    </row>
    <row r="1364" spans="1:1">
      <c r="A1364" s="576"/>
    </row>
    <row r="1365" spans="1:1">
      <c r="A1365" s="576"/>
    </row>
    <row r="1366" spans="1:1">
      <c r="A1366" s="576"/>
    </row>
    <row r="1367" spans="1:1">
      <c r="A1367" s="576"/>
    </row>
    <row r="1368" spans="1:1">
      <c r="A1368" s="576"/>
    </row>
    <row r="1369" spans="1:1">
      <c r="A1369" s="576"/>
    </row>
    <row r="1370" spans="1:1">
      <c r="A1370" s="576"/>
    </row>
    <row r="1371" spans="1:1">
      <c r="A1371" s="576"/>
    </row>
    <row r="1372" spans="1:1">
      <c r="A1372" s="576"/>
    </row>
    <row r="1373" spans="1:1">
      <c r="A1373" s="576"/>
    </row>
    <row r="1374" spans="1:1">
      <c r="A1374" s="576"/>
    </row>
    <row r="1375" spans="1:1">
      <c r="A1375" s="576"/>
    </row>
    <row r="1376" spans="1:1">
      <c r="A1376" s="576"/>
    </row>
    <row r="1377" spans="1:1">
      <c r="A1377" s="576"/>
    </row>
    <row r="1378" spans="1:1">
      <c r="A1378" s="576"/>
    </row>
    <row r="1379" spans="1:1">
      <c r="A1379" s="576"/>
    </row>
    <row r="1380" spans="1:1">
      <c r="A1380" s="576"/>
    </row>
    <row r="1381" spans="1:1">
      <c r="A1381" s="576"/>
    </row>
    <row r="1382" spans="1:1">
      <c r="A1382" s="576"/>
    </row>
    <row r="1383" spans="1:1">
      <c r="A1383" s="576"/>
    </row>
    <row r="1384" spans="1:1">
      <c r="A1384" s="576"/>
    </row>
    <row r="1385" spans="1:1">
      <c r="A1385" s="576"/>
    </row>
    <row r="1386" spans="1:1">
      <c r="A1386" s="576"/>
    </row>
    <row r="1387" spans="1:1">
      <c r="A1387" s="576"/>
    </row>
    <row r="1388" spans="1:1">
      <c r="A1388" s="576"/>
    </row>
    <row r="1389" spans="1:1">
      <c r="A1389" s="576"/>
    </row>
    <row r="1390" spans="1:1">
      <c r="A1390" s="576"/>
    </row>
    <row r="1391" spans="1:1">
      <c r="A1391" s="576"/>
    </row>
    <row r="1392" spans="1:1">
      <c r="A1392" s="576"/>
    </row>
    <row r="1393" spans="1:1">
      <c r="A1393" s="576"/>
    </row>
    <row r="1394" spans="1:1">
      <c r="A1394" s="576"/>
    </row>
    <row r="1395" spans="1:1">
      <c r="A1395" s="576"/>
    </row>
    <row r="1396" spans="1:1">
      <c r="A1396" s="576"/>
    </row>
    <row r="1397" spans="1:1">
      <c r="A1397" s="576"/>
    </row>
    <row r="1398" spans="1:1">
      <c r="A1398" s="576"/>
    </row>
    <row r="1399" spans="1:1">
      <c r="A1399" s="576"/>
    </row>
    <row r="1400" spans="1:1">
      <c r="A1400" s="576"/>
    </row>
    <row r="1401" spans="1:1">
      <c r="A1401" s="576"/>
    </row>
    <row r="1402" spans="1:1">
      <c r="A1402" s="576"/>
    </row>
    <row r="1403" spans="1:1">
      <c r="A1403" s="576"/>
    </row>
    <row r="1404" spans="1:1">
      <c r="A1404" s="576"/>
    </row>
    <row r="1405" spans="1:1">
      <c r="A1405" s="576"/>
    </row>
    <row r="1406" spans="1:1">
      <c r="A1406" s="576"/>
    </row>
    <row r="1407" spans="1:1">
      <c r="A1407" s="576"/>
    </row>
    <row r="1408" spans="1:1">
      <c r="A1408" s="576"/>
    </row>
    <row r="1409" spans="1:1">
      <c r="A1409" s="576"/>
    </row>
    <row r="1410" spans="1:1">
      <c r="A1410" s="576"/>
    </row>
    <row r="1411" spans="1:1">
      <c r="A1411" s="576"/>
    </row>
    <row r="1412" spans="1:1">
      <c r="A1412" s="576"/>
    </row>
    <row r="1413" spans="1:1">
      <c r="A1413" s="576"/>
    </row>
    <row r="1414" spans="1:1">
      <c r="A1414" s="576"/>
    </row>
    <row r="1415" spans="1:1">
      <c r="A1415" s="576"/>
    </row>
    <row r="1416" spans="1:1">
      <c r="A1416" s="576"/>
    </row>
    <row r="1417" spans="1:1">
      <c r="A1417" s="576"/>
    </row>
    <row r="1418" spans="1:1">
      <c r="A1418" s="576"/>
    </row>
    <row r="1419" spans="1:1">
      <c r="A1419" s="576"/>
    </row>
    <row r="1420" spans="1:1">
      <c r="A1420" s="576"/>
    </row>
    <row r="1421" spans="1:1">
      <c r="A1421" s="576"/>
    </row>
    <row r="1422" spans="1:1">
      <c r="A1422" s="576"/>
    </row>
    <row r="1423" spans="1:1">
      <c r="A1423" s="576"/>
    </row>
    <row r="1424" spans="1:1">
      <c r="A1424" s="576"/>
    </row>
    <row r="1425" spans="1:1">
      <c r="A1425" s="576"/>
    </row>
    <row r="1426" spans="1:1">
      <c r="A1426" s="576"/>
    </row>
    <row r="1427" spans="1:1">
      <c r="A1427" s="576"/>
    </row>
    <row r="1428" spans="1:1">
      <c r="A1428" s="576"/>
    </row>
    <row r="1429" spans="1:1">
      <c r="A1429" s="576"/>
    </row>
    <row r="1430" spans="1:1">
      <c r="A1430" s="576"/>
    </row>
    <row r="1431" spans="1:1">
      <c r="A1431" s="576"/>
    </row>
    <row r="1432" spans="1:1">
      <c r="A1432" s="576"/>
    </row>
    <row r="1433" spans="1:1">
      <c r="A1433" s="576"/>
    </row>
    <row r="1434" spans="1:1">
      <c r="A1434" s="576"/>
    </row>
    <row r="1435" spans="1:1">
      <c r="A1435" s="576"/>
    </row>
    <row r="1436" spans="1:1">
      <c r="A1436" s="576"/>
    </row>
    <row r="1437" spans="1:1">
      <c r="A1437" s="576"/>
    </row>
    <row r="1438" spans="1:1">
      <c r="A1438" s="576"/>
    </row>
    <row r="1439" spans="1:1">
      <c r="A1439" s="576"/>
    </row>
    <row r="1440" spans="1:1">
      <c r="A1440" s="576"/>
    </row>
    <row r="1441" spans="1:1">
      <c r="A1441" s="576"/>
    </row>
    <row r="1442" spans="1:1">
      <c r="A1442" s="576"/>
    </row>
    <row r="1443" spans="1:1">
      <c r="A1443" s="576"/>
    </row>
    <row r="1444" spans="1:1">
      <c r="A1444" s="576"/>
    </row>
    <row r="1445" spans="1:1">
      <c r="A1445" s="576"/>
    </row>
    <row r="1446" spans="1:1">
      <c r="A1446" s="576"/>
    </row>
    <row r="1447" spans="1:1">
      <c r="A1447" s="576"/>
    </row>
    <row r="1448" spans="1:1">
      <c r="A1448" s="576"/>
    </row>
    <row r="1449" spans="1:1">
      <c r="A1449" s="576"/>
    </row>
    <row r="1450" spans="1:1">
      <c r="A1450" s="576"/>
    </row>
    <row r="1451" spans="1:1">
      <c r="A1451" s="576"/>
    </row>
    <row r="1452" spans="1:1">
      <c r="A1452" s="576"/>
    </row>
    <row r="1453" spans="1:1">
      <c r="A1453" s="576"/>
    </row>
    <row r="1454" spans="1:1">
      <c r="A1454" s="576"/>
    </row>
    <row r="1455" spans="1:1">
      <c r="A1455" s="576"/>
    </row>
    <row r="1456" spans="1:1">
      <c r="A1456" s="576"/>
    </row>
    <row r="1457" spans="1:1">
      <c r="A1457" s="576"/>
    </row>
    <row r="1458" spans="1:1">
      <c r="A1458" s="576"/>
    </row>
    <row r="1459" spans="1:1">
      <c r="A1459" s="576"/>
    </row>
    <row r="1460" spans="1:1">
      <c r="A1460" s="576"/>
    </row>
    <row r="1461" spans="1:1">
      <c r="A1461" s="576"/>
    </row>
    <row r="1462" spans="1:1">
      <c r="A1462" s="576"/>
    </row>
    <row r="1463" spans="1:1">
      <c r="A1463" s="576"/>
    </row>
    <row r="1464" spans="1:1">
      <c r="A1464" s="576"/>
    </row>
    <row r="1465" spans="1:1">
      <c r="A1465" s="576"/>
    </row>
    <row r="1466" spans="1:1">
      <c r="A1466" s="576"/>
    </row>
    <row r="1467" spans="1:1">
      <c r="A1467" s="576"/>
    </row>
    <row r="1468" spans="1:1">
      <c r="A1468" s="576"/>
    </row>
    <row r="1469" spans="1:1">
      <c r="A1469" s="576"/>
    </row>
    <row r="1470" spans="1:1">
      <c r="A1470" s="576"/>
    </row>
    <row r="1471" spans="1:1">
      <c r="A1471" s="576"/>
    </row>
    <row r="1472" spans="1:1">
      <c r="A1472" s="576"/>
    </row>
    <row r="1473" spans="1:1">
      <c r="A1473" s="576"/>
    </row>
    <row r="1474" spans="1:1">
      <c r="A1474" s="576"/>
    </row>
    <row r="1475" spans="1:1">
      <c r="A1475" s="576"/>
    </row>
    <row r="1476" spans="1:1">
      <c r="A1476" s="576"/>
    </row>
    <row r="1477" spans="1:1">
      <c r="A1477" s="576"/>
    </row>
    <row r="1478" spans="1:1">
      <c r="A1478" s="576"/>
    </row>
    <row r="1479" spans="1:1">
      <c r="A1479" s="576"/>
    </row>
    <row r="1480" spans="1:1">
      <c r="A1480" s="576"/>
    </row>
    <row r="1481" spans="1:1">
      <c r="A1481" s="576"/>
    </row>
    <row r="1482" spans="1:1">
      <c r="A1482" s="576"/>
    </row>
    <row r="1483" spans="1:1">
      <c r="A1483" s="576"/>
    </row>
    <row r="1484" spans="1:1">
      <c r="A1484" s="576"/>
    </row>
    <row r="1485" spans="1:1">
      <c r="A1485" s="576"/>
    </row>
    <row r="1486" spans="1:1">
      <c r="A1486" s="576"/>
    </row>
    <row r="1487" spans="1:1">
      <c r="A1487" s="576"/>
    </row>
    <row r="1488" spans="1:1">
      <c r="A1488" s="576"/>
    </row>
    <row r="1489" spans="1:1">
      <c r="A1489" s="576"/>
    </row>
    <row r="1490" spans="1:1">
      <c r="A1490" s="576"/>
    </row>
    <row r="1491" spans="1:1">
      <c r="A1491" s="576"/>
    </row>
    <row r="1492" spans="1:1">
      <c r="A1492" s="576"/>
    </row>
    <row r="1493" spans="1:1">
      <c r="A1493" s="576"/>
    </row>
    <row r="1494" spans="1:1">
      <c r="A1494" s="576"/>
    </row>
    <row r="1495" spans="1:1">
      <c r="A1495" s="576"/>
    </row>
    <row r="1496" spans="1:1">
      <c r="A1496" s="576"/>
    </row>
    <row r="1497" spans="1:1">
      <c r="A1497" s="576"/>
    </row>
    <row r="1498" spans="1:1">
      <c r="A1498" s="576"/>
    </row>
    <row r="1499" spans="1:1">
      <c r="A1499" s="576"/>
    </row>
    <row r="1500" spans="1:1">
      <c r="A1500" s="576"/>
    </row>
    <row r="1501" spans="1:1">
      <c r="A1501" s="576"/>
    </row>
    <row r="1502" spans="1:1">
      <c r="A1502" s="576"/>
    </row>
    <row r="1503" spans="1:1">
      <c r="A1503" s="576"/>
    </row>
    <row r="1504" spans="1:1">
      <c r="A1504" s="576"/>
    </row>
    <row r="1505" spans="1:1">
      <c r="A1505" s="576"/>
    </row>
    <row r="1506" spans="1:1">
      <c r="A1506" s="576"/>
    </row>
    <row r="1507" spans="1:1">
      <c r="A1507" s="576"/>
    </row>
    <row r="1508" spans="1:1">
      <c r="A1508" s="576"/>
    </row>
    <row r="1509" spans="1:1">
      <c r="A1509" s="576"/>
    </row>
    <row r="1510" spans="1:1">
      <c r="A1510" s="576"/>
    </row>
    <row r="1511" spans="1:1">
      <c r="A1511" s="576"/>
    </row>
    <row r="1512" spans="1:1">
      <c r="A1512" s="576"/>
    </row>
    <row r="1513" spans="1:1">
      <c r="A1513" s="576"/>
    </row>
    <row r="1514" spans="1:1">
      <c r="A1514" s="576"/>
    </row>
    <row r="1515" spans="1:1">
      <c r="A1515" s="576"/>
    </row>
    <row r="1516" spans="1:1">
      <c r="A1516" s="576"/>
    </row>
    <row r="1517" spans="1:1">
      <c r="A1517" s="576"/>
    </row>
    <row r="1518" spans="1:1">
      <c r="A1518" s="576"/>
    </row>
    <row r="1519" spans="1:1">
      <c r="A1519" s="576"/>
    </row>
    <row r="1520" spans="1:1">
      <c r="A1520" s="576"/>
    </row>
    <row r="1521" spans="1:1">
      <c r="A1521" s="576"/>
    </row>
    <row r="1522" spans="1:1">
      <c r="A1522" s="576"/>
    </row>
    <row r="1523" spans="1:1">
      <c r="A1523" s="576"/>
    </row>
    <row r="1524" spans="1:1">
      <c r="A1524" s="576"/>
    </row>
    <row r="1525" spans="1:1">
      <c r="A1525" s="576"/>
    </row>
    <row r="1526" spans="1:1">
      <c r="A1526" s="576"/>
    </row>
    <row r="1527" spans="1:1">
      <c r="A1527" s="576"/>
    </row>
    <row r="1528" spans="1:1">
      <c r="A1528" s="576"/>
    </row>
    <row r="1529" spans="1:1">
      <c r="A1529" s="576"/>
    </row>
    <row r="1530" spans="1:1">
      <c r="A1530" s="576"/>
    </row>
    <row r="1531" spans="1:1">
      <c r="A1531" s="576"/>
    </row>
    <row r="1532" spans="1:1">
      <c r="A1532" s="576"/>
    </row>
    <row r="1533" spans="1:1">
      <c r="A1533" s="576"/>
    </row>
    <row r="1534" spans="1:1">
      <c r="A1534" s="576"/>
    </row>
    <row r="1535" spans="1:1">
      <c r="A1535" s="576"/>
    </row>
    <row r="1536" spans="1:1">
      <c r="A1536" s="576"/>
    </row>
    <row r="1537" spans="1:1">
      <c r="A1537" s="576"/>
    </row>
    <row r="1538" spans="1:1">
      <c r="A1538" s="576"/>
    </row>
    <row r="1539" spans="1:1">
      <c r="A1539" s="576"/>
    </row>
    <row r="1540" spans="1:1">
      <c r="A1540" s="576"/>
    </row>
    <row r="1541" spans="1:1">
      <c r="A1541" s="576"/>
    </row>
    <row r="1542" spans="1:1">
      <c r="A1542" s="576"/>
    </row>
    <row r="1543" spans="1:1">
      <c r="A1543" s="576"/>
    </row>
    <row r="1544" spans="1:1">
      <c r="A1544" s="576"/>
    </row>
    <row r="1545" spans="1:1">
      <c r="A1545" s="576"/>
    </row>
    <row r="1546" spans="1:1">
      <c r="A1546" s="576"/>
    </row>
    <row r="1547" spans="1:1">
      <c r="A1547" s="576"/>
    </row>
    <row r="1548" spans="1:1">
      <c r="A1548" s="576"/>
    </row>
    <row r="1549" spans="1:1">
      <c r="A1549" s="576"/>
    </row>
    <row r="1550" spans="1:1">
      <c r="A1550" s="576"/>
    </row>
    <row r="1551" spans="1:1">
      <c r="A1551" s="576"/>
    </row>
    <row r="1552" spans="1:1">
      <c r="A1552" s="576"/>
    </row>
    <row r="1553" spans="1:1">
      <c r="A1553" s="576"/>
    </row>
    <row r="1554" spans="1:1">
      <c r="A1554" s="576"/>
    </row>
    <row r="1555" spans="1:1">
      <c r="A1555" s="576"/>
    </row>
    <row r="1556" spans="1:1">
      <c r="A1556" s="576"/>
    </row>
    <row r="1557" spans="1:1">
      <c r="A1557" s="576"/>
    </row>
    <row r="1558" spans="1:1">
      <c r="A1558" s="576"/>
    </row>
    <row r="1559" spans="1:1">
      <c r="A1559" s="576"/>
    </row>
    <row r="1560" spans="1:1">
      <c r="A1560" s="576"/>
    </row>
    <row r="1561" spans="1:1">
      <c r="A1561" s="576"/>
    </row>
    <row r="1562" spans="1:1">
      <c r="A1562" s="576"/>
    </row>
    <row r="1563" spans="1:1">
      <c r="A1563" s="576"/>
    </row>
    <row r="1564" spans="1:1">
      <c r="A1564" s="576"/>
    </row>
    <row r="1565" spans="1:1">
      <c r="A1565" s="576"/>
    </row>
    <row r="1566" spans="1:1">
      <c r="A1566" s="576"/>
    </row>
    <row r="1567" spans="1:1">
      <c r="A1567" s="576"/>
    </row>
    <row r="1568" spans="1:1">
      <c r="A1568" s="576"/>
    </row>
    <row r="1569" spans="1:1">
      <c r="A1569" s="576"/>
    </row>
    <row r="1570" spans="1:1">
      <c r="A1570" s="576"/>
    </row>
    <row r="1571" spans="1:1">
      <c r="A1571" s="576"/>
    </row>
    <row r="1572" spans="1:1">
      <c r="A1572" s="576"/>
    </row>
    <row r="1573" spans="1:1">
      <c r="A1573" s="576"/>
    </row>
    <row r="1574" spans="1:1">
      <c r="A1574" s="576"/>
    </row>
    <row r="1575" spans="1:1">
      <c r="A1575" s="576"/>
    </row>
    <row r="1576" spans="1:1">
      <c r="A1576" s="576"/>
    </row>
    <row r="1577" spans="1:1">
      <c r="A1577" s="576"/>
    </row>
    <row r="1578" spans="1:1">
      <c r="A1578" s="576"/>
    </row>
    <row r="1579" spans="1:1">
      <c r="A1579" s="576"/>
    </row>
    <row r="1580" spans="1:1">
      <c r="A1580" s="576"/>
    </row>
    <row r="1581" spans="1:1">
      <c r="A1581" s="576"/>
    </row>
    <row r="1582" spans="1:1">
      <c r="A1582" s="576"/>
    </row>
    <row r="1583" spans="1:1">
      <c r="A1583" s="576"/>
    </row>
    <row r="1584" spans="1:1">
      <c r="A1584" s="576"/>
    </row>
    <row r="1585" spans="1:1">
      <c r="A1585" s="576"/>
    </row>
    <row r="1586" spans="1:1">
      <c r="A1586" s="576"/>
    </row>
    <row r="1587" spans="1:1">
      <c r="A1587" s="576"/>
    </row>
    <row r="1588" spans="1:1">
      <c r="A1588" s="576"/>
    </row>
    <row r="1589" spans="1:1">
      <c r="A1589" s="576"/>
    </row>
    <row r="1590" spans="1:1">
      <c r="A1590" s="576"/>
    </row>
    <row r="1591" spans="1:1">
      <c r="A1591" s="576"/>
    </row>
    <row r="1592" spans="1:1">
      <c r="A1592" s="576"/>
    </row>
    <row r="1593" spans="1:1">
      <c r="A1593" s="576"/>
    </row>
    <row r="1594" spans="1:1">
      <c r="A1594" s="576"/>
    </row>
    <row r="1595" spans="1:1">
      <c r="A1595" s="576"/>
    </row>
    <row r="1596" spans="1:1">
      <c r="A1596" s="576"/>
    </row>
    <row r="1597" spans="1:1">
      <c r="A1597" s="576"/>
    </row>
    <row r="1598" spans="1:1">
      <c r="A1598" s="576"/>
    </row>
    <row r="1599" spans="1:1">
      <c r="A1599" s="576"/>
    </row>
    <row r="1600" spans="1:1">
      <c r="A1600" s="576"/>
    </row>
    <row r="1601" spans="1:1">
      <c r="A1601" s="576"/>
    </row>
    <row r="1602" spans="1:1">
      <c r="A1602" s="576"/>
    </row>
    <row r="1603" spans="1:1">
      <c r="A1603" s="576"/>
    </row>
    <row r="1604" spans="1:1">
      <c r="A1604" s="576"/>
    </row>
    <row r="1605" spans="1:1">
      <c r="A1605" s="576"/>
    </row>
    <row r="1606" spans="1:1">
      <c r="A1606" s="576"/>
    </row>
    <row r="1607" spans="1:1">
      <c r="A1607" s="576"/>
    </row>
    <row r="1608" spans="1:1">
      <c r="A1608" s="576"/>
    </row>
    <row r="1609" spans="1:1">
      <c r="A1609" s="576"/>
    </row>
    <row r="1610" spans="1:1">
      <c r="A1610" s="576"/>
    </row>
    <row r="1611" spans="1:1">
      <c r="A1611" s="576"/>
    </row>
    <row r="1612" spans="1:1">
      <c r="A1612" s="576"/>
    </row>
    <row r="1613" spans="1:1">
      <c r="A1613" s="576"/>
    </row>
    <row r="1614" spans="1:1">
      <c r="A1614" s="576"/>
    </row>
    <row r="1615" spans="1:1">
      <c r="A1615" s="576"/>
    </row>
    <row r="1616" spans="1:1">
      <c r="A1616" s="576"/>
    </row>
    <row r="1617" spans="1:1">
      <c r="A1617" s="576"/>
    </row>
    <row r="1618" spans="1:1">
      <c r="A1618" s="576"/>
    </row>
    <row r="1619" spans="1:1">
      <c r="A1619" s="576"/>
    </row>
    <row r="1620" spans="1:1">
      <c r="A1620" s="576"/>
    </row>
    <row r="1621" spans="1:1">
      <c r="A1621" s="576"/>
    </row>
    <row r="1622" spans="1:1">
      <c r="A1622" s="576"/>
    </row>
    <row r="1623" spans="1:1">
      <c r="A1623" s="576"/>
    </row>
    <row r="1624" spans="1:1">
      <c r="A1624" s="576"/>
    </row>
    <row r="1625" spans="1:1">
      <c r="A1625" s="576"/>
    </row>
    <row r="1626" spans="1:1">
      <c r="A1626" s="576"/>
    </row>
    <row r="1627" spans="1:1">
      <c r="A1627" s="576"/>
    </row>
    <row r="1628" spans="1:1">
      <c r="A1628" s="576"/>
    </row>
    <row r="1629" spans="1:1">
      <c r="A1629" s="576"/>
    </row>
    <row r="1630" spans="1:1">
      <c r="A1630" s="576"/>
    </row>
    <row r="1631" spans="1:1">
      <c r="A1631" s="576"/>
    </row>
    <row r="1632" spans="1:1">
      <c r="A1632" s="576"/>
    </row>
    <row r="1633" spans="1:1">
      <c r="A1633" s="576"/>
    </row>
    <row r="1634" spans="1:1">
      <c r="A1634" s="576"/>
    </row>
    <row r="1635" spans="1:1">
      <c r="A1635" s="576"/>
    </row>
    <row r="1636" spans="1:1">
      <c r="A1636" s="576"/>
    </row>
    <row r="1637" spans="1:1">
      <c r="A1637" s="576"/>
    </row>
    <row r="1638" spans="1:1">
      <c r="A1638" s="576"/>
    </row>
    <row r="1639" spans="1:1">
      <c r="A1639" s="576"/>
    </row>
    <row r="1640" spans="1:1">
      <c r="A1640" s="576"/>
    </row>
    <row r="1641" spans="1:1">
      <c r="A1641" s="576"/>
    </row>
    <row r="1642" spans="1:1">
      <c r="A1642" s="576"/>
    </row>
    <row r="1643" spans="1:1">
      <c r="A1643" s="576"/>
    </row>
    <row r="1644" spans="1:1">
      <c r="A1644" s="576"/>
    </row>
    <row r="1645" spans="1:1">
      <c r="A1645" s="576"/>
    </row>
    <row r="1646" spans="1:1">
      <c r="A1646" s="576"/>
    </row>
    <row r="1647" spans="1:1">
      <c r="A1647" s="576"/>
    </row>
    <row r="1648" spans="1:1">
      <c r="A1648" s="576"/>
    </row>
    <row r="1649" spans="1:1">
      <c r="A1649" s="576"/>
    </row>
    <row r="1650" spans="1:1">
      <c r="A1650" s="576"/>
    </row>
    <row r="1651" spans="1:1">
      <c r="A1651" s="576"/>
    </row>
    <row r="1652" spans="1:1">
      <c r="A1652" s="576"/>
    </row>
    <row r="1653" spans="1:1">
      <c r="A1653" s="576"/>
    </row>
    <row r="1654" spans="1:1">
      <c r="A1654" s="576"/>
    </row>
    <row r="1655" spans="1:1">
      <c r="A1655" s="576"/>
    </row>
    <row r="1656" spans="1:1">
      <c r="A1656" s="576"/>
    </row>
    <row r="1657" spans="1:1">
      <c r="A1657" s="576"/>
    </row>
    <row r="1658" spans="1:1">
      <c r="A1658" s="576"/>
    </row>
    <row r="1659" spans="1:1">
      <c r="A1659" s="576"/>
    </row>
    <row r="1660" spans="1:1">
      <c r="A1660" s="576"/>
    </row>
    <row r="1661" spans="1:1">
      <c r="A1661" s="576"/>
    </row>
    <row r="1662" spans="1:1">
      <c r="A1662" s="576"/>
    </row>
    <row r="1663" spans="1:1">
      <c r="A1663" s="576"/>
    </row>
    <row r="1664" spans="1:1">
      <c r="A1664" s="576"/>
    </row>
    <row r="1665" spans="1:1">
      <c r="A1665" s="576"/>
    </row>
    <row r="1666" spans="1:1">
      <c r="A1666" s="576"/>
    </row>
    <row r="1667" spans="1:1">
      <c r="A1667" s="576"/>
    </row>
    <row r="1668" spans="1:1">
      <c r="A1668" s="576"/>
    </row>
    <row r="1669" spans="1:1">
      <c r="A1669" s="576"/>
    </row>
    <row r="1670" spans="1:1">
      <c r="A1670" s="576"/>
    </row>
    <row r="1671" spans="1:1">
      <c r="A1671" s="576"/>
    </row>
    <row r="1672" spans="1:1">
      <c r="A1672" s="576"/>
    </row>
    <row r="1673" spans="1:1">
      <c r="A1673" s="576"/>
    </row>
    <row r="1674" spans="1:1">
      <c r="A1674" s="576"/>
    </row>
    <row r="1675" spans="1:1">
      <c r="A1675" s="576"/>
    </row>
    <row r="1676" spans="1:1">
      <c r="A1676" s="576"/>
    </row>
    <row r="1677" spans="1:1">
      <c r="A1677" s="576"/>
    </row>
    <row r="1678" spans="1:1">
      <c r="A1678" s="576"/>
    </row>
    <row r="1679" spans="1:1">
      <c r="A1679" s="576"/>
    </row>
    <row r="1680" spans="1:1">
      <c r="A1680" s="576"/>
    </row>
    <row r="1681" spans="1:1">
      <c r="A1681" s="576"/>
    </row>
    <row r="1682" spans="1:1">
      <c r="A1682" s="576"/>
    </row>
    <row r="1683" spans="1:1">
      <c r="A1683" s="576"/>
    </row>
    <row r="1684" spans="1:1">
      <c r="A1684" s="576"/>
    </row>
    <row r="1685" spans="1:1">
      <c r="A1685" s="576"/>
    </row>
    <row r="1686" spans="1:1">
      <c r="A1686" s="576"/>
    </row>
    <row r="1687" spans="1:1">
      <c r="A1687" s="576"/>
    </row>
    <row r="1688" spans="1:1">
      <c r="A1688" s="576"/>
    </row>
    <row r="1689" spans="1:1">
      <c r="A1689" s="576"/>
    </row>
    <row r="1690" spans="1:1">
      <c r="A1690" s="576"/>
    </row>
    <row r="1691" spans="1:1">
      <c r="A1691" s="576"/>
    </row>
    <row r="1692" spans="1:1">
      <c r="A1692" s="576"/>
    </row>
    <row r="1693" spans="1:1">
      <c r="A1693" s="576"/>
    </row>
    <row r="1694" spans="1:1">
      <c r="A1694" s="576"/>
    </row>
    <row r="1695" spans="1:1">
      <c r="A1695" s="576"/>
    </row>
    <row r="1696" spans="1:1">
      <c r="A1696" s="576"/>
    </row>
    <row r="1697" spans="1:1">
      <c r="A1697" s="576"/>
    </row>
    <row r="1698" spans="1:1">
      <c r="A1698" s="576"/>
    </row>
    <row r="1699" spans="1:1">
      <c r="A1699" s="576"/>
    </row>
    <row r="1700" spans="1:1">
      <c r="A1700" s="576"/>
    </row>
    <row r="1701" spans="1:1">
      <c r="A1701" s="576"/>
    </row>
    <row r="1702" spans="1:1">
      <c r="A1702" s="576"/>
    </row>
    <row r="1703" spans="1:1">
      <c r="A1703" s="576"/>
    </row>
    <row r="1704" spans="1:1">
      <c r="A1704" s="576"/>
    </row>
    <row r="1705" spans="1:1">
      <c r="A1705" s="576"/>
    </row>
    <row r="1706" spans="1:1">
      <c r="A1706" s="576"/>
    </row>
    <row r="1707" spans="1:1">
      <c r="A1707" s="576"/>
    </row>
    <row r="1708" spans="1:1">
      <c r="A1708" s="576"/>
    </row>
    <row r="1709" spans="1:1">
      <c r="A1709" s="576"/>
    </row>
    <row r="1710" spans="1:1">
      <c r="A1710" s="576"/>
    </row>
    <row r="1711" spans="1:1">
      <c r="A1711" s="576"/>
    </row>
    <row r="1712" spans="1:1">
      <c r="A1712" s="576"/>
    </row>
    <row r="1713" spans="1:1">
      <c r="A1713" s="576"/>
    </row>
    <row r="1714" spans="1:1">
      <c r="A1714" s="576"/>
    </row>
    <row r="1715" spans="1:1">
      <c r="A1715" s="576"/>
    </row>
    <row r="1716" spans="1:1">
      <c r="A1716" s="576"/>
    </row>
    <row r="1717" spans="1:1">
      <c r="A1717" s="576"/>
    </row>
    <row r="1718" spans="1:1">
      <c r="A1718" s="576"/>
    </row>
    <row r="1719" spans="1:1">
      <c r="A1719" s="576"/>
    </row>
    <row r="1720" spans="1:1">
      <c r="A1720" s="576"/>
    </row>
    <row r="1721" spans="1:1">
      <c r="A1721" s="576"/>
    </row>
    <row r="1722" spans="1:1">
      <c r="A1722" s="576"/>
    </row>
    <row r="1723" spans="1:1">
      <c r="A1723" s="576"/>
    </row>
    <row r="1724" spans="1:1">
      <c r="A1724" s="576"/>
    </row>
    <row r="1725" spans="1:1">
      <c r="A1725" s="576"/>
    </row>
    <row r="1726" spans="1:1">
      <c r="A1726" s="576"/>
    </row>
    <row r="1727" spans="1:1">
      <c r="A1727" s="576"/>
    </row>
    <row r="1728" spans="1:1">
      <c r="A1728" s="576"/>
    </row>
    <row r="1729" spans="1:1">
      <c r="A1729" s="576"/>
    </row>
    <row r="1730" spans="1:1">
      <c r="A1730" s="576"/>
    </row>
    <row r="1731" spans="1:1">
      <c r="A1731" s="576"/>
    </row>
    <row r="1732" spans="1:1">
      <c r="A1732" s="576"/>
    </row>
    <row r="1733" spans="1:1">
      <c r="A1733" s="576"/>
    </row>
    <row r="1734" spans="1:1">
      <c r="A1734" s="576"/>
    </row>
    <row r="1735" spans="1:1">
      <c r="A1735" s="576"/>
    </row>
    <row r="1736" spans="1:1">
      <c r="A1736" s="576"/>
    </row>
    <row r="1737" spans="1:1">
      <c r="A1737" s="576"/>
    </row>
    <row r="1738" spans="1:1">
      <c r="A1738" s="576"/>
    </row>
    <row r="1739" spans="1:1">
      <c r="A1739" s="576"/>
    </row>
    <row r="1740" spans="1:1">
      <c r="A1740" s="576"/>
    </row>
    <row r="1741" spans="1:1">
      <c r="A1741" s="576"/>
    </row>
    <row r="1742" spans="1:1">
      <c r="A1742" s="576"/>
    </row>
    <row r="1743" spans="1:1">
      <c r="A1743" s="576"/>
    </row>
    <row r="1744" spans="1:1">
      <c r="A1744" s="576"/>
    </row>
    <row r="1745" spans="1:1">
      <c r="A1745" s="576"/>
    </row>
    <row r="1746" spans="1:1">
      <c r="A1746" s="576"/>
    </row>
    <row r="1747" spans="1:1">
      <c r="A1747" s="576"/>
    </row>
    <row r="1748" spans="1:1">
      <c r="A1748" s="576"/>
    </row>
    <row r="1749" spans="1:1">
      <c r="A1749" s="576"/>
    </row>
    <row r="1750" spans="1:1">
      <c r="A1750" s="576"/>
    </row>
    <row r="1751" spans="1:1">
      <c r="A1751" s="576"/>
    </row>
    <row r="1752" spans="1:1">
      <c r="A1752" s="576"/>
    </row>
    <row r="1753" spans="1:1">
      <c r="A1753" s="576"/>
    </row>
    <row r="1754" spans="1:1">
      <c r="A1754" s="576"/>
    </row>
    <row r="1755" spans="1:1">
      <c r="A1755" s="576"/>
    </row>
    <row r="1756" spans="1:1">
      <c r="A1756" s="576"/>
    </row>
    <row r="1757" spans="1:1">
      <c r="A1757" s="576"/>
    </row>
    <row r="1758" spans="1:1">
      <c r="A1758" s="576"/>
    </row>
    <row r="1759" spans="1:1">
      <c r="A1759" s="576"/>
    </row>
    <row r="1760" spans="1:1">
      <c r="A1760" s="576"/>
    </row>
    <row r="1761" spans="1:1">
      <c r="A1761" s="576"/>
    </row>
    <row r="1762" spans="1:1">
      <c r="A1762" s="576"/>
    </row>
    <row r="1763" spans="1:1">
      <c r="A1763" s="576"/>
    </row>
    <row r="1764" spans="1:1">
      <c r="A1764" s="576"/>
    </row>
    <row r="1765" spans="1:1">
      <c r="A1765" s="576"/>
    </row>
    <row r="1766" spans="1:1">
      <c r="A1766" s="576"/>
    </row>
    <row r="1767" spans="1:1">
      <c r="A1767" s="576"/>
    </row>
    <row r="1768" spans="1:1">
      <c r="A1768" s="576"/>
    </row>
    <row r="1769" spans="1:1">
      <c r="A1769" s="576"/>
    </row>
    <row r="1770" spans="1:1">
      <c r="A1770" s="576"/>
    </row>
    <row r="1771" spans="1:1">
      <c r="A1771" s="576"/>
    </row>
    <row r="1772" spans="1:1">
      <c r="A1772" s="576"/>
    </row>
    <row r="1773" spans="1:1">
      <c r="A1773" s="576"/>
    </row>
    <row r="1774" spans="1:1">
      <c r="A1774" s="576"/>
    </row>
    <row r="1775" spans="1:1">
      <c r="A1775" s="576"/>
    </row>
    <row r="1776" spans="1:1">
      <c r="A1776" s="576"/>
    </row>
    <row r="1777" spans="1:1">
      <c r="A1777" s="576"/>
    </row>
    <row r="1778" spans="1:1">
      <c r="A1778" s="576"/>
    </row>
    <row r="1779" spans="1:1">
      <c r="A1779" s="576"/>
    </row>
    <row r="1780" spans="1:1">
      <c r="A1780" s="576"/>
    </row>
    <row r="1781" spans="1:1">
      <c r="A1781" s="576"/>
    </row>
    <row r="1782" spans="1:1">
      <c r="A1782" s="576"/>
    </row>
    <row r="1783" spans="1:1">
      <c r="A1783" s="576"/>
    </row>
    <row r="1784" spans="1:1">
      <c r="A1784" s="576"/>
    </row>
    <row r="1785" spans="1:1">
      <c r="A1785" s="576"/>
    </row>
    <row r="1786" spans="1:1">
      <c r="A1786" s="576"/>
    </row>
    <row r="1787" spans="1:1">
      <c r="A1787" s="576"/>
    </row>
    <row r="1788" spans="1:1">
      <c r="A1788" s="576"/>
    </row>
    <row r="1789" spans="1:1">
      <c r="A1789" s="576"/>
    </row>
    <row r="1790" spans="1:1">
      <c r="A1790" s="576"/>
    </row>
    <row r="1791" spans="1:1">
      <c r="A1791" s="576"/>
    </row>
    <row r="1792" spans="1:1">
      <c r="A1792" s="576"/>
    </row>
    <row r="1793" spans="1:1">
      <c r="A1793" s="576"/>
    </row>
    <row r="1794" spans="1:1">
      <c r="A1794" s="576"/>
    </row>
    <row r="1795" spans="1:1">
      <c r="A1795" s="576"/>
    </row>
    <row r="1796" spans="1:1">
      <c r="A1796" s="576"/>
    </row>
    <row r="1797" spans="1:1">
      <c r="A1797" s="576"/>
    </row>
    <row r="1798" spans="1:1">
      <c r="A1798" s="576"/>
    </row>
    <row r="1799" spans="1:1">
      <c r="A1799" s="576"/>
    </row>
    <row r="1800" spans="1:1">
      <c r="A1800" s="576"/>
    </row>
    <row r="1801" spans="1:1">
      <c r="A1801" s="576"/>
    </row>
    <row r="1802" spans="1:1">
      <c r="A1802" s="576"/>
    </row>
    <row r="1803" spans="1:1">
      <c r="A1803" s="576"/>
    </row>
    <row r="1804" spans="1:1">
      <c r="A1804" s="576"/>
    </row>
    <row r="1805" spans="1:1">
      <c r="A1805" s="576"/>
    </row>
    <row r="1806" spans="1:1">
      <c r="A1806" s="576"/>
    </row>
    <row r="1807" spans="1:1">
      <c r="A1807" s="576"/>
    </row>
    <row r="1808" spans="1:1">
      <c r="A1808" s="576"/>
    </row>
    <row r="1809" spans="1:1">
      <c r="A1809" s="576"/>
    </row>
    <row r="1810" spans="1:1">
      <c r="A1810" s="576"/>
    </row>
    <row r="1811" spans="1:1">
      <c r="A1811" s="576"/>
    </row>
    <row r="1812" spans="1:1">
      <c r="A1812" s="576"/>
    </row>
    <row r="1813" spans="1:1">
      <c r="A1813" s="576"/>
    </row>
    <row r="1814" spans="1:1">
      <c r="A1814" s="576"/>
    </row>
    <row r="1815" spans="1:1">
      <c r="A1815" s="576"/>
    </row>
    <row r="1816" spans="1:1">
      <c r="A1816" s="576"/>
    </row>
    <row r="1817" spans="1:1">
      <c r="A1817" s="576"/>
    </row>
    <row r="1818" spans="1:1">
      <c r="A1818" s="576"/>
    </row>
    <row r="1819" spans="1:1">
      <c r="A1819" s="576"/>
    </row>
    <row r="1820" spans="1:1">
      <c r="A1820" s="576"/>
    </row>
    <row r="1821" spans="1:1">
      <c r="A1821" s="576"/>
    </row>
    <row r="1822" spans="1:1">
      <c r="A1822" s="576"/>
    </row>
    <row r="1823" spans="1:1">
      <c r="A1823" s="576"/>
    </row>
    <row r="1824" spans="1:1">
      <c r="A1824" s="576"/>
    </row>
    <row r="1825" spans="1:1">
      <c r="A1825" s="576"/>
    </row>
    <row r="1826" spans="1:1">
      <c r="A1826" s="576"/>
    </row>
    <row r="1827" spans="1:1">
      <c r="A1827" s="576"/>
    </row>
    <row r="1828" spans="1:1">
      <c r="A1828" s="576"/>
    </row>
    <row r="1829" spans="1:1">
      <c r="A1829" s="576"/>
    </row>
    <row r="1830" spans="1:1">
      <c r="A1830" s="576"/>
    </row>
    <row r="1831" spans="1:1">
      <c r="A1831" s="576"/>
    </row>
    <row r="1832" spans="1:1">
      <c r="A1832" s="576"/>
    </row>
    <row r="1833" spans="1:1">
      <c r="A1833" s="576"/>
    </row>
    <row r="1834" spans="1:1">
      <c r="A1834" s="576"/>
    </row>
    <row r="1835" spans="1:1">
      <c r="A1835" s="576"/>
    </row>
    <row r="1836" spans="1:1">
      <c r="A1836" s="576"/>
    </row>
    <row r="1837" spans="1:1">
      <c r="A1837" s="576"/>
    </row>
    <row r="1838" spans="1:1">
      <c r="A1838" s="576"/>
    </row>
    <row r="1839" spans="1:1">
      <c r="A1839" s="576"/>
    </row>
    <row r="1840" spans="1:1">
      <c r="A1840" s="576"/>
    </row>
    <row r="1841" spans="1:1">
      <c r="A1841" s="576"/>
    </row>
    <row r="1842" spans="1:1">
      <c r="A1842" s="576"/>
    </row>
    <row r="1843" spans="1:1">
      <c r="A1843" s="576"/>
    </row>
    <row r="1844" spans="1:1">
      <c r="A1844" s="576"/>
    </row>
    <row r="1845" spans="1:1">
      <c r="A1845" s="576"/>
    </row>
    <row r="1846" spans="1:1">
      <c r="A1846" s="576"/>
    </row>
    <row r="1847" spans="1:1">
      <c r="A1847" s="576"/>
    </row>
    <row r="1848" spans="1:1">
      <c r="A1848" s="576"/>
    </row>
    <row r="1849" spans="1:1">
      <c r="A1849" s="576"/>
    </row>
    <row r="1850" spans="1:1">
      <c r="A1850" s="576"/>
    </row>
    <row r="1851" spans="1:1">
      <c r="A1851" s="576"/>
    </row>
    <row r="1852" spans="1:1">
      <c r="A1852" s="576"/>
    </row>
    <row r="1853" spans="1:1">
      <c r="A1853" s="576"/>
    </row>
    <row r="1854" spans="1:1">
      <c r="A1854" s="576"/>
    </row>
    <row r="1855" spans="1:1">
      <c r="A1855" s="576"/>
    </row>
    <row r="1856" spans="1:1">
      <c r="A1856" s="576"/>
    </row>
    <row r="1857" spans="1:1">
      <c r="A1857" s="576"/>
    </row>
    <row r="1858" spans="1:1">
      <c r="A1858" s="576"/>
    </row>
    <row r="1859" spans="1:1">
      <c r="A1859" s="576"/>
    </row>
    <row r="1860" spans="1:1">
      <c r="A1860" s="576"/>
    </row>
    <row r="1861" spans="1:1">
      <c r="A1861" s="576"/>
    </row>
    <row r="1862" spans="1:1">
      <c r="A1862" s="576"/>
    </row>
    <row r="1863" spans="1:1">
      <c r="A1863" s="576"/>
    </row>
    <row r="1864" spans="1:1">
      <c r="A1864" s="576"/>
    </row>
    <row r="1865" spans="1:1">
      <c r="A1865" s="576"/>
    </row>
    <row r="1866" spans="1:1">
      <c r="A1866" s="576"/>
    </row>
    <row r="1867" spans="1:1">
      <c r="A1867" s="576"/>
    </row>
    <row r="1868" spans="1:1">
      <c r="A1868" s="576"/>
    </row>
    <row r="1869" spans="1:1">
      <c r="A1869" s="576"/>
    </row>
    <row r="1870" spans="1:1">
      <c r="A1870" s="576"/>
    </row>
    <row r="1871" spans="1:1">
      <c r="A1871" s="576"/>
    </row>
    <row r="1872" spans="1:1">
      <c r="A1872" s="576"/>
    </row>
    <row r="1873" spans="1:1">
      <c r="A1873" s="576"/>
    </row>
    <row r="1874" spans="1:1">
      <c r="A1874" s="576"/>
    </row>
    <row r="1875" spans="1:1">
      <c r="A1875" s="576"/>
    </row>
    <row r="1876" spans="1:1">
      <c r="A1876" s="576"/>
    </row>
    <row r="1877" spans="1:1">
      <c r="A1877" s="576"/>
    </row>
    <row r="1878" spans="1:1">
      <c r="A1878" s="576"/>
    </row>
    <row r="1879" spans="1:1">
      <c r="A1879" s="576"/>
    </row>
    <row r="1880" spans="1:1">
      <c r="A1880" s="576"/>
    </row>
    <row r="1881" spans="1:1">
      <c r="A1881" s="576"/>
    </row>
    <row r="1882" spans="1:1">
      <c r="A1882" s="576"/>
    </row>
    <row r="1883" spans="1:1">
      <c r="A1883" s="576"/>
    </row>
    <row r="1884" spans="1:1">
      <c r="A1884" s="576"/>
    </row>
    <row r="1885" spans="1:1">
      <c r="A1885" s="576"/>
    </row>
    <row r="1886" spans="1:1">
      <c r="A1886" s="576"/>
    </row>
    <row r="1887" spans="1:1">
      <c r="A1887" s="576"/>
    </row>
    <row r="1888" spans="1:1">
      <c r="A1888" s="576"/>
    </row>
    <row r="1889" spans="1:1">
      <c r="A1889" s="576"/>
    </row>
    <row r="1890" spans="1:1">
      <c r="A1890" s="576"/>
    </row>
    <row r="1891" spans="1:1">
      <c r="A1891" s="576"/>
    </row>
    <row r="1892" spans="1:1">
      <c r="A1892" s="576"/>
    </row>
    <row r="1893" spans="1:1">
      <c r="A1893" s="576"/>
    </row>
    <row r="1894" spans="1:1">
      <c r="A1894" s="576"/>
    </row>
    <row r="1895" spans="1:1">
      <c r="A1895" s="576"/>
    </row>
    <row r="1896" spans="1:1">
      <c r="A1896" s="576"/>
    </row>
    <row r="1897" spans="1:1">
      <c r="A1897" s="576"/>
    </row>
    <row r="1898" spans="1:1">
      <c r="A1898" s="576"/>
    </row>
    <row r="1899" spans="1:1">
      <c r="A1899" s="576"/>
    </row>
    <row r="1900" spans="1:1">
      <c r="A1900" s="576"/>
    </row>
    <row r="1901" spans="1:1">
      <c r="A1901" s="576"/>
    </row>
    <row r="1902" spans="1:1">
      <c r="A1902" s="576"/>
    </row>
    <row r="1903" spans="1:1">
      <c r="A1903" s="576"/>
    </row>
    <row r="1904" spans="1:1">
      <c r="A1904" s="576"/>
    </row>
    <row r="1905" spans="1:1">
      <c r="A1905" s="576"/>
    </row>
    <row r="1906" spans="1:1">
      <c r="A1906" s="576"/>
    </row>
    <row r="1907" spans="1:1">
      <c r="A1907" s="576"/>
    </row>
    <row r="1908" spans="1:1">
      <c r="A1908" s="576"/>
    </row>
    <row r="1909" spans="1:1">
      <c r="A1909" s="576"/>
    </row>
    <row r="1910" spans="1:1">
      <c r="A1910" s="576"/>
    </row>
    <row r="1911" spans="1:1">
      <c r="A1911" s="576"/>
    </row>
    <row r="1912" spans="1:1">
      <c r="A1912" s="576"/>
    </row>
    <row r="1913" spans="1:1">
      <c r="A1913" s="576"/>
    </row>
    <row r="1914" spans="1:1">
      <c r="A1914" s="576"/>
    </row>
    <row r="1915" spans="1:1">
      <c r="A1915" s="576"/>
    </row>
    <row r="1916" spans="1:1">
      <c r="A1916" s="576"/>
    </row>
    <row r="1917" spans="1:1">
      <c r="A1917" s="576"/>
    </row>
    <row r="1918" spans="1:1">
      <c r="A1918" s="576"/>
    </row>
    <row r="1919" spans="1:1">
      <c r="A1919" s="576"/>
    </row>
    <row r="1920" spans="1:1">
      <c r="A1920" s="576"/>
    </row>
    <row r="1921" spans="1:1">
      <c r="A1921" s="576"/>
    </row>
    <row r="1922" spans="1:1">
      <c r="A1922" s="576"/>
    </row>
    <row r="1923" spans="1:1">
      <c r="A1923" s="576"/>
    </row>
    <row r="1924" spans="1:1">
      <c r="A1924" s="576"/>
    </row>
    <row r="1925" spans="1:1">
      <c r="A1925" s="576"/>
    </row>
    <row r="1926" spans="1:1">
      <c r="A1926" s="576"/>
    </row>
    <row r="1927" spans="1:1">
      <c r="A1927" s="576"/>
    </row>
    <row r="1928" spans="1:1">
      <c r="A1928" s="576"/>
    </row>
    <row r="1929" spans="1:1">
      <c r="A1929" s="576"/>
    </row>
    <row r="1930" spans="1:1">
      <c r="A1930" s="576"/>
    </row>
    <row r="1931" spans="1:1">
      <c r="A1931" s="576"/>
    </row>
    <row r="1932" spans="1:1">
      <c r="A1932" s="576"/>
    </row>
    <row r="1933" spans="1:1">
      <c r="A1933" s="576"/>
    </row>
    <row r="1934" spans="1:1">
      <c r="A1934" s="576"/>
    </row>
    <row r="1935" spans="1:1">
      <c r="A1935" s="576"/>
    </row>
    <row r="1936" spans="1:1">
      <c r="A1936" s="576"/>
    </row>
    <row r="1937" spans="1:1">
      <c r="A1937" s="576"/>
    </row>
    <row r="1938" spans="1:1">
      <c r="A1938" s="576"/>
    </row>
    <row r="1939" spans="1:1">
      <c r="A1939" s="576"/>
    </row>
    <row r="1940" spans="1:1">
      <c r="A1940" s="576"/>
    </row>
    <row r="1941" spans="1:1">
      <c r="A1941" s="576"/>
    </row>
    <row r="1942" spans="1:1">
      <c r="A1942" s="576"/>
    </row>
    <row r="1943" spans="1:1">
      <c r="A1943" s="576"/>
    </row>
    <row r="1944" spans="1:1">
      <c r="A1944" s="576"/>
    </row>
    <row r="1945" spans="1:1">
      <c r="A1945" s="576"/>
    </row>
    <row r="1946" spans="1:1">
      <c r="A1946" s="576"/>
    </row>
    <row r="1947" spans="1:1">
      <c r="A1947" s="576"/>
    </row>
    <row r="1948" spans="1:1">
      <c r="A1948" s="576"/>
    </row>
    <row r="1949" spans="1:1">
      <c r="A1949" s="576"/>
    </row>
    <row r="1950" spans="1:1">
      <c r="A1950" s="576"/>
    </row>
    <row r="1951" spans="1:1">
      <c r="A1951" s="576"/>
    </row>
    <row r="1952" spans="1:1">
      <c r="A1952" s="576"/>
    </row>
    <row r="1953" spans="1:1">
      <c r="A1953" s="576"/>
    </row>
    <row r="1954" spans="1:1">
      <c r="A1954" s="576"/>
    </row>
    <row r="1955" spans="1:1">
      <c r="A1955" s="576"/>
    </row>
    <row r="1956" spans="1:1">
      <c r="A1956" s="576"/>
    </row>
    <row r="1957" spans="1:1">
      <c r="A1957" s="576"/>
    </row>
    <row r="1958" spans="1:1">
      <c r="A1958" s="576"/>
    </row>
    <row r="1959" spans="1:1">
      <c r="A1959" s="576"/>
    </row>
    <row r="1960" spans="1:1">
      <c r="A1960" s="576"/>
    </row>
    <row r="1961" spans="1:1">
      <c r="A1961" s="576"/>
    </row>
    <row r="1962" spans="1:1">
      <c r="A1962" s="576"/>
    </row>
    <row r="1963" spans="1:1">
      <c r="A1963" s="576"/>
    </row>
    <row r="1964" spans="1:1">
      <c r="A1964" s="576"/>
    </row>
    <row r="1965" spans="1:1">
      <c r="A1965" s="576"/>
    </row>
    <row r="1966" spans="1:1">
      <c r="A1966" s="576"/>
    </row>
    <row r="1967" spans="1:1">
      <c r="A1967" s="576"/>
    </row>
    <row r="1968" spans="1:1">
      <c r="A1968" s="576"/>
    </row>
    <row r="1969" spans="1:1">
      <c r="A1969" s="576"/>
    </row>
    <row r="1970" spans="1:1">
      <c r="A1970" s="576"/>
    </row>
    <row r="1971" spans="1:1">
      <c r="A1971" s="576"/>
    </row>
    <row r="1972" spans="1:1">
      <c r="A1972" s="576"/>
    </row>
    <row r="1973" spans="1:1">
      <c r="A1973" s="576"/>
    </row>
    <row r="1974" spans="1:1">
      <c r="A1974" s="576"/>
    </row>
    <row r="1975" spans="1:1">
      <c r="A1975" s="576"/>
    </row>
    <row r="1976" spans="1:1">
      <c r="A1976" s="576"/>
    </row>
    <row r="1977" spans="1:1">
      <c r="A1977" s="576"/>
    </row>
    <row r="1978" spans="1:1">
      <c r="A1978" s="576"/>
    </row>
    <row r="1979" spans="1:1">
      <c r="A1979" s="576"/>
    </row>
    <row r="1980" spans="1:1">
      <c r="A1980" s="576"/>
    </row>
    <row r="1981" spans="1:1">
      <c r="A1981" s="576"/>
    </row>
    <row r="1982" spans="1:1">
      <c r="A1982" s="576"/>
    </row>
    <row r="1983" spans="1:1">
      <c r="A1983" s="576"/>
    </row>
    <row r="1984" spans="1:1">
      <c r="A1984" s="576"/>
    </row>
    <row r="1985" spans="1:1">
      <c r="A1985" s="576"/>
    </row>
    <row r="1986" spans="1:1">
      <c r="A1986" s="576"/>
    </row>
    <row r="1987" spans="1:1">
      <c r="A1987" s="576"/>
    </row>
    <row r="1988" spans="1:1">
      <c r="A1988" s="576"/>
    </row>
    <row r="1989" spans="1:1">
      <c r="A1989" s="576"/>
    </row>
    <row r="1990" spans="1:1">
      <c r="A1990" s="576"/>
    </row>
    <row r="1991" spans="1:1">
      <c r="A1991" s="576"/>
    </row>
    <row r="1992" spans="1:1">
      <c r="A1992" s="576"/>
    </row>
    <row r="1993" spans="1:1">
      <c r="A1993" s="576"/>
    </row>
    <row r="1994" spans="1:1">
      <c r="A1994" s="576"/>
    </row>
    <row r="1995" spans="1:1">
      <c r="A1995" s="576"/>
    </row>
    <row r="1996" spans="1:1">
      <c r="A1996" s="576"/>
    </row>
    <row r="1997" spans="1:1">
      <c r="A1997" s="576"/>
    </row>
    <row r="1998" spans="1:1">
      <c r="A1998" s="576"/>
    </row>
    <row r="1999" spans="1:1">
      <c r="A1999" s="576"/>
    </row>
    <row r="2000" spans="1:1">
      <c r="A2000" s="576"/>
    </row>
    <row r="2001" spans="1:1">
      <c r="A2001" s="576"/>
    </row>
    <row r="2002" spans="1:1">
      <c r="A2002" s="576"/>
    </row>
    <row r="2003" spans="1:1">
      <c r="A2003" s="576"/>
    </row>
    <row r="2004" spans="1:1">
      <c r="A2004" s="576"/>
    </row>
    <row r="2005" spans="1:1">
      <c r="A2005" s="576"/>
    </row>
    <row r="2006" spans="1:1">
      <c r="A2006" s="576"/>
    </row>
    <row r="2007" spans="1:1">
      <c r="A2007" s="576"/>
    </row>
    <row r="2008" spans="1:1">
      <c r="A2008" s="576"/>
    </row>
    <row r="2009" spans="1:1">
      <c r="A2009" s="576"/>
    </row>
    <row r="2010" spans="1:1">
      <c r="A2010" s="576"/>
    </row>
    <row r="2011" spans="1:1">
      <c r="A2011" s="576"/>
    </row>
    <row r="2012" spans="1:1">
      <c r="A2012" s="576"/>
    </row>
    <row r="2013" spans="1:1">
      <c r="A2013" s="576"/>
    </row>
    <row r="2014" spans="1:1">
      <c r="A2014" s="576"/>
    </row>
    <row r="2015" spans="1:1">
      <c r="A2015" s="576"/>
    </row>
    <row r="2016" spans="1:1">
      <c r="A2016" s="576"/>
    </row>
    <row r="2017" spans="1:1">
      <c r="A2017" s="576"/>
    </row>
    <row r="2018" spans="1:1">
      <c r="A2018" s="576"/>
    </row>
    <row r="2019" spans="1:1">
      <c r="A2019" s="576"/>
    </row>
    <row r="2020" spans="1:1">
      <c r="A2020" s="576"/>
    </row>
    <row r="2021" spans="1:1">
      <c r="A2021" s="576"/>
    </row>
    <row r="2022" spans="1:1">
      <c r="A2022" s="576"/>
    </row>
    <row r="2023" spans="1:1">
      <c r="A2023" s="576"/>
    </row>
    <row r="2024" spans="1:1">
      <c r="A2024" s="576"/>
    </row>
    <row r="2025" spans="1:1">
      <c r="A2025" s="576"/>
    </row>
    <row r="2026" spans="1:1">
      <c r="A2026" s="576"/>
    </row>
    <row r="2027" spans="1:1">
      <c r="A2027" s="576"/>
    </row>
    <row r="2028" spans="1:1">
      <c r="A2028" s="576"/>
    </row>
    <row r="2029" spans="1:1">
      <c r="A2029" s="576"/>
    </row>
    <row r="2030" spans="1:1">
      <c r="A2030" s="576"/>
    </row>
    <row r="2031" spans="1:1">
      <c r="A2031" s="576"/>
    </row>
    <row r="2032" spans="1:1">
      <c r="A2032" s="576"/>
    </row>
    <row r="2033" spans="1:1">
      <c r="A2033" s="576"/>
    </row>
    <row r="2034" spans="1:1">
      <c r="A2034" s="576"/>
    </row>
    <row r="2035" spans="1:1">
      <c r="A2035" s="576"/>
    </row>
    <row r="2036" spans="1:1">
      <c r="A2036" s="576"/>
    </row>
    <row r="2037" spans="1:1">
      <c r="A2037" s="576"/>
    </row>
    <row r="2038" spans="1:1">
      <c r="A2038" s="576"/>
    </row>
    <row r="2039" spans="1:1">
      <c r="A2039" s="576"/>
    </row>
    <row r="2040" spans="1:1">
      <c r="A2040" s="576"/>
    </row>
    <row r="2041" spans="1:1">
      <c r="A2041" s="576"/>
    </row>
    <row r="2042" spans="1:1">
      <c r="A2042" s="576"/>
    </row>
    <row r="2043" spans="1:1">
      <c r="A2043" s="576"/>
    </row>
    <row r="2044" spans="1:1">
      <c r="A2044" s="576"/>
    </row>
    <row r="2045" spans="1:1">
      <c r="A2045" s="576"/>
    </row>
    <row r="2046" spans="1:1">
      <c r="A2046" s="576"/>
    </row>
    <row r="2047" spans="1:1">
      <c r="A2047" s="576"/>
    </row>
    <row r="2048" spans="1:1">
      <c r="A2048" s="576"/>
    </row>
    <row r="2049" spans="1:1">
      <c r="A2049" s="576"/>
    </row>
    <row r="2050" spans="1:1">
      <c r="A2050" s="576"/>
    </row>
    <row r="2051" spans="1:1">
      <c r="A2051" s="576"/>
    </row>
    <row r="2052" spans="1:1">
      <c r="A2052" s="576"/>
    </row>
    <row r="2053" spans="1:1">
      <c r="A2053" s="576"/>
    </row>
    <row r="2054" spans="1:1">
      <c r="A2054" s="576"/>
    </row>
    <row r="2055" spans="1:1">
      <c r="A2055" s="576"/>
    </row>
    <row r="2056" spans="1:1">
      <c r="A2056" s="576"/>
    </row>
    <row r="2057" spans="1:1">
      <c r="A2057" s="576"/>
    </row>
    <row r="2058" spans="1:1">
      <c r="A2058" s="576"/>
    </row>
    <row r="2059" spans="1:1">
      <c r="A2059" s="576"/>
    </row>
    <row r="2060" spans="1:1">
      <c r="A2060" s="576"/>
    </row>
    <row r="2061" spans="1:1">
      <c r="A2061" s="576"/>
    </row>
    <row r="2062" spans="1:1">
      <c r="A2062" s="576"/>
    </row>
    <row r="2063" spans="1:1">
      <c r="A2063" s="576"/>
    </row>
    <row r="2064" spans="1:1">
      <c r="A2064" s="576"/>
    </row>
    <row r="2065" spans="1:1">
      <c r="A2065" s="576"/>
    </row>
    <row r="2066" spans="1:1">
      <c r="A2066" s="576"/>
    </row>
    <row r="2067" spans="1:1">
      <c r="A2067" s="576"/>
    </row>
    <row r="2068" spans="1:1">
      <c r="A2068" s="576"/>
    </row>
    <row r="2069" spans="1:1">
      <c r="A2069" s="576"/>
    </row>
    <row r="2070" spans="1:1">
      <c r="A2070" s="576"/>
    </row>
    <row r="2071" spans="1:1">
      <c r="A2071" s="576"/>
    </row>
    <row r="2072" spans="1:1">
      <c r="A2072" s="576"/>
    </row>
    <row r="2073" spans="1:1">
      <c r="A2073" s="576"/>
    </row>
    <row r="2074" spans="1:1">
      <c r="A2074" s="576"/>
    </row>
    <row r="2075" spans="1:1">
      <c r="A2075" s="576"/>
    </row>
    <row r="2076" spans="1:1">
      <c r="A2076" s="576"/>
    </row>
    <row r="2077" spans="1:1">
      <c r="A2077" s="576"/>
    </row>
    <row r="2078" spans="1:1">
      <c r="A2078" s="576"/>
    </row>
    <row r="2079" spans="1:1">
      <c r="A2079" s="576"/>
    </row>
    <row r="2080" spans="1:1">
      <c r="A2080" s="576"/>
    </row>
    <row r="2081" spans="1:1">
      <c r="A2081" s="576"/>
    </row>
    <row r="2082" spans="1:1">
      <c r="A2082" s="576"/>
    </row>
    <row r="2083" spans="1:1">
      <c r="A2083" s="576"/>
    </row>
    <row r="2084" spans="1:1">
      <c r="A2084" s="576"/>
    </row>
    <row r="2085" spans="1:1">
      <c r="A2085" s="576"/>
    </row>
    <row r="2086" spans="1:1">
      <c r="A2086" s="576"/>
    </row>
    <row r="2087" spans="1:1">
      <c r="A2087" s="576"/>
    </row>
    <row r="2088" spans="1:1">
      <c r="A2088" s="576"/>
    </row>
    <row r="2089" spans="1:1">
      <c r="A2089" s="576"/>
    </row>
    <row r="2090" spans="1:1">
      <c r="A2090" s="576"/>
    </row>
    <row r="2091" spans="1:1">
      <c r="A2091" s="576"/>
    </row>
    <row r="2092" spans="1:1">
      <c r="A2092" s="576"/>
    </row>
    <row r="2093" spans="1:1">
      <c r="A2093" s="576"/>
    </row>
    <row r="2094" spans="1:1">
      <c r="A2094" s="576"/>
    </row>
    <row r="2095" spans="1:1">
      <c r="A2095" s="576"/>
    </row>
    <row r="2096" spans="1:1">
      <c r="A2096" s="576"/>
    </row>
    <row r="2097" spans="1:1">
      <c r="A2097" s="576"/>
    </row>
    <row r="2098" spans="1:1">
      <c r="A2098" s="576"/>
    </row>
    <row r="2099" spans="1:1">
      <c r="A2099" s="576"/>
    </row>
    <row r="2100" spans="1:1">
      <c r="A2100" s="576"/>
    </row>
    <row r="2101" spans="1:1">
      <c r="A2101" s="576"/>
    </row>
    <row r="2102" spans="1:1">
      <c r="A2102" s="576"/>
    </row>
    <row r="2103" spans="1:1">
      <c r="A2103" s="576"/>
    </row>
    <row r="2104" spans="1:1">
      <c r="A2104" s="576"/>
    </row>
    <row r="2105" spans="1:1">
      <c r="A2105" s="576"/>
    </row>
    <row r="2106" spans="1:1">
      <c r="A2106" s="576"/>
    </row>
    <row r="2107" spans="1:1">
      <c r="A2107" s="576"/>
    </row>
    <row r="2108" spans="1:1">
      <c r="A2108" s="576"/>
    </row>
    <row r="2109" spans="1:1">
      <c r="A2109" s="576"/>
    </row>
    <row r="2110" spans="1:1">
      <c r="A2110" s="576"/>
    </row>
    <row r="2111" spans="1:1">
      <c r="A2111" s="576"/>
    </row>
    <row r="2112" spans="1:1">
      <c r="A2112" s="576"/>
    </row>
    <row r="2113" spans="1:1">
      <c r="A2113" s="576"/>
    </row>
    <row r="2114" spans="1:1">
      <c r="A2114" s="576"/>
    </row>
    <row r="2115" spans="1:1">
      <c r="A2115" s="576"/>
    </row>
    <row r="2116" spans="1:1">
      <c r="A2116" s="576"/>
    </row>
    <row r="2117" spans="1:1">
      <c r="A2117" s="576"/>
    </row>
    <row r="2118" spans="1:1">
      <c r="A2118" s="576"/>
    </row>
    <row r="2119" spans="1:1">
      <c r="A2119" s="576"/>
    </row>
    <row r="2120" spans="1:1">
      <c r="A2120" s="576"/>
    </row>
    <row r="2121" spans="1:1">
      <c r="A2121" s="576"/>
    </row>
    <row r="2122" spans="1:1">
      <c r="A2122" s="576"/>
    </row>
    <row r="2123" spans="1:1">
      <c r="A2123" s="576"/>
    </row>
    <row r="2124" spans="1:1">
      <c r="A2124" s="576"/>
    </row>
    <row r="2125" spans="1:1">
      <c r="A2125" s="576"/>
    </row>
    <row r="2126" spans="1:1">
      <c r="A2126" s="576"/>
    </row>
    <row r="2127" spans="1:1">
      <c r="A2127" s="576"/>
    </row>
    <row r="2128" spans="1:1">
      <c r="A2128" s="576"/>
    </row>
    <row r="2129" spans="1:1">
      <c r="A2129" s="576"/>
    </row>
    <row r="2130" spans="1:1">
      <c r="A2130" s="576"/>
    </row>
    <row r="2131" spans="1:1">
      <c r="A2131" s="576"/>
    </row>
    <row r="2132" spans="1:1">
      <c r="A2132" s="576"/>
    </row>
    <row r="2133" spans="1:1">
      <c r="A2133" s="576"/>
    </row>
    <row r="2134" spans="1:1">
      <c r="A2134" s="576"/>
    </row>
    <row r="2135" spans="1:1">
      <c r="A2135" s="576"/>
    </row>
    <row r="2136" spans="1:1">
      <c r="A2136" s="576"/>
    </row>
    <row r="2137" spans="1:1">
      <c r="A2137" s="576"/>
    </row>
    <row r="2138" spans="1:1">
      <c r="A2138" s="576"/>
    </row>
    <row r="2139" spans="1:1">
      <c r="A2139" s="576"/>
    </row>
    <row r="2140" spans="1:1">
      <c r="A2140" s="576"/>
    </row>
    <row r="2141" spans="1:1">
      <c r="A2141" s="576"/>
    </row>
    <row r="2142" spans="1:1">
      <c r="A2142" s="576"/>
    </row>
    <row r="2143" spans="1:1">
      <c r="A2143" s="576"/>
    </row>
    <row r="2144" spans="1:1">
      <c r="A2144" s="576"/>
    </row>
    <row r="2145" spans="1:1">
      <c r="A2145" s="576"/>
    </row>
    <row r="2146" spans="1:1">
      <c r="A2146" s="576"/>
    </row>
    <row r="2147" spans="1:1">
      <c r="A2147" s="576"/>
    </row>
    <row r="2148" spans="1:1">
      <c r="A2148" s="576"/>
    </row>
    <row r="2149" spans="1:1">
      <c r="A2149" s="576"/>
    </row>
    <row r="2150" spans="1:1">
      <c r="A2150" s="576"/>
    </row>
    <row r="2151" spans="1:1">
      <c r="A2151" s="576"/>
    </row>
    <row r="2152" spans="1:1">
      <c r="A2152" s="576"/>
    </row>
    <row r="2153" spans="1:1">
      <c r="A2153" s="576"/>
    </row>
    <row r="2154" spans="1:1">
      <c r="A2154" s="576"/>
    </row>
    <row r="2155" spans="1:1">
      <c r="A2155" s="576"/>
    </row>
    <row r="2156" spans="1:1">
      <c r="A2156" s="576"/>
    </row>
    <row r="2157" spans="1:1">
      <c r="A2157" s="576"/>
    </row>
    <row r="2158" spans="1:1">
      <c r="A2158" s="576"/>
    </row>
    <row r="2159" spans="1:1">
      <c r="A2159" s="576"/>
    </row>
    <row r="2160" spans="1:1">
      <c r="A2160" s="576"/>
    </row>
    <row r="2161" spans="1:1">
      <c r="A2161" s="576"/>
    </row>
    <row r="2162" spans="1:1">
      <c r="A2162" s="576"/>
    </row>
    <row r="2163" spans="1:1">
      <c r="A2163" s="576"/>
    </row>
    <row r="2164" spans="1:1">
      <c r="A2164" s="576"/>
    </row>
    <row r="2165" spans="1:1">
      <c r="A2165" s="576"/>
    </row>
    <row r="2166" spans="1:1">
      <c r="A2166" s="576"/>
    </row>
    <row r="2167" spans="1:1">
      <c r="A2167" s="576"/>
    </row>
    <row r="2168" spans="1:1">
      <c r="A2168" s="576"/>
    </row>
    <row r="2169" spans="1:1">
      <c r="A2169" s="576"/>
    </row>
    <row r="2170" spans="1:1">
      <c r="A2170" s="576"/>
    </row>
    <row r="2171" spans="1:1">
      <c r="A2171" s="576"/>
    </row>
    <row r="2172" spans="1:1">
      <c r="A2172" s="576"/>
    </row>
    <row r="2173" spans="1:1">
      <c r="A2173" s="576"/>
    </row>
    <row r="2174" spans="1:1">
      <c r="A2174" s="576"/>
    </row>
    <row r="2175" spans="1:1">
      <c r="A2175" s="576"/>
    </row>
    <row r="2176" spans="1:1">
      <c r="A2176" s="576"/>
    </row>
    <row r="2177" spans="1:1">
      <c r="A2177" s="576"/>
    </row>
    <row r="2178" spans="1:1">
      <c r="A2178" s="576"/>
    </row>
    <row r="2179" spans="1:1">
      <c r="A2179" s="576"/>
    </row>
    <row r="2180" spans="1:1">
      <c r="A2180" s="576"/>
    </row>
    <row r="2181" spans="1:1">
      <c r="A2181" s="576"/>
    </row>
    <row r="2182" spans="1:1">
      <c r="A2182" s="576"/>
    </row>
    <row r="2183" spans="1:1">
      <c r="A2183" s="576"/>
    </row>
    <row r="2184" spans="1:1">
      <c r="A2184" s="576"/>
    </row>
    <row r="2185" spans="1:1">
      <c r="A2185" s="576"/>
    </row>
    <row r="2186" spans="1:1">
      <c r="A2186" s="576"/>
    </row>
    <row r="2187" spans="1:1">
      <c r="A2187" s="576"/>
    </row>
    <row r="2188" spans="1:1">
      <c r="A2188" s="576"/>
    </row>
    <row r="2189" spans="1:1">
      <c r="A2189" s="576"/>
    </row>
    <row r="2190" spans="1:1">
      <c r="A2190" s="576"/>
    </row>
    <row r="2191" spans="1:1">
      <c r="A2191" s="576"/>
    </row>
    <row r="2192" spans="1:1">
      <c r="A2192" s="576"/>
    </row>
    <row r="2193" spans="1:1">
      <c r="A2193" s="576"/>
    </row>
    <row r="2194" spans="1:1">
      <c r="A2194" s="576"/>
    </row>
    <row r="2195" spans="1:1">
      <c r="A2195" s="576"/>
    </row>
    <row r="2196" spans="1:1">
      <c r="A2196" s="576"/>
    </row>
    <row r="2197" spans="1:1">
      <c r="A2197" s="576"/>
    </row>
    <row r="2198" spans="1:1">
      <c r="A2198" s="576"/>
    </row>
    <row r="2199" spans="1:1">
      <c r="A2199" s="576"/>
    </row>
    <row r="2200" spans="1:1">
      <c r="A2200" s="576"/>
    </row>
    <row r="2201" spans="1:1">
      <c r="A2201" s="576"/>
    </row>
    <row r="2202" spans="1:1">
      <c r="A2202" s="576"/>
    </row>
    <row r="2203" spans="1:1">
      <c r="A2203" s="576"/>
    </row>
    <row r="2204" spans="1:1">
      <c r="A2204" s="576"/>
    </row>
    <row r="2205" spans="1:1">
      <c r="A2205" s="576"/>
    </row>
    <row r="2206" spans="1:1">
      <c r="A2206" s="576"/>
    </row>
    <row r="2207" spans="1:1">
      <c r="A2207" s="576"/>
    </row>
    <row r="2208" spans="1:1">
      <c r="A2208" s="576"/>
    </row>
    <row r="2209" spans="1:1">
      <c r="A2209" s="576"/>
    </row>
    <row r="2210" spans="1:1">
      <c r="A2210" s="576"/>
    </row>
    <row r="2211" spans="1:1">
      <c r="A2211" s="576"/>
    </row>
    <row r="2212" spans="1:1">
      <c r="A2212" s="576"/>
    </row>
    <row r="2213" spans="1:1">
      <c r="A2213" s="576"/>
    </row>
    <row r="2214" spans="1:1">
      <c r="A2214" s="576"/>
    </row>
    <row r="2215" spans="1:1">
      <c r="A2215" s="576"/>
    </row>
    <row r="2216" spans="1:1">
      <c r="A2216" s="576"/>
    </row>
    <row r="2217" spans="1:1">
      <c r="A2217" s="576"/>
    </row>
    <row r="2218" spans="1:1">
      <c r="A2218" s="576"/>
    </row>
    <row r="2219" spans="1:1">
      <c r="A2219" s="576"/>
    </row>
    <row r="2220" spans="1:1">
      <c r="A2220" s="576"/>
    </row>
    <row r="2221" spans="1:1">
      <c r="A2221" s="576"/>
    </row>
    <row r="2222" spans="1:1">
      <c r="A2222" s="576"/>
    </row>
    <row r="2223" spans="1:1">
      <c r="A2223" s="576"/>
    </row>
    <row r="2224" spans="1:1">
      <c r="A2224" s="576"/>
    </row>
    <row r="2225" spans="1:1">
      <c r="A2225" s="576"/>
    </row>
    <row r="2226" spans="1:1">
      <c r="A2226" s="576"/>
    </row>
    <row r="2227" spans="1:1">
      <c r="A2227" s="576"/>
    </row>
    <row r="2228" spans="1:1">
      <c r="A2228" s="576"/>
    </row>
    <row r="2229" spans="1:1">
      <c r="A2229" s="576"/>
    </row>
    <row r="2230" spans="1:1">
      <c r="A2230" s="576"/>
    </row>
    <row r="2231" spans="1:1">
      <c r="A2231" s="576"/>
    </row>
    <row r="2232" spans="1:1">
      <c r="A2232" s="576"/>
    </row>
    <row r="2233" spans="1:1">
      <c r="A2233" s="576"/>
    </row>
    <row r="2234" spans="1:1">
      <c r="A2234" s="576"/>
    </row>
    <row r="2235" spans="1:1">
      <c r="A2235" s="576"/>
    </row>
    <row r="2236" spans="1:1">
      <c r="A2236" s="576"/>
    </row>
    <row r="2237" spans="1:1">
      <c r="A2237" s="576"/>
    </row>
    <row r="2238" spans="1:1">
      <c r="A2238" s="576"/>
    </row>
    <row r="2239" spans="1:1">
      <c r="A2239" s="576"/>
    </row>
    <row r="2240" spans="1:1">
      <c r="A2240" s="576"/>
    </row>
    <row r="2241" spans="1:1">
      <c r="A2241" s="576"/>
    </row>
    <row r="2242" spans="1:1">
      <c r="A2242" s="576"/>
    </row>
    <row r="2243" spans="1:1">
      <c r="A2243" s="576"/>
    </row>
    <row r="2244" spans="1:1">
      <c r="A2244" s="576"/>
    </row>
    <row r="2245" spans="1:1">
      <c r="A2245" s="576"/>
    </row>
    <row r="2246" spans="1:1">
      <c r="A2246" s="576"/>
    </row>
    <row r="2247" spans="1:1">
      <c r="A2247" s="576"/>
    </row>
    <row r="2248" spans="1:1">
      <c r="A2248" s="576"/>
    </row>
    <row r="2249" spans="1:1">
      <c r="A2249" s="576"/>
    </row>
    <row r="2250" spans="1:1">
      <c r="A2250" s="576"/>
    </row>
    <row r="2251" spans="1:1">
      <c r="A2251" s="576"/>
    </row>
    <row r="2252" spans="1:1">
      <c r="A2252" s="576"/>
    </row>
    <row r="2253" spans="1:1">
      <c r="A2253" s="576"/>
    </row>
    <row r="2254" spans="1:1">
      <c r="A2254" s="576"/>
    </row>
    <row r="2255" spans="1:1">
      <c r="A2255" s="576"/>
    </row>
    <row r="2256" spans="1:1">
      <c r="A2256" s="576"/>
    </row>
    <row r="2257" spans="1:1">
      <c r="A2257" s="576"/>
    </row>
    <row r="2258" spans="1:1">
      <c r="A2258" s="576"/>
    </row>
    <row r="2259" spans="1:1">
      <c r="A2259" s="576"/>
    </row>
    <row r="2260" spans="1:1">
      <c r="A2260" s="576"/>
    </row>
    <row r="2261" spans="1:1">
      <c r="A2261" s="576"/>
    </row>
    <row r="2262" spans="1:1">
      <c r="A2262" s="576"/>
    </row>
    <row r="2263" spans="1:1">
      <c r="A2263" s="576"/>
    </row>
    <row r="2264" spans="1:1">
      <c r="A2264" s="576"/>
    </row>
    <row r="2265" spans="1:1">
      <c r="A2265" s="576"/>
    </row>
    <row r="2266" spans="1:1">
      <c r="A2266" s="576"/>
    </row>
    <row r="2267" spans="1:1">
      <c r="A2267" s="576"/>
    </row>
    <row r="2268" spans="1:1">
      <c r="A2268" s="576"/>
    </row>
    <row r="2269" spans="1:1">
      <c r="A2269" s="576"/>
    </row>
    <row r="2270" spans="1:1">
      <c r="A2270" s="576"/>
    </row>
    <row r="2271" spans="1:1">
      <c r="A2271" s="576"/>
    </row>
    <row r="2272" spans="1:1">
      <c r="A2272" s="576"/>
    </row>
    <row r="2273" spans="1:1">
      <c r="A2273" s="576"/>
    </row>
    <row r="2274" spans="1:1">
      <c r="A2274" s="576"/>
    </row>
    <row r="2275" spans="1:1">
      <c r="A2275" s="576"/>
    </row>
    <row r="2276" spans="1:1">
      <c r="A2276" s="576"/>
    </row>
    <row r="2277" spans="1:1">
      <c r="A2277" s="576"/>
    </row>
    <row r="2278" spans="1:1">
      <c r="A2278" s="576"/>
    </row>
    <row r="2279" spans="1:1">
      <c r="A2279" s="576"/>
    </row>
    <row r="2280" spans="1:1">
      <c r="A2280" s="576"/>
    </row>
    <row r="2281" spans="1:1">
      <c r="A2281" s="576"/>
    </row>
    <row r="2282" spans="1:1">
      <c r="A2282" s="576"/>
    </row>
    <row r="2283" spans="1:1">
      <c r="A2283" s="576"/>
    </row>
    <row r="2284" spans="1:1">
      <c r="A2284" s="576"/>
    </row>
    <row r="2285" spans="1:1">
      <c r="A2285" s="576"/>
    </row>
    <row r="2286" spans="1:1">
      <c r="A2286" s="576"/>
    </row>
    <row r="2287" spans="1:1">
      <c r="A2287" s="576"/>
    </row>
    <row r="2288" spans="1:1">
      <c r="A2288" s="576"/>
    </row>
    <row r="2289" spans="1:1">
      <c r="A2289" s="576"/>
    </row>
    <row r="2290" spans="1:1">
      <c r="A2290" s="576"/>
    </row>
    <row r="2291" spans="1:1">
      <c r="A2291" s="576"/>
    </row>
    <row r="2292" spans="1:1">
      <c r="A2292" s="576"/>
    </row>
    <row r="2293" spans="1:1">
      <c r="A2293" s="576"/>
    </row>
    <row r="2294" spans="1:1">
      <c r="A2294" s="576"/>
    </row>
    <row r="2295" spans="1:1">
      <c r="A2295" s="576"/>
    </row>
    <row r="2296" spans="1:1">
      <c r="A2296" s="576"/>
    </row>
    <row r="2297" spans="1:1">
      <c r="A2297" s="576"/>
    </row>
    <row r="2298" spans="1:1">
      <c r="A2298" s="576"/>
    </row>
    <row r="2299" spans="1:1">
      <c r="A2299" s="576"/>
    </row>
    <row r="2300" spans="1:1">
      <c r="A2300" s="576"/>
    </row>
    <row r="2301" spans="1:1">
      <c r="A2301" s="576"/>
    </row>
    <row r="2302" spans="1:1">
      <c r="A2302" s="576"/>
    </row>
    <row r="2303" spans="1:1">
      <c r="A2303" s="576"/>
    </row>
    <row r="2304" spans="1:1">
      <c r="A2304" s="576"/>
    </row>
    <row r="2305" spans="1:1">
      <c r="A2305" s="576"/>
    </row>
    <row r="2306" spans="1:1">
      <c r="A2306" s="576"/>
    </row>
    <row r="2307" spans="1:1">
      <c r="A2307" s="576"/>
    </row>
    <row r="2308" spans="1:1">
      <c r="A2308" s="576"/>
    </row>
    <row r="2309" spans="1:1">
      <c r="A2309" s="576"/>
    </row>
    <row r="2310" spans="1:1">
      <c r="A2310" s="576"/>
    </row>
    <row r="2311" spans="1:1">
      <c r="A2311" s="576"/>
    </row>
    <row r="2312" spans="1:1">
      <c r="A2312" s="576"/>
    </row>
    <row r="2313" spans="1:1">
      <c r="A2313" s="576"/>
    </row>
    <row r="2314" spans="1:1">
      <c r="A2314" s="576"/>
    </row>
    <row r="2315" spans="1:1">
      <c r="A2315" s="576"/>
    </row>
    <row r="2316" spans="1:1">
      <c r="A2316" s="576"/>
    </row>
    <row r="2317" spans="1:1">
      <c r="A2317" s="576"/>
    </row>
    <row r="2318" spans="1:1">
      <c r="A2318" s="576"/>
    </row>
    <row r="2319" spans="1:1">
      <c r="A2319" s="576"/>
    </row>
    <row r="2320" spans="1:1">
      <c r="A2320" s="576"/>
    </row>
    <row r="2321" spans="1:1">
      <c r="A2321" s="576"/>
    </row>
    <row r="2322" spans="1:1">
      <c r="A2322" s="576"/>
    </row>
    <row r="2323" spans="1:1">
      <c r="A2323" s="576"/>
    </row>
    <row r="2324" spans="1:1">
      <c r="A2324" s="576"/>
    </row>
    <row r="2325" spans="1:1">
      <c r="A2325" s="576"/>
    </row>
    <row r="2326" spans="1:1">
      <c r="A2326" s="576"/>
    </row>
    <row r="2327" spans="1:1">
      <c r="A2327" s="576"/>
    </row>
    <row r="2328" spans="1:1">
      <c r="A2328" s="576"/>
    </row>
    <row r="2329" spans="1:1">
      <c r="A2329" s="576"/>
    </row>
    <row r="2330" spans="1:1">
      <c r="A2330" s="576"/>
    </row>
    <row r="2331" spans="1:1">
      <c r="A2331" s="576"/>
    </row>
    <row r="2332" spans="1:1">
      <c r="A2332" s="576"/>
    </row>
    <row r="2333" spans="1:1">
      <c r="A2333" s="576"/>
    </row>
    <row r="2334" spans="1:1">
      <c r="A2334" s="576"/>
    </row>
    <row r="2335" spans="1:1">
      <c r="A2335" s="576"/>
    </row>
    <row r="2336" spans="1:1">
      <c r="A2336" s="576"/>
    </row>
    <row r="2337" spans="1:1">
      <c r="A2337" s="576"/>
    </row>
    <row r="2338" spans="1:1">
      <c r="A2338" s="576"/>
    </row>
    <row r="2339" spans="1:1">
      <c r="A2339" s="576"/>
    </row>
    <row r="2340" spans="1:1">
      <c r="A2340" s="576"/>
    </row>
    <row r="2341" spans="1:1">
      <c r="A2341" s="576"/>
    </row>
    <row r="2342" spans="1:1">
      <c r="A2342" s="576"/>
    </row>
    <row r="2343" spans="1:1">
      <c r="A2343" s="576"/>
    </row>
    <row r="2344" spans="1:1">
      <c r="A2344" s="576"/>
    </row>
    <row r="2345" spans="1:1">
      <c r="A2345" s="576"/>
    </row>
    <row r="2346" spans="1:1">
      <c r="A2346" s="576"/>
    </row>
    <row r="2347" spans="1:1">
      <c r="A2347" s="576"/>
    </row>
    <row r="2348" spans="1:1">
      <c r="A2348" s="576"/>
    </row>
    <row r="2349" spans="1:1">
      <c r="A2349" s="576"/>
    </row>
    <row r="2350" spans="1:1">
      <c r="A2350" s="576"/>
    </row>
    <row r="2351" spans="1:1">
      <c r="A2351" s="576"/>
    </row>
    <row r="2352" spans="1:1">
      <c r="A2352" s="576"/>
    </row>
    <row r="2353" spans="1:1">
      <c r="A2353" s="576"/>
    </row>
    <row r="2354" spans="1:1">
      <c r="A2354" s="576"/>
    </row>
    <row r="2355" spans="1:1">
      <c r="A2355" s="576"/>
    </row>
    <row r="2356" spans="1:1">
      <c r="A2356" s="576"/>
    </row>
    <row r="2357" spans="1:1">
      <c r="A2357" s="576"/>
    </row>
    <row r="2358" spans="1:1">
      <c r="A2358" s="576"/>
    </row>
    <row r="2359" spans="1:1">
      <c r="A2359" s="576"/>
    </row>
    <row r="2360" spans="1:1">
      <c r="A2360" s="576"/>
    </row>
    <row r="2361" spans="1:1">
      <c r="A2361" s="576"/>
    </row>
    <row r="2362" spans="1:1">
      <c r="A2362" s="576"/>
    </row>
    <row r="2363" spans="1:1">
      <c r="A2363" s="576"/>
    </row>
    <row r="2364" spans="1:1">
      <c r="A2364" s="576"/>
    </row>
    <row r="2365" spans="1:1">
      <c r="A2365" s="576"/>
    </row>
    <row r="2366" spans="1:1">
      <c r="A2366" s="576"/>
    </row>
    <row r="2367" spans="1:1">
      <c r="A2367" s="576"/>
    </row>
    <row r="2368" spans="1:1">
      <c r="A2368" s="576"/>
    </row>
    <row r="2369" spans="1:1">
      <c r="A2369" s="576"/>
    </row>
    <row r="2370" spans="1:1">
      <c r="A2370" s="576"/>
    </row>
    <row r="2371" spans="1:1">
      <c r="A2371" s="576"/>
    </row>
    <row r="2372" spans="1:1">
      <c r="A2372" s="576"/>
    </row>
    <row r="2373" spans="1:1">
      <c r="A2373" s="576"/>
    </row>
    <row r="2374" spans="1:1">
      <c r="A2374" s="576"/>
    </row>
    <row r="2375" spans="1:1">
      <c r="A2375" s="576"/>
    </row>
    <row r="2376" spans="1:1">
      <c r="A2376" s="576"/>
    </row>
    <row r="2377" spans="1:1">
      <c r="A2377" s="576"/>
    </row>
    <row r="2378" spans="1:1">
      <c r="A2378" s="576"/>
    </row>
    <row r="2379" spans="1:1">
      <c r="A2379" s="576"/>
    </row>
    <row r="2380" spans="1:1">
      <c r="A2380" s="576"/>
    </row>
    <row r="2381" spans="1:1">
      <c r="A2381" s="576"/>
    </row>
    <row r="2382" spans="1:1">
      <c r="A2382" s="576"/>
    </row>
    <row r="2383" spans="1:1">
      <c r="A2383" s="576"/>
    </row>
    <row r="2384" spans="1:1">
      <c r="A2384" s="576"/>
    </row>
    <row r="2385" spans="1:1">
      <c r="A2385" s="576"/>
    </row>
    <row r="2386" spans="1:1">
      <c r="A2386" s="576"/>
    </row>
    <row r="2387" spans="1:1">
      <c r="A2387" s="576"/>
    </row>
    <row r="2388" spans="1:1">
      <c r="A2388" s="576"/>
    </row>
    <row r="2389" spans="1:1">
      <c r="A2389" s="576"/>
    </row>
    <row r="2390" spans="1:1">
      <c r="A2390" s="576"/>
    </row>
    <row r="2391" spans="1:1">
      <c r="A2391" s="576"/>
    </row>
    <row r="2392" spans="1:1">
      <c r="A2392" s="576"/>
    </row>
    <row r="2393" spans="1:1">
      <c r="A2393" s="576"/>
    </row>
    <row r="2394" spans="1:1">
      <c r="A2394" s="576"/>
    </row>
    <row r="2395" spans="1:1">
      <c r="A2395" s="576"/>
    </row>
    <row r="2396" spans="1:1">
      <c r="A2396" s="576"/>
    </row>
    <row r="2397" spans="1:1">
      <c r="A2397" s="576"/>
    </row>
    <row r="2398" spans="1:1">
      <c r="A2398" s="576"/>
    </row>
    <row r="2399" spans="1:1">
      <c r="A2399" s="576"/>
    </row>
    <row r="2400" spans="1:1">
      <c r="A2400" s="576"/>
    </row>
    <row r="2401" spans="1:1">
      <c r="A2401" s="576"/>
    </row>
    <row r="2402" spans="1:1">
      <c r="A2402" s="576"/>
    </row>
    <row r="2403" spans="1:1">
      <c r="A2403" s="576"/>
    </row>
    <row r="2404" spans="1:1">
      <c r="A2404" s="576"/>
    </row>
    <row r="2405" spans="1:1">
      <c r="A2405" s="576"/>
    </row>
    <row r="2406" spans="1:1">
      <c r="A2406" s="576"/>
    </row>
    <row r="2407" spans="1:1">
      <c r="A2407" s="576"/>
    </row>
    <row r="2408" spans="1:1">
      <c r="A2408" s="576"/>
    </row>
    <row r="2409" spans="1:1">
      <c r="A2409" s="576"/>
    </row>
    <row r="2410" spans="1:1">
      <c r="A2410" s="576"/>
    </row>
    <row r="2411" spans="1:1">
      <c r="A2411" s="576"/>
    </row>
    <row r="2412" spans="1:1">
      <c r="A2412" s="576"/>
    </row>
    <row r="2413" spans="1:1">
      <c r="A2413" s="576"/>
    </row>
    <row r="2414" spans="1:1">
      <c r="A2414" s="576"/>
    </row>
    <row r="2415" spans="1:1">
      <c r="A2415" s="576"/>
    </row>
    <row r="2416" spans="1:1">
      <c r="A2416" s="576"/>
    </row>
    <row r="2417" spans="1:1">
      <c r="A2417" s="576"/>
    </row>
    <row r="2418" spans="1:1">
      <c r="A2418" s="576"/>
    </row>
    <row r="2419" spans="1:1">
      <c r="A2419" s="576"/>
    </row>
    <row r="2420" spans="1:1">
      <c r="A2420" s="576"/>
    </row>
    <row r="2421" spans="1:1">
      <c r="A2421" s="576"/>
    </row>
    <row r="2422" spans="1:1">
      <c r="A2422" s="576"/>
    </row>
    <row r="2423" spans="1:1">
      <c r="A2423" s="576"/>
    </row>
    <row r="2424" spans="1:1">
      <c r="A2424" s="576"/>
    </row>
    <row r="2425" spans="1:1">
      <c r="A2425" s="576"/>
    </row>
    <row r="2426" spans="1:1">
      <c r="A2426" s="576"/>
    </row>
    <row r="2427" spans="1:1">
      <c r="A2427" s="576"/>
    </row>
    <row r="2428" spans="1:1">
      <c r="A2428" s="576"/>
    </row>
    <row r="2429" spans="1:1">
      <c r="A2429" s="576"/>
    </row>
    <row r="2430" spans="1:1">
      <c r="A2430" s="576"/>
    </row>
    <row r="2431" spans="1:1">
      <c r="A2431" s="576"/>
    </row>
    <row r="2432" spans="1:1">
      <c r="A2432" s="576"/>
    </row>
    <row r="2433" spans="1:1">
      <c r="A2433" s="576"/>
    </row>
    <row r="2434" spans="1:1">
      <c r="A2434" s="576"/>
    </row>
    <row r="2435" spans="1:1">
      <c r="A2435" s="576"/>
    </row>
    <row r="2436" spans="1:1">
      <c r="A2436" s="576"/>
    </row>
    <row r="2437" spans="1:1">
      <c r="A2437" s="576"/>
    </row>
    <row r="2438" spans="1:1">
      <c r="A2438" s="576"/>
    </row>
    <row r="2439" spans="1:1">
      <c r="A2439" s="576"/>
    </row>
    <row r="2440" spans="1:1">
      <c r="A2440" s="576"/>
    </row>
    <row r="2441" spans="1:1">
      <c r="A2441" s="576"/>
    </row>
    <row r="2442" spans="1:1">
      <c r="A2442" s="576"/>
    </row>
    <row r="2443" spans="1:1">
      <c r="A2443" s="576"/>
    </row>
    <row r="2444" spans="1:1">
      <c r="A2444" s="576"/>
    </row>
    <row r="2445" spans="1:1">
      <c r="A2445" s="576"/>
    </row>
    <row r="2446" spans="1:1">
      <c r="A2446" s="576"/>
    </row>
    <row r="2447" spans="1:1">
      <c r="A2447" s="576"/>
    </row>
    <row r="2448" spans="1:1">
      <c r="A2448" s="576"/>
    </row>
    <row r="2449" spans="1:1">
      <c r="A2449" s="576"/>
    </row>
    <row r="2450" spans="1:1">
      <c r="A2450" s="576"/>
    </row>
    <row r="2451" spans="1:1">
      <c r="A2451" s="576"/>
    </row>
    <row r="2452" spans="1:1">
      <c r="A2452" s="576"/>
    </row>
    <row r="2453" spans="1:1">
      <c r="A2453" s="576"/>
    </row>
    <row r="2454" spans="1:1">
      <c r="A2454" s="576"/>
    </row>
    <row r="2455" spans="1:1">
      <c r="A2455" s="576"/>
    </row>
    <row r="2456" spans="1:1">
      <c r="A2456" s="576"/>
    </row>
    <row r="2457" spans="1:1">
      <c r="A2457" s="576"/>
    </row>
    <row r="2458" spans="1:1">
      <c r="A2458" s="576"/>
    </row>
    <row r="2459" spans="1:1">
      <c r="A2459" s="576"/>
    </row>
    <row r="2460" spans="1:1">
      <c r="A2460" s="576"/>
    </row>
    <row r="2461" spans="1:1">
      <c r="A2461" s="576"/>
    </row>
    <row r="2462" spans="1:1">
      <c r="A2462" s="576"/>
    </row>
    <row r="2463" spans="1:1">
      <c r="A2463" s="576"/>
    </row>
    <row r="2464" spans="1:1">
      <c r="A2464" s="576"/>
    </row>
    <row r="2465" spans="1:1">
      <c r="A2465" s="576"/>
    </row>
    <row r="2466" spans="1:1">
      <c r="A2466" s="576"/>
    </row>
    <row r="2467" spans="1:1">
      <c r="A2467" s="576"/>
    </row>
    <row r="2468" spans="1:1">
      <c r="A2468" s="576"/>
    </row>
    <row r="2469" spans="1:1">
      <c r="A2469" s="576"/>
    </row>
    <row r="2470" spans="1:1">
      <c r="A2470" s="576"/>
    </row>
    <row r="2471" spans="1:1">
      <c r="A2471" s="576"/>
    </row>
    <row r="2472" spans="1:1">
      <c r="A2472" s="576"/>
    </row>
    <row r="2473" spans="1:1">
      <c r="A2473" s="576"/>
    </row>
    <row r="2474" spans="1:1">
      <c r="A2474" s="576"/>
    </row>
    <row r="2475" spans="1:1">
      <c r="A2475" s="576"/>
    </row>
    <row r="2476" spans="1:1">
      <c r="A2476" s="576"/>
    </row>
    <row r="2477" spans="1:1">
      <c r="A2477" s="576"/>
    </row>
    <row r="2478" spans="1:1">
      <c r="A2478" s="576"/>
    </row>
    <row r="2479" spans="1:1">
      <c r="A2479" s="576"/>
    </row>
    <row r="2480" spans="1:1">
      <c r="A2480" s="576"/>
    </row>
    <row r="2481" spans="1:1">
      <c r="A2481" s="576"/>
    </row>
    <row r="2482" spans="1:1">
      <c r="A2482" s="576"/>
    </row>
    <row r="2483" spans="1:1">
      <c r="A2483" s="576"/>
    </row>
    <row r="2484" spans="1:1">
      <c r="A2484" s="576"/>
    </row>
    <row r="2485" spans="1:1">
      <c r="A2485" s="576"/>
    </row>
    <row r="2486" spans="1:1">
      <c r="A2486" s="576"/>
    </row>
    <row r="2487" spans="1:1">
      <c r="A2487" s="576"/>
    </row>
    <row r="2488" spans="1:1">
      <c r="A2488" s="576"/>
    </row>
    <row r="2489" spans="1:1">
      <c r="A2489" s="576"/>
    </row>
    <row r="2490" spans="1:1">
      <c r="A2490" s="576"/>
    </row>
    <row r="2491" spans="1:1">
      <c r="A2491" s="576"/>
    </row>
    <row r="2492" spans="1:1">
      <c r="A2492" s="576"/>
    </row>
    <row r="2493" spans="1:1">
      <c r="A2493" s="576"/>
    </row>
    <row r="2494" spans="1:1">
      <c r="A2494" s="576"/>
    </row>
    <row r="2495" spans="1:1">
      <c r="A2495" s="576"/>
    </row>
    <row r="2496" spans="1:1">
      <c r="A2496" s="576"/>
    </row>
    <row r="2497" spans="1:1">
      <c r="A2497" s="576"/>
    </row>
    <row r="2498" spans="1:1">
      <c r="A2498" s="576"/>
    </row>
    <row r="2499" spans="1:1">
      <c r="A2499" s="576"/>
    </row>
    <row r="2500" spans="1:1">
      <c r="A2500" s="576"/>
    </row>
    <row r="2501" spans="1:1">
      <c r="A2501" s="576"/>
    </row>
    <row r="2502" spans="1:1">
      <c r="A2502" s="576"/>
    </row>
    <row r="2503" spans="1:1">
      <c r="A2503" s="576"/>
    </row>
    <row r="2504" spans="1:1">
      <c r="A2504" s="576"/>
    </row>
    <row r="2505" spans="1:1">
      <c r="A2505" s="576"/>
    </row>
    <row r="2506" spans="1:1">
      <c r="A2506" s="576"/>
    </row>
    <row r="2507" spans="1:1">
      <c r="A2507" s="576"/>
    </row>
    <row r="2508" spans="1:1">
      <c r="A2508" s="576"/>
    </row>
    <row r="2509" spans="1:1">
      <c r="A2509" s="576"/>
    </row>
    <row r="2510" spans="1:1">
      <c r="A2510" s="576"/>
    </row>
    <row r="2511" spans="1:1">
      <c r="A2511" s="576"/>
    </row>
    <row r="2512" spans="1:1">
      <c r="A2512" s="576"/>
    </row>
    <row r="2513" spans="1:1">
      <c r="A2513" s="576"/>
    </row>
    <row r="2514" spans="1:1">
      <c r="A2514" s="576"/>
    </row>
    <row r="2515" spans="1:1">
      <c r="A2515" s="576"/>
    </row>
    <row r="2516" spans="1:1">
      <c r="A2516" s="576"/>
    </row>
    <row r="2517" spans="1:1">
      <c r="A2517" s="576"/>
    </row>
    <row r="2518" spans="1:1">
      <c r="A2518" s="576"/>
    </row>
    <row r="2519" spans="1:1">
      <c r="A2519" s="576"/>
    </row>
    <row r="2520" spans="1:1">
      <c r="A2520" s="576"/>
    </row>
    <row r="2521" spans="1:1">
      <c r="A2521" s="576"/>
    </row>
    <row r="2522" spans="1:1">
      <c r="A2522" s="576"/>
    </row>
    <row r="2523" spans="1:1">
      <c r="A2523" s="576"/>
    </row>
    <row r="2524" spans="1:1">
      <c r="A2524" s="576"/>
    </row>
    <row r="2525" spans="1:1">
      <c r="A2525" s="576"/>
    </row>
    <row r="2526" spans="1:1">
      <c r="A2526" s="576"/>
    </row>
    <row r="2527" spans="1:1">
      <c r="A2527" s="576"/>
    </row>
    <row r="2528" spans="1:1">
      <c r="A2528" s="576"/>
    </row>
    <row r="2529" spans="1:1">
      <c r="A2529" s="576"/>
    </row>
    <row r="2530" spans="1:1">
      <c r="A2530" s="576"/>
    </row>
    <row r="2531" spans="1:1">
      <c r="A2531" s="576"/>
    </row>
    <row r="2532" spans="1:1">
      <c r="A2532" s="576"/>
    </row>
    <row r="2533" spans="1:1">
      <c r="A2533" s="576"/>
    </row>
    <row r="2534" spans="1:1">
      <c r="A2534" s="576"/>
    </row>
    <row r="2535" spans="1:1">
      <c r="A2535" s="576"/>
    </row>
    <row r="2536" spans="1:1">
      <c r="A2536" s="576"/>
    </row>
    <row r="2537" spans="1:1">
      <c r="A2537" s="576"/>
    </row>
    <row r="2538" spans="1:1">
      <c r="A2538" s="576"/>
    </row>
    <row r="2539" spans="1:1">
      <c r="A2539" s="576"/>
    </row>
    <row r="2540" spans="1:1">
      <c r="A2540" s="576"/>
    </row>
    <row r="2541" spans="1:1">
      <c r="A2541" s="576"/>
    </row>
    <row r="2542" spans="1:1">
      <c r="A2542" s="576"/>
    </row>
    <row r="2543" spans="1:1">
      <c r="A2543" s="576"/>
    </row>
    <row r="2544" spans="1:1">
      <c r="A2544" s="576"/>
    </row>
    <row r="2545" spans="1:1">
      <c r="A2545" s="576"/>
    </row>
    <row r="2546" spans="1:1">
      <c r="A2546" s="576"/>
    </row>
    <row r="2547" spans="1:1">
      <c r="A2547" s="576"/>
    </row>
    <row r="2548" spans="1:1">
      <c r="A2548" s="576"/>
    </row>
    <row r="2549" spans="1:1">
      <c r="A2549" s="576"/>
    </row>
    <row r="2550" spans="1:1">
      <c r="A2550" s="576"/>
    </row>
    <row r="2551" spans="1:1">
      <c r="A2551" s="576"/>
    </row>
    <row r="2552" spans="1:1">
      <c r="A2552" s="576"/>
    </row>
    <row r="2553" spans="1:1">
      <c r="A2553" s="576"/>
    </row>
    <row r="2554" spans="1:1">
      <c r="A2554" s="576"/>
    </row>
    <row r="2555" spans="1:1">
      <c r="A2555" s="576"/>
    </row>
    <row r="2556" spans="1:1">
      <c r="A2556" s="576"/>
    </row>
    <row r="2557" spans="1:1">
      <c r="A2557" s="576"/>
    </row>
    <row r="2558" spans="1:1">
      <c r="A2558" s="576"/>
    </row>
    <row r="2559" spans="1:1">
      <c r="A2559" s="576"/>
    </row>
    <row r="2560" spans="1:1">
      <c r="A2560" s="576"/>
    </row>
    <row r="2561" spans="1:1">
      <c r="A2561" s="576"/>
    </row>
    <row r="2562" spans="1:1">
      <c r="A2562" s="576"/>
    </row>
    <row r="2563" spans="1:1">
      <c r="A2563" s="576"/>
    </row>
    <row r="2564" spans="1:1">
      <c r="A2564" s="576"/>
    </row>
    <row r="2565" spans="1:1">
      <c r="A2565" s="576"/>
    </row>
    <row r="2566" spans="1:1">
      <c r="A2566" s="576"/>
    </row>
    <row r="2567" spans="1:1">
      <c r="A2567" s="576"/>
    </row>
    <row r="2568" spans="1:1">
      <c r="A2568" s="576"/>
    </row>
    <row r="2569" spans="1:1">
      <c r="A2569" s="576"/>
    </row>
    <row r="2570" spans="1:1">
      <c r="A2570" s="576"/>
    </row>
    <row r="2571" spans="1:1">
      <c r="A2571" s="576"/>
    </row>
    <row r="2572" spans="1:1">
      <c r="A2572" s="576"/>
    </row>
    <row r="2573" spans="1:1">
      <c r="A2573" s="576"/>
    </row>
    <row r="2574" spans="1:1">
      <c r="A2574" s="576"/>
    </row>
    <row r="2575" spans="1:1">
      <c r="A2575" s="576"/>
    </row>
    <row r="2576" spans="1:1">
      <c r="A2576" s="576"/>
    </row>
    <row r="2577" spans="1:1">
      <c r="A2577" s="576"/>
    </row>
    <row r="2578" spans="1:1">
      <c r="A2578" s="576"/>
    </row>
    <row r="2579" spans="1:1">
      <c r="A2579" s="576"/>
    </row>
    <row r="2580" spans="1:1">
      <c r="A2580" s="576"/>
    </row>
    <row r="2581" spans="1:1">
      <c r="A2581" s="576"/>
    </row>
    <row r="2582" spans="1:1">
      <c r="A2582" s="576"/>
    </row>
    <row r="2583" spans="1:1">
      <c r="A2583" s="576"/>
    </row>
    <row r="2584" spans="1:1">
      <c r="A2584" s="576"/>
    </row>
    <row r="2585" spans="1:1">
      <c r="A2585" s="576"/>
    </row>
    <row r="2586" spans="1:1">
      <c r="A2586" s="576"/>
    </row>
    <row r="2587" spans="1:1">
      <c r="A2587" s="576"/>
    </row>
    <row r="2588" spans="1:1">
      <c r="A2588" s="576"/>
    </row>
    <row r="2589" spans="1:1">
      <c r="A2589" s="576"/>
    </row>
    <row r="2590" spans="1:1">
      <c r="A2590" s="576"/>
    </row>
    <row r="2591" spans="1:1">
      <c r="A2591" s="576"/>
    </row>
    <row r="2592" spans="1:1">
      <c r="A2592" s="576"/>
    </row>
    <row r="2593" spans="1:1">
      <c r="A2593" s="576"/>
    </row>
    <row r="2594" spans="1:1">
      <c r="A2594" s="576"/>
    </row>
    <row r="2595" spans="1:1">
      <c r="A2595" s="576"/>
    </row>
    <row r="2596" spans="1:1">
      <c r="A2596" s="576"/>
    </row>
    <row r="2597" spans="1:1">
      <c r="A2597" s="576"/>
    </row>
    <row r="2598" spans="1:1">
      <c r="A2598" s="576"/>
    </row>
    <row r="2599" spans="1:1">
      <c r="A2599" s="576"/>
    </row>
    <row r="2600" spans="1:1">
      <c r="A2600" s="576"/>
    </row>
    <row r="2601" spans="1:1">
      <c r="A2601" s="576"/>
    </row>
    <row r="2602" spans="1:1">
      <c r="A2602" s="576"/>
    </row>
    <row r="2603" spans="1:1">
      <c r="A2603" s="576"/>
    </row>
    <row r="2604" spans="1:1">
      <c r="A2604" s="576"/>
    </row>
    <row r="2605" spans="1:1">
      <c r="A2605" s="576"/>
    </row>
    <row r="2606" spans="1:1">
      <c r="A2606" s="576"/>
    </row>
    <row r="2607" spans="1:1">
      <c r="A2607" s="576"/>
    </row>
    <row r="2608" spans="1:1">
      <c r="A2608" s="576"/>
    </row>
    <row r="2609" spans="1:1">
      <c r="A2609" s="576"/>
    </row>
    <row r="2610" spans="1:1">
      <c r="A2610" s="576"/>
    </row>
    <row r="2611" spans="1:1">
      <c r="A2611" s="576"/>
    </row>
    <row r="2612" spans="1:1">
      <c r="A2612" s="576"/>
    </row>
    <row r="2613" spans="1:1">
      <c r="A2613" s="576"/>
    </row>
    <row r="2614" spans="1:1">
      <c r="A2614" s="576"/>
    </row>
    <row r="2615" spans="1:1">
      <c r="A2615" s="576"/>
    </row>
    <row r="2616" spans="1:1">
      <c r="A2616" s="576"/>
    </row>
    <row r="2617" spans="1:1">
      <c r="A2617" s="576"/>
    </row>
    <row r="2618" spans="1:1">
      <c r="A2618" s="576"/>
    </row>
    <row r="2619" spans="1:1">
      <c r="A2619" s="576"/>
    </row>
    <row r="2620" spans="1:1">
      <c r="A2620" s="576"/>
    </row>
    <row r="2621" spans="1:1">
      <c r="A2621" s="576"/>
    </row>
    <row r="2622" spans="1:1">
      <c r="A2622" s="576"/>
    </row>
    <row r="2623" spans="1:1">
      <c r="A2623" s="576"/>
    </row>
    <row r="2624" spans="1:1">
      <c r="A2624" s="576"/>
    </row>
    <row r="2625" spans="1:1">
      <c r="A2625" s="576"/>
    </row>
    <row r="2626" spans="1:1">
      <c r="A2626" s="576"/>
    </row>
    <row r="2627" spans="1:1">
      <c r="A2627" s="576"/>
    </row>
    <row r="2628" spans="1:1">
      <c r="A2628" s="576"/>
    </row>
    <row r="2629" spans="1:1">
      <c r="A2629" s="576"/>
    </row>
    <row r="2630" spans="1:1">
      <c r="A2630" s="576"/>
    </row>
    <row r="2631" spans="1:1">
      <c r="A2631" s="576"/>
    </row>
    <row r="2632" spans="1:1">
      <c r="A2632" s="576"/>
    </row>
    <row r="2633" spans="1:1">
      <c r="A2633" s="576"/>
    </row>
    <row r="2634" spans="1:1">
      <c r="A2634" s="576"/>
    </row>
    <row r="2635" spans="1:1">
      <c r="A2635" s="576"/>
    </row>
    <row r="2636" spans="1:1">
      <c r="A2636" s="576"/>
    </row>
    <row r="2637" spans="1:1">
      <c r="A2637" s="576"/>
    </row>
    <row r="2638" spans="1:1">
      <c r="A2638" s="576"/>
    </row>
    <row r="2639" spans="1:1">
      <c r="A2639" s="576"/>
    </row>
    <row r="2640" spans="1:1">
      <c r="A2640" s="576"/>
    </row>
    <row r="2641" spans="1:1">
      <c r="A2641" s="576"/>
    </row>
    <row r="2642" spans="1:1">
      <c r="A2642" s="576"/>
    </row>
    <row r="2643" spans="1:1">
      <c r="A2643" s="576"/>
    </row>
    <row r="2644" spans="1:1">
      <c r="A2644" s="576"/>
    </row>
    <row r="2645" spans="1:1">
      <c r="A2645" s="576"/>
    </row>
    <row r="2646" spans="1:1">
      <c r="A2646" s="576"/>
    </row>
    <row r="2647" spans="1:1">
      <c r="A2647" s="576"/>
    </row>
    <row r="2648" spans="1:1">
      <c r="A2648" s="576"/>
    </row>
    <row r="2649" spans="1:1">
      <c r="A2649" s="576"/>
    </row>
    <row r="2650" spans="1:1">
      <c r="A2650" s="576"/>
    </row>
    <row r="2651" spans="1:1">
      <c r="A2651" s="576"/>
    </row>
    <row r="2652" spans="1:1">
      <c r="A2652" s="576"/>
    </row>
    <row r="2653" spans="1:1">
      <c r="A2653" s="576"/>
    </row>
    <row r="2654" spans="1:1">
      <c r="A2654" s="576"/>
    </row>
    <row r="2655" spans="1:1">
      <c r="A2655" s="576"/>
    </row>
    <row r="2656" spans="1:1">
      <c r="A2656" s="576"/>
    </row>
    <row r="2657" spans="1:1">
      <c r="A2657" s="576"/>
    </row>
    <row r="2658" spans="1:1">
      <c r="A2658" s="576"/>
    </row>
    <row r="2659" spans="1:1">
      <c r="A2659" s="576"/>
    </row>
    <row r="2660" spans="1:1">
      <c r="A2660" s="576"/>
    </row>
    <row r="2661" spans="1:1">
      <c r="A2661" s="576"/>
    </row>
    <row r="2662" spans="1:1">
      <c r="A2662" s="576"/>
    </row>
    <row r="2663" spans="1:1">
      <c r="A2663" s="576"/>
    </row>
    <row r="2664" spans="1:1">
      <c r="A2664" s="576"/>
    </row>
    <row r="2665" spans="1:1">
      <c r="A2665" s="576"/>
    </row>
    <row r="2666" spans="1:1">
      <c r="A2666" s="576"/>
    </row>
    <row r="2667" spans="1:1">
      <c r="A2667" s="576"/>
    </row>
    <row r="2668" spans="1:1">
      <c r="A2668" s="576"/>
    </row>
    <row r="2669" spans="1:1">
      <c r="A2669" s="576"/>
    </row>
    <row r="2670" spans="1:1">
      <c r="A2670" s="576"/>
    </row>
    <row r="2671" spans="1:1">
      <c r="A2671" s="576"/>
    </row>
    <row r="2672" spans="1:1">
      <c r="A2672" s="576"/>
    </row>
    <row r="2673" spans="1:1">
      <c r="A2673" s="576"/>
    </row>
    <row r="2674" spans="1:1">
      <c r="A2674" s="576"/>
    </row>
    <row r="2675" spans="1:1">
      <c r="A2675" s="576"/>
    </row>
    <row r="2676" spans="1:1">
      <c r="A2676" s="576"/>
    </row>
    <row r="2677" spans="1:1">
      <c r="A2677" s="576"/>
    </row>
    <row r="2678" spans="1:1">
      <c r="A2678" s="576"/>
    </row>
    <row r="2679" spans="1:1">
      <c r="A2679" s="576"/>
    </row>
    <row r="2680" spans="1:1">
      <c r="A2680" s="576"/>
    </row>
    <row r="2681" spans="1:1">
      <c r="A2681" s="576"/>
    </row>
    <row r="2682" spans="1:1">
      <c r="A2682" s="576"/>
    </row>
    <row r="2683" spans="1:1">
      <c r="A2683" s="576"/>
    </row>
    <row r="2684" spans="1:1">
      <c r="A2684" s="576"/>
    </row>
    <row r="2685" spans="1:1">
      <c r="A2685" s="576"/>
    </row>
    <row r="2686" spans="1:1">
      <c r="A2686" s="576"/>
    </row>
    <row r="2687" spans="1:1">
      <c r="A2687" s="576"/>
    </row>
    <row r="2688" spans="1:1">
      <c r="A2688" s="576"/>
    </row>
    <row r="2689" spans="1:1">
      <c r="A2689" s="576"/>
    </row>
    <row r="2690" spans="1:1">
      <c r="A2690" s="576"/>
    </row>
    <row r="2691" spans="1:1">
      <c r="A2691" s="576"/>
    </row>
    <row r="2692" spans="1:1">
      <c r="A2692" s="576"/>
    </row>
    <row r="2693" spans="1:1">
      <c r="A2693" s="576"/>
    </row>
    <row r="2694" spans="1:1">
      <c r="A2694" s="576"/>
    </row>
    <row r="2695" spans="1:1">
      <c r="A2695" s="576"/>
    </row>
    <row r="2696" spans="1:1">
      <c r="A2696" s="576"/>
    </row>
    <row r="2697" spans="1:1">
      <c r="A2697" s="576"/>
    </row>
    <row r="2698" spans="1:1">
      <c r="A2698" s="576"/>
    </row>
    <row r="2699" spans="1:1">
      <c r="A2699" s="576"/>
    </row>
    <row r="2700" spans="1:1">
      <c r="A2700" s="576"/>
    </row>
    <row r="2701" spans="1:1">
      <c r="A2701" s="576"/>
    </row>
    <row r="2702" spans="1:1">
      <c r="A2702" s="576"/>
    </row>
    <row r="2703" spans="1:1">
      <c r="A2703" s="576"/>
    </row>
    <row r="2704" spans="1:1">
      <c r="A2704" s="576"/>
    </row>
    <row r="2705" spans="1:1">
      <c r="A2705" s="576"/>
    </row>
    <row r="2706" spans="1:1">
      <c r="A2706" s="576"/>
    </row>
    <row r="2707" spans="1:1">
      <c r="A2707" s="576"/>
    </row>
    <row r="2708" spans="1:1">
      <c r="A2708" s="576"/>
    </row>
    <row r="2709" spans="1:1">
      <c r="A2709" s="576"/>
    </row>
    <row r="2710" spans="1:1">
      <c r="A2710" s="576"/>
    </row>
    <row r="2711" spans="1:1">
      <c r="A2711" s="576"/>
    </row>
    <row r="2712" spans="1:1">
      <c r="A2712" s="576"/>
    </row>
    <row r="2713" spans="1:1">
      <c r="A2713" s="576"/>
    </row>
    <row r="2714" spans="1:1">
      <c r="A2714" s="576"/>
    </row>
    <row r="2715" spans="1:1">
      <c r="A2715" s="576"/>
    </row>
    <row r="2716" spans="1:1">
      <c r="A2716" s="576"/>
    </row>
    <row r="2717" spans="1:1">
      <c r="A2717" s="576"/>
    </row>
    <row r="2718" spans="1:1">
      <c r="A2718" s="576"/>
    </row>
    <row r="2719" spans="1:1">
      <c r="A2719" s="576"/>
    </row>
    <row r="2720" spans="1:1">
      <c r="A2720" s="576"/>
    </row>
    <row r="2721" spans="1:1">
      <c r="A2721" s="576"/>
    </row>
    <row r="2722" spans="1:1">
      <c r="A2722" s="576"/>
    </row>
    <row r="2723" spans="1:1">
      <c r="A2723" s="576"/>
    </row>
    <row r="2724" spans="1:1">
      <c r="A2724" s="576"/>
    </row>
    <row r="2725" spans="1:1">
      <c r="A2725" s="576"/>
    </row>
    <row r="2726" spans="1:1">
      <c r="A2726" s="576"/>
    </row>
    <row r="2727" spans="1:1">
      <c r="A2727" s="576"/>
    </row>
    <row r="2728" spans="1:1">
      <c r="A2728" s="576"/>
    </row>
    <row r="2729" spans="1:1">
      <c r="A2729" s="576"/>
    </row>
    <row r="2730" spans="1:1">
      <c r="A2730" s="576"/>
    </row>
    <row r="2731" spans="1:1">
      <c r="A2731" s="576"/>
    </row>
    <row r="2732" spans="1:1">
      <c r="A2732" s="576"/>
    </row>
    <row r="2733" spans="1:1">
      <c r="A2733" s="576"/>
    </row>
    <row r="2734" spans="1:1">
      <c r="A2734" s="576"/>
    </row>
    <row r="2735" spans="1:1">
      <c r="A2735" s="576"/>
    </row>
    <row r="2736" spans="1:1">
      <c r="A2736" s="576"/>
    </row>
    <row r="2737" spans="1:1">
      <c r="A2737" s="576"/>
    </row>
    <row r="2738" spans="1:1">
      <c r="A2738" s="576"/>
    </row>
    <row r="2739" spans="1:1">
      <c r="A2739" s="576"/>
    </row>
    <row r="2740" spans="1:1">
      <c r="A2740" s="576"/>
    </row>
    <row r="2741" spans="1:1">
      <c r="A2741" s="576"/>
    </row>
    <row r="2742" spans="1:1">
      <c r="A2742" s="576"/>
    </row>
    <row r="2743" spans="1:1">
      <c r="A2743" s="576"/>
    </row>
    <row r="2744" spans="1:1">
      <c r="A2744" s="576"/>
    </row>
    <row r="2745" spans="1:1">
      <c r="A2745" s="576"/>
    </row>
    <row r="2746" spans="1:1">
      <c r="A2746" s="576"/>
    </row>
    <row r="2747" spans="1:1">
      <c r="A2747" s="576"/>
    </row>
    <row r="2748" spans="1:1">
      <c r="A2748" s="576"/>
    </row>
    <row r="2749" spans="1:1">
      <c r="A2749" s="576"/>
    </row>
    <row r="2750" spans="1:1">
      <c r="A2750" s="576"/>
    </row>
    <row r="2751" spans="1:1">
      <c r="A2751" s="576"/>
    </row>
    <row r="2752" spans="1:1">
      <c r="A2752" s="576"/>
    </row>
    <row r="2753" spans="1:1">
      <c r="A2753" s="576"/>
    </row>
    <row r="2754" spans="1:1">
      <c r="A2754" s="576"/>
    </row>
    <row r="2755" spans="1:1">
      <c r="A2755" s="576"/>
    </row>
    <row r="2756" spans="1:1">
      <c r="A2756" s="576"/>
    </row>
    <row r="2757" spans="1:1">
      <c r="A2757" s="576"/>
    </row>
    <row r="2758" spans="1:1">
      <c r="A2758" s="576"/>
    </row>
    <row r="2759" spans="1:1">
      <c r="A2759" s="576"/>
    </row>
    <row r="2760" spans="1:1">
      <c r="A2760" s="576"/>
    </row>
    <row r="2761" spans="1:1">
      <c r="A2761" s="576"/>
    </row>
    <row r="2762" spans="1:1">
      <c r="A2762" s="576"/>
    </row>
    <row r="2763" spans="1:1">
      <c r="A2763" s="576"/>
    </row>
    <row r="2764" spans="1:1">
      <c r="A2764" s="576"/>
    </row>
    <row r="2765" spans="1:1">
      <c r="A2765" s="576"/>
    </row>
    <row r="2766" spans="1:1">
      <c r="A2766" s="576"/>
    </row>
    <row r="2767" spans="1:1">
      <c r="A2767" s="576"/>
    </row>
    <row r="2768" spans="1:1">
      <c r="A2768" s="576"/>
    </row>
    <row r="2769" spans="1:1">
      <c r="A2769" s="576"/>
    </row>
    <row r="2770" spans="1:1">
      <c r="A2770" s="576"/>
    </row>
    <row r="2771" spans="1:1">
      <c r="A2771" s="576"/>
    </row>
    <row r="2772" spans="1:1">
      <c r="A2772" s="576"/>
    </row>
    <row r="2773" spans="1:1">
      <c r="A2773" s="576"/>
    </row>
    <row r="2774" spans="1:1">
      <c r="A2774" s="576"/>
    </row>
    <row r="2775" spans="1:1">
      <c r="A2775" s="576"/>
    </row>
    <row r="2776" spans="1:1">
      <c r="A2776" s="576"/>
    </row>
    <row r="2777" spans="1:1">
      <c r="A2777" s="576"/>
    </row>
    <row r="2778" spans="1:1">
      <c r="A2778" s="576"/>
    </row>
    <row r="2779" spans="1:1">
      <c r="A2779" s="576"/>
    </row>
    <row r="2780" spans="1:1">
      <c r="A2780" s="576"/>
    </row>
    <row r="2781" spans="1:1">
      <c r="A2781" s="576"/>
    </row>
    <row r="2782" spans="1:1">
      <c r="A2782" s="576"/>
    </row>
    <row r="2783" spans="1:1">
      <c r="A2783" s="576"/>
    </row>
    <row r="2784" spans="1:1">
      <c r="A2784" s="576"/>
    </row>
    <row r="2785" spans="1:1">
      <c r="A2785" s="576"/>
    </row>
    <row r="2786" spans="1:1">
      <c r="A2786" s="576"/>
    </row>
    <row r="2787" spans="1:1">
      <c r="A2787" s="576"/>
    </row>
    <row r="2788" spans="1:1">
      <c r="A2788" s="576"/>
    </row>
    <row r="2789" spans="1:1">
      <c r="A2789" s="576"/>
    </row>
    <row r="2790" spans="1:1">
      <c r="A2790" s="576"/>
    </row>
    <row r="2791" spans="1:1">
      <c r="A2791" s="576"/>
    </row>
    <row r="2792" spans="1:1">
      <c r="A2792" s="576"/>
    </row>
    <row r="2793" spans="1:1">
      <c r="A2793" s="576"/>
    </row>
    <row r="2794" spans="1:1">
      <c r="A2794" s="576"/>
    </row>
    <row r="2795" spans="1:1">
      <c r="A2795" s="576"/>
    </row>
    <row r="2796" spans="1:1">
      <c r="A2796" s="576"/>
    </row>
    <row r="2797" spans="1:1">
      <c r="A2797" s="576"/>
    </row>
    <row r="2798" spans="1:1">
      <c r="A2798" s="576"/>
    </row>
    <row r="2799" spans="1:1">
      <c r="A2799" s="576"/>
    </row>
    <row r="2800" spans="1:1">
      <c r="A2800" s="576"/>
    </row>
    <row r="2801" spans="1:1">
      <c r="A2801" s="576"/>
    </row>
    <row r="2802" spans="1:1">
      <c r="A2802" s="576"/>
    </row>
    <row r="2803" spans="1:1">
      <c r="A2803" s="576"/>
    </row>
    <row r="2804" spans="1:1">
      <c r="A2804" s="576"/>
    </row>
    <row r="2805" spans="1:1">
      <c r="A2805" s="576"/>
    </row>
    <row r="2806" spans="1:1">
      <c r="A2806" s="576"/>
    </row>
    <row r="2807" spans="1:1">
      <c r="A2807" s="576"/>
    </row>
    <row r="2808" spans="1:1">
      <c r="A2808" s="576"/>
    </row>
    <row r="2809" spans="1:1">
      <c r="A2809" s="576"/>
    </row>
    <row r="2810" spans="1:1">
      <c r="A2810" s="576"/>
    </row>
    <row r="2811" spans="1:1">
      <c r="A2811" s="576"/>
    </row>
    <row r="2812" spans="1:1">
      <c r="A2812" s="576"/>
    </row>
    <row r="2813" spans="1:1">
      <c r="A2813" s="576"/>
    </row>
    <row r="2814" spans="1:1">
      <c r="A2814" s="576"/>
    </row>
    <row r="2815" spans="1:1">
      <c r="A2815" s="576"/>
    </row>
    <row r="2816" spans="1:1">
      <c r="A2816" s="576"/>
    </row>
    <row r="2817" spans="1:1">
      <c r="A2817" s="576"/>
    </row>
    <row r="2818" spans="1:1">
      <c r="A2818" s="576"/>
    </row>
    <row r="2819" spans="1:1">
      <c r="A2819" s="576"/>
    </row>
    <row r="2820" spans="1:1">
      <c r="A2820" s="576"/>
    </row>
    <row r="2821" spans="1:1">
      <c r="A2821" s="576"/>
    </row>
    <row r="2822" spans="1:1">
      <c r="A2822" s="576"/>
    </row>
    <row r="2823" spans="1:1">
      <c r="A2823" s="576"/>
    </row>
    <row r="2824" spans="1:1">
      <c r="A2824" s="576"/>
    </row>
    <row r="2825" spans="1:1">
      <c r="A2825" s="576"/>
    </row>
    <row r="2826" spans="1:1">
      <c r="A2826" s="576"/>
    </row>
    <row r="2827" spans="1:1">
      <c r="A2827" s="576"/>
    </row>
    <row r="2828" spans="1:1">
      <c r="A2828" s="576"/>
    </row>
    <row r="2829" spans="1:1">
      <c r="A2829" s="576"/>
    </row>
    <row r="2830" spans="1:1">
      <c r="A2830" s="576"/>
    </row>
    <row r="2831" spans="1:1">
      <c r="A2831" s="576"/>
    </row>
    <row r="2832" spans="1:1">
      <c r="A2832" s="576"/>
    </row>
    <row r="2833" spans="1:1">
      <c r="A2833" s="576"/>
    </row>
    <row r="2834" spans="1:1">
      <c r="A2834" s="576"/>
    </row>
    <row r="2835" spans="1:1">
      <c r="A2835" s="576"/>
    </row>
    <row r="2836" spans="1:1">
      <c r="A2836" s="576"/>
    </row>
    <row r="2837" spans="1:1">
      <c r="A2837" s="576"/>
    </row>
    <row r="2838" spans="1:1">
      <c r="A2838" s="576"/>
    </row>
    <row r="2839" spans="1:1">
      <c r="A2839" s="576"/>
    </row>
    <row r="2840" spans="1:1">
      <c r="A2840" s="576"/>
    </row>
    <row r="2841" spans="1:1">
      <c r="A2841" s="576"/>
    </row>
    <row r="2842" spans="1:1">
      <c r="A2842" s="576"/>
    </row>
    <row r="2843" spans="1:1">
      <c r="A2843" s="576"/>
    </row>
    <row r="2844" spans="1:1">
      <c r="A2844" s="576"/>
    </row>
    <row r="2845" spans="1:1">
      <c r="A2845" s="576"/>
    </row>
    <row r="2846" spans="1:1">
      <c r="A2846" s="576"/>
    </row>
    <row r="2847" spans="1:1">
      <c r="A2847" s="576"/>
    </row>
    <row r="2848" spans="1:1">
      <c r="A2848" s="576"/>
    </row>
    <row r="2849" spans="1:1">
      <c r="A2849" s="576"/>
    </row>
    <row r="2850" spans="1:1">
      <c r="A2850" s="576"/>
    </row>
    <row r="2851" spans="1:1">
      <c r="A2851" s="576"/>
    </row>
    <row r="2852" spans="1:1">
      <c r="A2852" s="576"/>
    </row>
    <row r="2853" spans="1:1">
      <c r="A2853" s="576"/>
    </row>
    <row r="2854" spans="1:1">
      <c r="A2854" s="576"/>
    </row>
    <row r="2855" spans="1:1">
      <c r="A2855" s="576"/>
    </row>
    <row r="2856" spans="1:1">
      <c r="A2856" s="576"/>
    </row>
    <row r="2857" spans="1:1">
      <c r="A2857" s="576"/>
    </row>
    <row r="2858" spans="1:1">
      <c r="A2858" s="576"/>
    </row>
    <row r="2859" spans="1:1">
      <c r="A2859" s="576"/>
    </row>
    <row r="2860" spans="1:1">
      <c r="A2860" s="576"/>
    </row>
    <row r="2861" spans="1:1">
      <c r="A2861" s="576"/>
    </row>
    <row r="2862" spans="1:1">
      <c r="A2862" s="576"/>
    </row>
    <row r="2863" spans="1:1">
      <c r="A2863" s="576"/>
    </row>
    <row r="2864" spans="1:1">
      <c r="A2864" s="576"/>
    </row>
    <row r="2865" spans="1:1">
      <c r="A2865" s="576"/>
    </row>
    <row r="2866" spans="1:1">
      <c r="A2866" s="576"/>
    </row>
    <row r="2867" spans="1:1">
      <c r="A2867" s="576"/>
    </row>
    <row r="2868" spans="1:1">
      <c r="A2868" s="576"/>
    </row>
    <row r="2869" spans="1:1">
      <c r="A2869" s="576"/>
    </row>
    <row r="2870" spans="1:1">
      <c r="A2870" s="576"/>
    </row>
    <row r="2871" spans="1:1">
      <c r="A2871" s="576"/>
    </row>
    <row r="2872" spans="1:1">
      <c r="A2872" s="576"/>
    </row>
    <row r="2873" spans="1:1">
      <c r="A2873" s="576"/>
    </row>
    <row r="2874" spans="1:1">
      <c r="A2874" s="576"/>
    </row>
    <row r="2875" spans="1:1">
      <c r="A2875" s="576"/>
    </row>
    <row r="2876" spans="1:1">
      <c r="A2876" s="576"/>
    </row>
    <row r="2877" spans="1:1">
      <c r="A2877" s="576"/>
    </row>
    <row r="2878" spans="1:1">
      <c r="A2878" s="576"/>
    </row>
    <row r="2879" spans="1:1">
      <c r="A2879" s="576"/>
    </row>
    <row r="2880" spans="1:1">
      <c r="A2880" s="576"/>
    </row>
    <row r="2881" spans="1:1">
      <c r="A2881" s="576"/>
    </row>
    <row r="2882" spans="1:1">
      <c r="A2882" s="576"/>
    </row>
    <row r="2883" spans="1:1">
      <c r="A2883" s="576"/>
    </row>
    <row r="2884" spans="1:1">
      <c r="A2884" s="576"/>
    </row>
    <row r="2885" spans="1:1">
      <c r="A2885" s="576"/>
    </row>
    <row r="2886" spans="1:1">
      <c r="A2886" s="576"/>
    </row>
    <row r="2887" spans="1:1">
      <c r="A2887" s="576"/>
    </row>
    <row r="2888" spans="1:1">
      <c r="A2888" s="576"/>
    </row>
    <row r="2889" spans="1:1">
      <c r="A2889" s="576"/>
    </row>
    <row r="2890" spans="1:1">
      <c r="A2890" s="576"/>
    </row>
    <row r="2891" spans="1:1">
      <c r="A2891" s="576"/>
    </row>
    <row r="2892" spans="1:1">
      <c r="A2892" s="576"/>
    </row>
    <row r="2893" spans="1:1">
      <c r="A2893" s="576"/>
    </row>
    <row r="2894" spans="1:1">
      <c r="A2894" s="576"/>
    </row>
    <row r="2895" spans="1:1">
      <c r="A2895" s="576"/>
    </row>
    <row r="2896" spans="1:1">
      <c r="A2896" s="576"/>
    </row>
    <row r="2897" spans="1:1">
      <c r="A2897" s="576"/>
    </row>
    <row r="2898" spans="1:1">
      <c r="A2898" s="576"/>
    </row>
    <row r="2899" spans="1:1">
      <c r="A2899" s="576"/>
    </row>
    <row r="2900" spans="1:1">
      <c r="A2900" s="576"/>
    </row>
    <row r="2901" spans="1:1">
      <c r="A2901" s="576"/>
    </row>
    <row r="2902" spans="1:1">
      <c r="A2902" s="576"/>
    </row>
    <row r="2903" spans="1:1">
      <c r="A2903" s="576"/>
    </row>
    <row r="2904" spans="1:1">
      <c r="A2904" s="576"/>
    </row>
    <row r="2905" spans="1:1">
      <c r="A2905" s="576"/>
    </row>
    <row r="2906" spans="1:1">
      <c r="A2906" s="576"/>
    </row>
    <row r="2907" spans="1:1">
      <c r="A2907" s="576"/>
    </row>
    <row r="2908" spans="1:1">
      <c r="A2908" s="576"/>
    </row>
    <row r="2909" spans="1:1">
      <c r="A2909" s="576"/>
    </row>
    <row r="2910" spans="1:1">
      <c r="A2910" s="576"/>
    </row>
    <row r="2911" spans="1:1">
      <c r="A2911" s="576"/>
    </row>
    <row r="2912" spans="1:1">
      <c r="A2912" s="576"/>
    </row>
    <row r="2913" spans="1:1">
      <c r="A2913" s="576"/>
    </row>
    <row r="2914" spans="1:1">
      <c r="A2914" s="576"/>
    </row>
    <row r="2915" spans="1:1">
      <c r="A2915" s="576"/>
    </row>
    <row r="2916" spans="1:1">
      <c r="A2916" s="576"/>
    </row>
    <row r="2917" spans="1:1">
      <c r="A2917" s="576"/>
    </row>
    <row r="2918" spans="1:1">
      <c r="A2918" s="576"/>
    </row>
    <row r="2919" spans="1:1">
      <c r="A2919" s="576"/>
    </row>
    <row r="2920" spans="1:1">
      <c r="A2920" s="576"/>
    </row>
    <row r="2921" spans="1:1">
      <c r="A2921" s="576"/>
    </row>
    <row r="2922" spans="1:1">
      <c r="A2922" s="576"/>
    </row>
    <row r="2923" spans="1:1">
      <c r="A2923" s="576"/>
    </row>
    <row r="2924" spans="1:1">
      <c r="A2924" s="576"/>
    </row>
    <row r="2925" spans="1:1">
      <c r="A2925" s="576"/>
    </row>
    <row r="2926" spans="1:1">
      <c r="A2926" s="576"/>
    </row>
    <row r="2927" spans="1:1">
      <c r="A2927" s="576"/>
    </row>
    <row r="2928" spans="1:1">
      <c r="A2928" s="576"/>
    </row>
    <row r="2929" spans="1:1">
      <c r="A2929" s="576"/>
    </row>
    <row r="2930" spans="1:1">
      <c r="A2930" s="576"/>
    </row>
    <row r="2931" spans="1:1">
      <c r="A2931" s="576"/>
    </row>
    <row r="2932" spans="1:1">
      <c r="A2932" s="576"/>
    </row>
    <row r="2933" spans="1:1">
      <c r="A2933" s="576"/>
    </row>
    <row r="2934" spans="1:1">
      <c r="A2934" s="576"/>
    </row>
    <row r="2935" spans="1:1">
      <c r="A2935" s="576"/>
    </row>
    <row r="2936" spans="1:1">
      <c r="A2936" s="576"/>
    </row>
    <row r="2937" spans="1:1">
      <c r="A2937" s="576"/>
    </row>
    <row r="2938" spans="1:1">
      <c r="A2938" s="576"/>
    </row>
    <row r="2939" spans="1:1">
      <c r="A2939" s="576"/>
    </row>
    <row r="2940" spans="1:1">
      <c r="A2940" s="576"/>
    </row>
    <row r="2941" spans="1:1">
      <c r="A2941" s="576"/>
    </row>
    <row r="2942" spans="1:1">
      <c r="A2942" s="576"/>
    </row>
    <row r="2943" spans="1:1">
      <c r="A2943" s="576"/>
    </row>
    <row r="2944" spans="1:1">
      <c r="A2944" s="576"/>
    </row>
    <row r="2945" spans="1:1">
      <c r="A2945" s="576"/>
    </row>
    <row r="2946" spans="1:1">
      <c r="A2946" s="576"/>
    </row>
    <row r="2947" spans="1:1">
      <c r="A2947" s="576"/>
    </row>
    <row r="2948" spans="1:1">
      <c r="A2948" s="576"/>
    </row>
    <row r="2949" spans="1:1">
      <c r="A2949" s="576"/>
    </row>
    <row r="2950" spans="1:1">
      <c r="A2950" s="576"/>
    </row>
    <row r="2951" spans="1:1">
      <c r="A2951" s="576"/>
    </row>
    <row r="2952" spans="1:1">
      <c r="A2952" s="576"/>
    </row>
    <row r="2953" spans="1:1">
      <c r="A2953" s="576"/>
    </row>
    <row r="2954" spans="1:1">
      <c r="A2954" s="576"/>
    </row>
    <row r="2955" spans="1:1">
      <c r="A2955" s="576"/>
    </row>
    <row r="2956" spans="1:1">
      <c r="A2956" s="576"/>
    </row>
    <row r="2957" spans="1:1">
      <c r="A2957" s="576"/>
    </row>
    <row r="2958" spans="1:1">
      <c r="A2958" s="576"/>
    </row>
    <row r="2959" spans="1:1">
      <c r="A2959" s="576"/>
    </row>
    <row r="2960" spans="1:1">
      <c r="A2960" s="576"/>
    </row>
    <row r="2961" spans="1:1">
      <c r="A2961" s="576"/>
    </row>
    <row r="2962" spans="1:1">
      <c r="A2962" s="576"/>
    </row>
    <row r="2963" spans="1:1">
      <c r="A2963" s="576"/>
    </row>
    <row r="2964" spans="1:1">
      <c r="A2964" s="576"/>
    </row>
    <row r="2965" spans="1:1">
      <c r="A2965" s="576"/>
    </row>
    <row r="2966" spans="1:1">
      <c r="A2966" s="576"/>
    </row>
    <row r="2967" spans="1:1">
      <c r="A2967" s="576"/>
    </row>
    <row r="2968" spans="1:1">
      <c r="A2968" s="576"/>
    </row>
    <row r="2969" spans="1:1">
      <c r="A2969" s="576"/>
    </row>
    <row r="2970" spans="1:1">
      <c r="A2970" s="576"/>
    </row>
    <row r="2971" spans="1:1">
      <c r="A2971" s="576"/>
    </row>
    <row r="2972" spans="1:1">
      <c r="A2972" s="576"/>
    </row>
    <row r="2973" spans="1:1">
      <c r="A2973" s="576"/>
    </row>
    <row r="2974" spans="1:1">
      <c r="A2974" s="576"/>
    </row>
    <row r="2975" spans="1:1">
      <c r="A2975" s="576"/>
    </row>
    <row r="2976" spans="1:1">
      <c r="A2976" s="576"/>
    </row>
    <row r="2977" spans="1:1">
      <c r="A2977" s="576"/>
    </row>
    <row r="2978" spans="1:1">
      <c r="A2978" s="576"/>
    </row>
    <row r="2979" spans="1:1">
      <c r="A2979" s="576"/>
    </row>
    <row r="2980" spans="1:1">
      <c r="A2980" s="576"/>
    </row>
    <row r="2981" spans="1:1">
      <c r="A2981" s="576"/>
    </row>
    <row r="2982" spans="1:1">
      <c r="A2982" s="576"/>
    </row>
    <row r="2983" spans="1:1">
      <c r="A2983" s="576"/>
    </row>
    <row r="2984" spans="1:1">
      <c r="A2984" s="576"/>
    </row>
    <row r="2985" spans="1:1">
      <c r="A2985" s="576"/>
    </row>
    <row r="2986" spans="1:1">
      <c r="A2986" s="576"/>
    </row>
    <row r="2987" spans="1:1">
      <c r="A2987" s="576"/>
    </row>
    <row r="2988" spans="1:1">
      <c r="A2988" s="576"/>
    </row>
    <row r="2989" spans="1:1">
      <c r="A2989" s="576"/>
    </row>
    <row r="2990" spans="1:1">
      <c r="A2990" s="576"/>
    </row>
    <row r="2991" spans="1:1">
      <c r="A2991" s="576"/>
    </row>
    <row r="2992" spans="1:1">
      <c r="A2992" s="576"/>
    </row>
    <row r="2993" spans="1:1">
      <c r="A2993" s="576"/>
    </row>
    <row r="2994" spans="1:1">
      <c r="A2994" s="576"/>
    </row>
    <row r="2995" spans="1:1">
      <c r="A2995" s="576"/>
    </row>
    <row r="2996" spans="1:1">
      <c r="A2996" s="576"/>
    </row>
    <row r="2997" spans="1:1">
      <c r="A2997" s="576"/>
    </row>
    <row r="2998" spans="1:1">
      <c r="A2998" s="576"/>
    </row>
    <row r="2999" spans="1:1">
      <c r="A2999" s="576"/>
    </row>
    <row r="3000" spans="1:1">
      <c r="A3000" s="576"/>
    </row>
    <row r="3001" spans="1:1">
      <c r="A3001" s="576"/>
    </row>
    <row r="3002" spans="1:1">
      <c r="A3002" s="576"/>
    </row>
    <row r="3003" spans="1:1">
      <c r="A3003" s="576"/>
    </row>
    <row r="3004" spans="1:1">
      <c r="A3004" s="576"/>
    </row>
    <row r="3005" spans="1:1">
      <c r="A3005" s="576"/>
    </row>
    <row r="3006" spans="1:1">
      <c r="A3006" s="576"/>
    </row>
    <row r="3007" spans="1:1">
      <c r="A3007" s="576"/>
    </row>
    <row r="3008" spans="1:1">
      <c r="A3008" s="576"/>
    </row>
    <row r="3009" spans="1:1">
      <c r="A3009" s="576"/>
    </row>
    <row r="3010" spans="1:1">
      <c r="A3010" s="576"/>
    </row>
    <row r="3011" spans="1:1">
      <c r="A3011" s="576"/>
    </row>
    <row r="3012" spans="1:1">
      <c r="A3012" s="576"/>
    </row>
    <row r="3013" spans="1:1">
      <c r="A3013" s="576"/>
    </row>
    <row r="3014" spans="1:1">
      <c r="A3014" s="576"/>
    </row>
    <row r="3015" spans="1:1">
      <c r="A3015" s="576"/>
    </row>
    <row r="3016" spans="1:1">
      <c r="A3016" s="576"/>
    </row>
    <row r="3017" spans="1:1">
      <c r="A3017" s="576"/>
    </row>
    <row r="3018" spans="1:1">
      <c r="A3018" s="576"/>
    </row>
    <row r="3019" spans="1:1">
      <c r="A3019" s="576"/>
    </row>
    <row r="3020" spans="1:1">
      <c r="A3020" s="576"/>
    </row>
    <row r="3021" spans="1:1">
      <c r="A3021" s="576"/>
    </row>
    <row r="3022" spans="1:1">
      <c r="A3022" s="576"/>
    </row>
    <row r="3023" spans="1:1">
      <c r="A3023" s="576"/>
    </row>
    <row r="3024" spans="1:1">
      <c r="A3024" s="576"/>
    </row>
    <row r="3025" spans="1:1">
      <c r="A3025" s="576"/>
    </row>
    <row r="3026" spans="1:1">
      <c r="A3026" s="576"/>
    </row>
    <row r="3027" spans="1:1">
      <c r="A3027" s="576"/>
    </row>
    <row r="3028" spans="1:1">
      <c r="A3028" s="576"/>
    </row>
    <row r="3029" spans="1:1">
      <c r="A3029" s="576"/>
    </row>
    <row r="3030" spans="1:1">
      <c r="A3030" s="576"/>
    </row>
    <row r="3031" spans="1:1">
      <c r="A3031" s="576"/>
    </row>
    <row r="3032" spans="1:1">
      <c r="A3032" s="576"/>
    </row>
    <row r="3033" spans="1:1">
      <c r="A3033" s="576"/>
    </row>
    <row r="3034" spans="1:1">
      <c r="A3034" s="576"/>
    </row>
    <row r="3035" spans="1:1">
      <c r="A3035" s="576"/>
    </row>
    <row r="3036" spans="1:1">
      <c r="A3036" s="576"/>
    </row>
    <row r="3037" spans="1:1">
      <c r="A3037" s="576"/>
    </row>
    <row r="3038" spans="1:1">
      <c r="A3038" s="576"/>
    </row>
    <row r="3039" spans="1:1">
      <c r="A3039" s="576"/>
    </row>
    <row r="3040" spans="1:1">
      <c r="A3040" s="576"/>
    </row>
    <row r="3041" spans="1:1">
      <c r="A3041" s="576"/>
    </row>
    <row r="3042" spans="1:1">
      <c r="A3042" s="576"/>
    </row>
    <row r="3043" spans="1:1">
      <c r="A3043" s="576"/>
    </row>
    <row r="3044" spans="1:1">
      <c r="A3044" s="576"/>
    </row>
    <row r="3045" spans="1:1">
      <c r="A3045" s="576"/>
    </row>
    <row r="3046" spans="1:1">
      <c r="A3046" s="576"/>
    </row>
    <row r="3047" spans="1:1">
      <c r="A3047" s="576"/>
    </row>
    <row r="3048" spans="1:1">
      <c r="A3048" s="576"/>
    </row>
    <row r="3049" spans="1:1">
      <c r="A3049" s="576"/>
    </row>
    <row r="3050" spans="1:1">
      <c r="A3050" s="576"/>
    </row>
    <row r="3051" spans="1:1">
      <c r="A3051" s="576"/>
    </row>
    <row r="3052" spans="1:1">
      <c r="A3052" s="576"/>
    </row>
    <row r="3053" spans="1:1">
      <c r="A3053" s="576"/>
    </row>
    <row r="3054" spans="1:1">
      <c r="A3054" s="576"/>
    </row>
    <row r="3055" spans="1:1">
      <c r="A3055" s="576"/>
    </row>
    <row r="3056" spans="1:1">
      <c r="A3056" s="576"/>
    </row>
    <row r="3057" spans="1:1">
      <c r="A3057" s="576"/>
    </row>
    <row r="3058" spans="1:1">
      <c r="A3058" s="576"/>
    </row>
    <row r="3059" spans="1:1">
      <c r="A3059" s="576"/>
    </row>
    <row r="3060" spans="1:1">
      <c r="A3060" s="576"/>
    </row>
    <row r="3061" spans="1:1">
      <c r="A3061" s="576"/>
    </row>
    <row r="3062" spans="1:1">
      <c r="A3062" s="576"/>
    </row>
    <row r="3063" spans="1:1">
      <c r="A3063" s="576"/>
    </row>
    <row r="3064" spans="1:1">
      <c r="A3064" s="576"/>
    </row>
    <row r="3065" spans="1:1">
      <c r="A3065" s="576"/>
    </row>
    <row r="3066" spans="1:1">
      <c r="A3066" s="576"/>
    </row>
    <row r="3067" spans="1:1">
      <c r="A3067" s="576"/>
    </row>
    <row r="3068" spans="1:1">
      <c r="A3068" s="576"/>
    </row>
    <row r="3069" spans="1:1">
      <c r="A3069" s="576"/>
    </row>
    <row r="3070" spans="1:1">
      <c r="A3070" s="576"/>
    </row>
    <row r="3071" spans="1:1">
      <c r="A3071" s="576"/>
    </row>
    <row r="3072" spans="1:1">
      <c r="A3072" s="576"/>
    </row>
    <row r="3073" spans="1:1">
      <c r="A3073" s="576"/>
    </row>
    <row r="3074" spans="1:1">
      <c r="A3074" s="576"/>
    </row>
    <row r="3075" spans="1:1">
      <c r="A3075" s="576"/>
    </row>
    <row r="3076" spans="1:1">
      <c r="A3076" s="576"/>
    </row>
    <row r="3077" spans="1:1">
      <c r="A3077" s="576"/>
    </row>
    <row r="3078" spans="1:1">
      <c r="A3078" s="576"/>
    </row>
    <row r="3079" spans="1:1">
      <c r="A3079" s="576"/>
    </row>
    <row r="3080" spans="1:1">
      <c r="A3080" s="576"/>
    </row>
    <row r="3081" spans="1:1">
      <c r="A3081" s="576"/>
    </row>
    <row r="3082" spans="1:1">
      <c r="A3082" s="576"/>
    </row>
    <row r="3083" spans="1:1">
      <c r="A3083" s="576"/>
    </row>
    <row r="3084" spans="1:1">
      <c r="A3084" s="576"/>
    </row>
    <row r="3085" spans="1:1">
      <c r="A3085" s="576"/>
    </row>
    <row r="3086" spans="1:1">
      <c r="A3086" s="576"/>
    </row>
    <row r="3087" spans="1:1">
      <c r="A3087" s="576"/>
    </row>
    <row r="3088" spans="1:1">
      <c r="A3088" s="576"/>
    </row>
    <row r="3089" spans="1:1">
      <c r="A3089" s="576"/>
    </row>
    <row r="3090" spans="1:1">
      <c r="A3090" s="576"/>
    </row>
    <row r="3091" spans="1:1">
      <c r="A3091" s="576"/>
    </row>
    <row r="3092" spans="1:1">
      <c r="A3092" s="576"/>
    </row>
    <row r="3093" spans="1:1">
      <c r="A3093" s="576"/>
    </row>
    <row r="3094" spans="1:1">
      <c r="A3094" s="576"/>
    </row>
    <row r="3095" spans="1:1">
      <c r="A3095" s="576"/>
    </row>
    <row r="3096" spans="1:1">
      <c r="A3096" s="576"/>
    </row>
    <row r="3097" spans="1:1">
      <c r="A3097" s="576"/>
    </row>
    <row r="3098" spans="1:1">
      <c r="A3098" s="576"/>
    </row>
    <row r="3099" spans="1:1">
      <c r="A3099" s="576"/>
    </row>
    <row r="3100" spans="1:1">
      <c r="A3100" s="576"/>
    </row>
    <row r="3101" spans="1:1">
      <c r="A3101" s="576"/>
    </row>
    <row r="3102" spans="1:1">
      <c r="A3102" s="576"/>
    </row>
    <row r="3103" spans="1:1">
      <c r="A3103" s="576"/>
    </row>
    <row r="3104" spans="1:1">
      <c r="A3104" s="576"/>
    </row>
    <row r="3105" spans="1:1">
      <c r="A3105" s="576"/>
    </row>
    <row r="3106" spans="1:1">
      <c r="A3106" s="576"/>
    </row>
    <row r="3107" spans="1:1">
      <c r="A3107" s="576"/>
    </row>
    <row r="3108" spans="1:1">
      <c r="A3108" s="576"/>
    </row>
    <row r="3109" spans="1:1">
      <c r="A3109" s="576"/>
    </row>
    <row r="3110" spans="1:1">
      <c r="A3110" s="576"/>
    </row>
    <row r="3111" spans="1:1">
      <c r="A3111" s="576"/>
    </row>
    <row r="3112" spans="1:1">
      <c r="A3112" s="576"/>
    </row>
    <row r="3113" spans="1:1">
      <c r="A3113" s="576"/>
    </row>
    <row r="3114" spans="1:1">
      <c r="A3114" s="576"/>
    </row>
    <row r="3115" spans="1:1">
      <c r="A3115" s="576"/>
    </row>
    <row r="3116" spans="1:1">
      <c r="A3116" s="576"/>
    </row>
    <row r="3117" spans="1:1">
      <c r="A3117" s="576"/>
    </row>
    <row r="3118" spans="1:1">
      <c r="A3118" s="576"/>
    </row>
    <row r="3119" spans="1:1">
      <c r="A3119" s="576"/>
    </row>
    <row r="3120" spans="1:1">
      <c r="A3120" s="576"/>
    </row>
    <row r="3121" spans="1:1">
      <c r="A3121" s="576"/>
    </row>
    <row r="3122" spans="1:1">
      <c r="A3122" s="576"/>
    </row>
    <row r="3123" spans="1:1">
      <c r="A3123" s="576"/>
    </row>
    <row r="3124" spans="1:1">
      <c r="A3124" s="576"/>
    </row>
    <row r="3125" spans="1:1">
      <c r="A3125" s="576"/>
    </row>
    <row r="3126" spans="1:1">
      <c r="A3126" s="576"/>
    </row>
    <row r="3127" spans="1:1">
      <c r="A3127" s="576"/>
    </row>
    <row r="3128" spans="1:1">
      <c r="A3128" s="576"/>
    </row>
    <row r="3129" spans="1:1">
      <c r="A3129" s="576"/>
    </row>
    <row r="3130" spans="1:1">
      <c r="A3130" s="576"/>
    </row>
    <row r="3131" spans="1:1">
      <c r="A3131" s="576"/>
    </row>
    <row r="3132" spans="1:1">
      <c r="A3132" s="576"/>
    </row>
    <row r="3133" spans="1:1">
      <c r="A3133" s="576"/>
    </row>
    <row r="3134" spans="1:1">
      <c r="A3134" s="576"/>
    </row>
    <row r="3135" spans="1:1">
      <c r="A3135" s="576"/>
    </row>
    <row r="3136" spans="1:1">
      <c r="A3136" s="576"/>
    </row>
    <row r="3137" spans="1:1">
      <c r="A3137" s="576"/>
    </row>
    <row r="3138" spans="1:1">
      <c r="A3138" s="576"/>
    </row>
    <row r="3139" spans="1:1">
      <c r="A3139" s="576"/>
    </row>
    <row r="3140" spans="1:1">
      <c r="A3140" s="576"/>
    </row>
    <row r="3141" spans="1:1">
      <c r="A3141" s="576"/>
    </row>
    <row r="3142" spans="1:1">
      <c r="A3142" s="576"/>
    </row>
    <row r="3143" spans="1:1">
      <c r="A3143" s="576"/>
    </row>
    <row r="3144" spans="1:1">
      <c r="A3144" s="576"/>
    </row>
    <row r="3145" spans="1:1">
      <c r="A3145" s="576"/>
    </row>
    <row r="3146" spans="1:1">
      <c r="A3146" s="576"/>
    </row>
    <row r="3147" spans="1:1">
      <c r="A3147" s="576"/>
    </row>
    <row r="3148" spans="1:1">
      <c r="A3148" s="576"/>
    </row>
    <row r="3149" spans="1:1">
      <c r="A3149" s="576"/>
    </row>
    <row r="3150" spans="1:1">
      <c r="A3150" s="576"/>
    </row>
    <row r="3151" spans="1:1">
      <c r="A3151" s="576"/>
    </row>
    <row r="3152" spans="1:1">
      <c r="A3152" s="576"/>
    </row>
    <row r="3153" spans="1:1">
      <c r="A3153" s="576"/>
    </row>
    <row r="3154" spans="1:1">
      <c r="A3154" s="576"/>
    </row>
    <row r="3155" spans="1:1">
      <c r="A3155" s="576"/>
    </row>
    <row r="3156" spans="1:1">
      <c r="A3156" s="576"/>
    </row>
    <row r="3157" spans="1:1">
      <c r="A3157" s="576"/>
    </row>
    <row r="3158" spans="1:1">
      <c r="A3158" s="576"/>
    </row>
    <row r="3159" spans="1:1">
      <c r="A3159" s="576"/>
    </row>
    <row r="3160" spans="1:1">
      <c r="A3160" s="576"/>
    </row>
    <row r="3161" spans="1:1">
      <c r="A3161" s="576"/>
    </row>
    <row r="3162" spans="1:1">
      <c r="A3162" s="576"/>
    </row>
    <row r="3163" spans="1:1">
      <c r="A3163" s="576"/>
    </row>
    <row r="3164" spans="1:1">
      <c r="A3164" s="576"/>
    </row>
    <row r="3165" spans="1:1">
      <c r="A3165" s="576"/>
    </row>
    <row r="3166" spans="1:1">
      <c r="A3166" s="576"/>
    </row>
    <row r="3167" spans="1:1">
      <c r="A3167" s="576"/>
    </row>
    <row r="3168" spans="1:1">
      <c r="A3168" s="576"/>
    </row>
    <row r="3169" spans="1:1">
      <c r="A3169" s="576"/>
    </row>
    <row r="3170" spans="1:1">
      <c r="A3170" s="576"/>
    </row>
    <row r="3171" spans="1:1">
      <c r="A3171" s="576"/>
    </row>
    <row r="3172" spans="1:1">
      <c r="A3172" s="576"/>
    </row>
    <row r="3173" spans="1:1">
      <c r="A3173" s="576"/>
    </row>
    <row r="3174" spans="1:1">
      <c r="A3174" s="576"/>
    </row>
    <row r="3175" spans="1:1">
      <c r="A3175" s="576"/>
    </row>
    <row r="3176" spans="1:1">
      <c r="A3176" s="576"/>
    </row>
    <row r="3177" spans="1:1">
      <c r="A3177" s="576"/>
    </row>
    <row r="3178" spans="1:1">
      <c r="A3178" s="576"/>
    </row>
    <row r="3179" spans="1:1">
      <c r="A3179" s="576"/>
    </row>
    <row r="3180" spans="1:1">
      <c r="A3180" s="576"/>
    </row>
    <row r="3181" spans="1:1">
      <c r="A3181" s="576"/>
    </row>
    <row r="3182" spans="1:1">
      <c r="A3182" s="576"/>
    </row>
    <row r="3183" spans="1:1">
      <c r="A3183" s="576"/>
    </row>
    <row r="3184" spans="1:1">
      <c r="A3184" s="576"/>
    </row>
    <row r="3185" spans="1:1">
      <c r="A3185" s="576"/>
    </row>
    <row r="3186" spans="1:1">
      <c r="A3186" s="576"/>
    </row>
    <row r="3187" spans="1:1">
      <c r="A3187" s="576"/>
    </row>
    <row r="3188" spans="1:1">
      <c r="A3188" s="576"/>
    </row>
    <row r="3189" spans="1:1">
      <c r="A3189" s="576"/>
    </row>
    <row r="3190" spans="1:1">
      <c r="A3190" s="576"/>
    </row>
    <row r="3191" spans="1:1">
      <c r="A3191" s="576"/>
    </row>
    <row r="3192" spans="1:1">
      <c r="A3192" s="576"/>
    </row>
    <row r="3193" spans="1:1">
      <c r="A3193" s="576"/>
    </row>
    <row r="3194" spans="1:1">
      <c r="A3194" s="576"/>
    </row>
    <row r="3195" spans="1:1">
      <c r="A3195" s="576"/>
    </row>
    <row r="3196" spans="1:1">
      <c r="A3196" s="576"/>
    </row>
    <row r="3197" spans="1:1">
      <c r="A3197" s="576"/>
    </row>
    <row r="3198" spans="1:1">
      <c r="A3198" s="576"/>
    </row>
    <row r="3199" spans="1:1">
      <c r="A3199" s="576"/>
    </row>
    <row r="3200" spans="1:1">
      <c r="A3200" s="576"/>
    </row>
    <row r="3201" spans="1:1">
      <c r="A3201" s="576"/>
    </row>
    <row r="3202" spans="1:1">
      <c r="A3202" s="576"/>
    </row>
    <row r="3203" spans="1:1">
      <c r="A3203" s="576"/>
    </row>
    <row r="3204" spans="1:1">
      <c r="A3204" s="576"/>
    </row>
    <row r="3205" spans="1:1">
      <c r="A3205" s="576"/>
    </row>
    <row r="3206" spans="1:1">
      <c r="A3206" s="576"/>
    </row>
    <row r="3207" spans="1:1">
      <c r="A3207" s="576"/>
    </row>
    <row r="3208" spans="1:1">
      <c r="A3208" s="576"/>
    </row>
    <row r="3209" spans="1:1">
      <c r="A3209" s="576"/>
    </row>
    <row r="3210" spans="1:1">
      <c r="A3210" s="576"/>
    </row>
    <row r="3211" spans="1:1">
      <c r="A3211" s="576"/>
    </row>
    <row r="3212" spans="1:1">
      <c r="A3212" s="576"/>
    </row>
    <row r="3213" spans="1:1">
      <c r="A3213" s="576"/>
    </row>
    <row r="3214" spans="1:1">
      <c r="A3214" s="576"/>
    </row>
    <row r="3215" spans="1:1">
      <c r="A3215" s="576"/>
    </row>
    <row r="3216" spans="1:1">
      <c r="A3216" s="576"/>
    </row>
    <row r="3217" spans="1:1">
      <c r="A3217" s="576"/>
    </row>
    <row r="3218" spans="1:1">
      <c r="A3218" s="576"/>
    </row>
    <row r="3219" spans="1:1">
      <c r="A3219" s="576"/>
    </row>
    <row r="3220" spans="1:1">
      <c r="A3220" s="576"/>
    </row>
    <row r="3221" spans="1:1">
      <c r="A3221" s="576"/>
    </row>
    <row r="3222" spans="1:1">
      <c r="A3222" s="576"/>
    </row>
    <row r="3223" spans="1:1">
      <c r="A3223" s="576"/>
    </row>
    <row r="3224" spans="1:1">
      <c r="A3224" s="576"/>
    </row>
    <row r="3225" spans="1:1">
      <c r="A3225" s="576"/>
    </row>
    <row r="3226" spans="1:1">
      <c r="A3226" s="576"/>
    </row>
    <row r="3227" spans="1:1">
      <c r="A3227" s="576"/>
    </row>
    <row r="3228" spans="1:1">
      <c r="A3228" s="576"/>
    </row>
    <row r="3229" spans="1:1">
      <c r="A3229" s="576"/>
    </row>
    <row r="3230" spans="1:1">
      <c r="A3230" s="576"/>
    </row>
    <row r="3231" spans="1:1">
      <c r="A3231" s="576"/>
    </row>
    <row r="3232" spans="1:1">
      <c r="A3232" s="576"/>
    </row>
    <row r="3233" spans="1:1">
      <c r="A3233" s="576"/>
    </row>
    <row r="3234" spans="1:1">
      <c r="A3234" s="576"/>
    </row>
    <row r="3235" spans="1:1">
      <c r="A3235" s="576"/>
    </row>
    <row r="3236" spans="1:1">
      <c r="A3236" s="576"/>
    </row>
    <row r="3237" spans="1:1">
      <c r="A3237" s="576"/>
    </row>
    <row r="3238" spans="1:1">
      <c r="A3238" s="576"/>
    </row>
    <row r="3239" spans="1:1">
      <c r="A3239" s="576"/>
    </row>
    <row r="3240" spans="1:1">
      <c r="A3240" s="576"/>
    </row>
    <row r="3241" spans="1:1">
      <c r="A3241" s="576"/>
    </row>
    <row r="3242" spans="1:1">
      <c r="A3242" s="576"/>
    </row>
    <row r="3243" spans="1:1">
      <c r="A3243" s="576"/>
    </row>
    <row r="3244" spans="1:1">
      <c r="A3244" s="576"/>
    </row>
    <row r="3245" spans="1:1">
      <c r="A3245" s="576"/>
    </row>
    <row r="3246" spans="1:1">
      <c r="A3246" s="576"/>
    </row>
    <row r="3247" spans="1:1">
      <c r="A3247" s="576"/>
    </row>
    <row r="3248" spans="1:1">
      <c r="A3248" s="576"/>
    </row>
    <row r="3249" spans="1:1">
      <c r="A3249" s="576"/>
    </row>
    <row r="3250" spans="1:1">
      <c r="A3250" s="576"/>
    </row>
    <row r="3251" spans="1:1">
      <c r="A3251" s="576"/>
    </row>
    <row r="3252" spans="1:1">
      <c r="A3252" s="576"/>
    </row>
    <row r="3253" spans="1:1">
      <c r="A3253" s="576"/>
    </row>
    <row r="3254" spans="1:1">
      <c r="A3254" s="576"/>
    </row>
    <row r="3255" spans="1:1">
      <c r="A3255" s="576"/>
    </row>
    <row r="3256" spans="1:1">
      <c r="A3256" s="576"/>
    </row>
    <row r="3257" spans="1:1">
      <c r="A3257" s="576"/>
    </row>
    <row r="3258" spans="1:1">
      <c r="A3258" s="576"/>
    </row>
    <row r="3259" spans="1:1">
      <c r="A3259" s="576"/>
    </row>
    <row r="3260" spans="1:1">
      <c r="A3260" s="576"/>
    </row>
    <row r="3261" spans="1:1">
      <c r="A3261" s="576"/>
    </row>
    <row r="3262" spans="1:1">
      <c r="A3262" s="576"/>
    </row>
    <row r="3263" spans="1:1">
      <c r="A3263" s="576"/>
    </row>
    <row r="3264" spans="1:1">
      <c r="A3264" s="576"/>
    </row>
    <row r="3265" spans="1:1">
      <c r="A3265" s="576"/>
    </row>
    <row r="3266" spans="1:1">
      <c r="A3266" s="576"/>
    </row>
    <row r="3267" spans="1:1">
      <c r="A3267" s="576"/>
    </row>
    <row r="3268" spans="1:1">
      <c r="A3268" s="576"/>
    </row>
    <row r="3269" spans="1:1">
      <c r="A3269" s="576"/>
    </row>
    <row r="3270" spans="1:1">
      <c r="A3270" s="576"/>
    </row>
    <row r="3271" spans="1:1">
      <c r="A3271" s="576"/>
    </row>
    <row r="3272" spans="1:1">
      <c r="A3272" s="576"/>
    </row>
    <row r="3273" spans="1:1">
      <c r="A3273" s="576"/>
    </row>
    <row r="3274" spans="1:1">
      <c r="A3274" s="576"/>
    </row>
    <row r="3275" spans="1:1">
      <c r="A3275" s="576"/>
    </row>
    <row r="3276" spans="1:1">
      <c r="A3276" s="576"/>
    </row>
    <row r="3277" spans="1:1">
      <c r="A3277" s="576"/>
    </row>
    <row r="3278" spans="1:1">
      <c r="A3278" s="576"/>
    </row>
    <row r="3279" spans="1:1">
      <c r="A3279" s="576"/>
    </row>
    <row r="3280" spans="1:1">
      <c r="A3280" s="576"/>
    </row>
    <row r="3281" spans="1:1">
      <c r="A3281" s="576"/>
    </row>
    <row r="3282" spans="1:1">
      <c r="A3282" s="576"/>
    </row>
    <row r="3283" spans="1:1">
      <c r="A3283" s="576"/>
    </row>
    <row r="3284" spans="1:1">
      <c r="A3284" s="576"/>
    </row>
    <row r="3285" spans="1:1">
      <c r="A3285" s="576"/>
    </row>
    <row r="3286" spans="1:1">
      <c r="A3286" s="576"/>
    </row>
    <row r="3287" spans="1:1">
      <c r="A3287" s="576"/>
    </row>
    <row r="3288" spans="1:1">
      <c r="A3288" s="576"/>
    </row>
    <row r="3289" spans="1:1">
      <c r="A3289" s="576"/>
    </row>
    <row r="3290" spans="1:1">
      <c r="A3290" s="576"/>
    </row>
    <row r="3291" spans="1:1">
      <c r="A3291" s="576"/>
    </row>
    <row r="3292" spans="1:1">
      <c r="A3292" s="576"/>
    </row>
    <row r="3293" spans="1:1">
      <c r="A3293" s="576"/>
    </row>
    <row r="3294" spans="1:1">
      <c r="A3294" s="576"/>
    </row>
    <row r="3295" spans="1:1">
      <c r="A3295" s="576"/>
    </row>
    <row r="3296" spans="1:1">
      <c r="A3296" s="576"/>
    </row>
    <row r="3297" spans="1:1">
      <c r="A3297" s="576"/>
    </row>
    <row r="3298" spans="1:1">
      <c r="A3298" s="576"/>
    </row>
    <row r="3299" spans="1:1">
      <c r="A3299" s="576"/>
    </row>
    <row r="3300" spans="1:1">
      <c r="A3300" s="576"/>
    </row>
    <row r="3301" spans="1:1">
      <c r="A3301" s="576"/>
    </row>
    <row r="3302" spans="1:1">
      <c r="A3302" s="576"/>
    </row>
    <row r="3303" spans="1:1">
      <c r="A3303" s="576"/>
    </row>
    <row r="3304" spans="1:1">
      <c r="A3304" s="576"/>
    </row>
    <row r="3305" spans="1:1">
      <c r="A3305" s="576"/>
    </row>
    <row r="3306" spans="1:1">
      <c r="A3306" s="576"/>
    </row>
    <row r="3307" spans="1:1">
      <c r="A3307" s="576"/>
    </row>
    <row r="3308" spans="1:1">
      <c r="A3308" s="576"/>
    </row>
    <row r="3309" spans="1:1">
      <c r="A3309" s="576"/>
    </row>
    <row r="3310" spans="1:1">
      <c r="A3310" s="576"/>
    </row>
    <row r="3311" spans="1:1">
      <c r="A3311" s="576"/>
    </row>
    <row r="3312" spans="1:1">
      <c r="A3312" s="576"/>
    </row>
    <row r="3313" spans="1:1">
      <c r="A3313" s="576"/>
    </row>
    <row r="3314" spans="1:1">
      <c r="A3314" s="576"/>
    </row>
    <row r="3315" spans="1:1">
      <c r="A3315" s="576"/>
    </row>
    <row r="3316" spans="1:1">
      <c r="A3316" s="576"/>
    </row>
    <row r="3317" spans="1:1">
      <c r="A3317" s="576"/>
    </row>
    <row r="3318" spans="1:1">
      <c r="A3318" s="576"/>
    </row>
    <row r="3319" spans="1:1">
      <c r="A3319" s="576"/>
    </row>
    <row r="3320" spans="1:1">
      <c r="A3320" s="576"/>
    </row>
    <row r="3321" spans="1:1">
      <c r="A3321" s="576"/>
    </row>
    <row r="3322" spans="1:1">
      <c r="A3322" s="576"/>
    </row>
    <row r="3323" spans="1:1">
      <c r="A3323" s="576"/>
    </row>
    <row r="3324" spans="1:1">
      <c r="A3324" s="576"/>
    </row>
    <row r="3325" spans="1:1">
      <c r="A3325" s="576"/>
    </row>
    <row r="3326" spans="1:1">
      <c r="A3326" s="576"/>
    </row>
    <row r="3327" spans="1:1">
      <c r="A3327" s="576"/>
    </row>
    <row r="3328" spans="1:1">
      <c r="A3328" s="576"/>
    </row>
    <row r="3329" spans="1:1">
      <c r="A3329" s="576"/>
    </row>
    <row r="3330" spans="1:1">
      <c r="A3330" s="576"/>
    </row>
    <row r="3331" spans="1:1">
      <c r="A3331" s="576"/>
    </row>
    <row r="3332" spans="1:1">
      <c r="A3332" s="576"/>
    </row>
    <row r="3333" spans="1:1">
      <c r="A3333" s="576"/>
    </row>
    <row r="3334" spans="1:1">
      <c r="A3334" s="576"/>
    </row>
    <row r="3335" spans="1:1">
      <c r="A3335" s="576"/>
    </row>
    <row r="3336" spans="1:1">
      <c r="A3336" s="576"/>
    </row>
    <row r="3337" spans="1:1">
      <c r="A3337" s="576"/>
    </row>
    <row r="3338" spans="1:1">
      <c r="A3338" s="576"/>
    </row>
    <row r="3339" spans="1:1">
      <c r="A3339" s="576"/>
    </row>
    <row r="3340" spans="1:1">
      <c r="A3340" s="576"/>
    </row>
    <row r="3341" spans="1:1">
      <c r="A3341" s="576"/>
    </row>
    <row r="3342" spans="1:1">
      <c r="A3342" s="576"/>
    </row>
    <row r="3343" spans="1:1">
      <c r="A3343" s="576"/>
    </row>
    <row r="3344" spans="1:1">
      <c r="A3344" s="576"/>
    </row>
    <row r="3345" spans="1:1">
      <c r="A3345" s="576"/>
    </row>
    <row r="3346" spans="1:1">
      <c r="A3346" s="576"/>
    </row>
    <row r="3347" spans="1:1">
      <c r="A3347" s="576"/>
    </row>
    <row r="3348" spans="1:1">
      <c r="A3348" s="576"/>
    </row>
    <row r="3349" spans="1:1">
      <c r="A3349" s="576"/>
    </row>
    <row r="3350" spans="1:1">
      <c r="A3350" s="576"/>
    </row>
    <row r="3351" spans="1:1">
      <c r="A3351" s="576"/>
    </row>
    <row r="3352" spans="1:1">
      <c r="A3352" s="576"/>
    </row>
    <row r="3353" spans="1:1">
      <c r="A3353" s="576"/>
    </row>
    <row r="3354" spans="1:1">
      <c r="A3354" s="576"/>
    </row>
    <row r="3355" spans="1:1">
      <c r="A3355" s="576"/>
    </row>
    <row r="3356" spans="1:1">
      <c r="A3356" s="576"/>
    </row>
    <row r="3357" spans="1:1">
      <c r="A3357" s="576"/>
    </row>
    <row r="3358" spans="1:1">
      <c r="A3358" s="576"/>
    </row>
    <row r="3359" spans="1:1">
      <c r="A3359" s="576"/>
    </row>
    <row r="3360" spans="1:1">
      <c r="A3360" s="576"/>
    </row>
    <row r="3361" spans="1:1">
      <c r="A3361" s="576"/>
    </row>
    <row r="3362" spans="1:1">
      <c r="A3362" s="576"/>
    </row>
    <row r="3363" spans="1:1">
      <c r="A3363" s="576"/>
    </row>
    <row r="3364" spans="1:1">
      <c r="A3364" s="576"/>
    </row>
    <row r="3365" spans="1:1">
      <c r="A3365" s="576"/>
    </row>
    <row r="3366" spans="1:1">
      <c r="A3366" s="576"/>
    </row>
    <row r="3367" spans="1:1">
      <c r="A3367" s="576"/>
    </row>
    <row r="3368" spans="1:1">
      <c r="A3368" s="576"/>
    </row>
    <row r="3369" spans="1:1">
      <c r="A3369" s="576"/>
    </row>
    <row r="3370" spans="1:1">
      <c r="A3370" s="576"/>
    </row>
    <row r="3371" spans="1:1">
      <c r="A3371" s="576"/>
    </row>
    <row r="3372" spans="1:1">
      <c r="A3372" s="576"/>
    </row>
    <row r="3373" spans="1:1">
      <c r="A3373" s="576"/>
    </row>
    <row r="3374" spans="1:1">
      <c r="A3374" s="576"/>
    </row>
    <row r="3375" spans="1:1">
      <c r="A3375" s="576"/>
    </row>
    <row r="3376" spans="1:1">
      <c r="A3376" s="576"/>
    </row>
    <row r="3377" spans="1:1">
      <c r="A3377" s="576"/>
    </row>
    <row r="3378" spans="1:1">
      <c r="A3378" s="576"/>
    </row>
    <row r="3379" spans="1:1">
      <c r="A3379" s="576"/>
    </row>
    <row r="3380" spans="1:1">
      <c r="A3380" s="576"/>
    </row>
    <row r="3381" spans="1:1">
      <c r="A3381" s="576"/>
    </row>
    <row r="3382" spans="1:1">
      <c r="A3382" s="576"/>
    </row>
    <row r="3383" spans="1:1">
      <c r="A3383" s="576"/>
    </row>
    <row r="3384" spans="1:1">
      <c r="A3384" s="576"/>
    </row>
    <row r="3385" spans="1:1">
      <c r="A3385" s="576"/>
    </row>
    <row r="3386" spans="1:1">
      <c r="A3386" s="576"/>
    </row>
    <row r="3387" spans="1:1">
      <c r="A3387" s="576"/>
    </row>
    <row r="3388" spans="1:1">
      <c r="A3388" s="576"/>
    </row>
    <row r="3389" spans="1:1">
      <c r="A3389" s="576"/>
    </row>
    <row r="3390" spans="1:1">
      <c r="A3390" s="576"/>
    </row>
    <row r="3391" spans="1:1">
      <c r="A3391" s="576"/>
    </row>
    <row r="3392" spans="1:1">
      <c r="A3392" s="576"/>
    </row>
    <row r="3393" spans="1:1">
      <c r="A3393" s="576"/>
    </row>
    <row r="3394" spans="1:1">
      <c r="A3394" s="576"/>
    </row>
    <row r="3395" spans="1:1">
      <c r="A3395" s="576"/>
    </row>
    <row r="3396" spans="1:1">
      <c r="A3396" s="576"/>
    </row>
    <row r="3397" spans="1:1">
      <c r="A3397" s="576"/>
    </row>
    <row r="3398" spans="1:1">
      <c r="A3398" s="576"/>
    </row>
    <row r="3399" spans="1:1">
      <c r="A3399" s="576"/>
    </row>
    <row r="3400" spans="1:1">
      <c r="A3400" s="576"/>
    </row>
    <row r="3401" spans="1:1">
      <c r="A3401" s="576"/>
    </row>
    <row r="3402" spans="1:1">
      <c r="A3402" s="576"/>
    </row>
    <row r="3403" spans="1:1">
      <c r="A3403" s="576"/>
    </row>
    <row r="3404" spans="1:1">
      <c r="A3404" s="576"/>
    </row>
    <row r="3405" spans="1:1">
      <c r="A3405" s="576"/>
    </row>
    <row r="3406" spans="1:1">
      <c r="A3406" s="576"/>
    </row>
    <row r="3407" spans="1:1">
      <c r="A3407" s="576"/>
    </row>
    <row r="3408" spans="1:1">
      <c r="A3408" s="576"/>
    </row>
    <row r="3409" spans="1:1">
      <c r="A3409" s="576"/>
    </row>
    <row r="3410" spans="1:1">
      <c r="A3410" s="576"/>
    </row>
    <row r="3411" spans="1:1">
      <c r="A3411" s="576"/>
    </row>
    <row r="3412" spans="1:1">
      <c r="A3412" s="576"/>
    </row>
    <row r="3413" spans="1:1">
      <c r="A3413" s="576"/>
    </row>
    <row r="3414" spans="1:1">
      <c r="A3414" s="576"/>
    </row>
    <row r="3415" spans="1:1">
      <c r="A3415" s="576"/>
    </row>
    <row r="3416" spans="1:1">
      <c r="A3416" s="576"/>
    </row>
    <row r="3417" spans="1:1">
      <c r="A3417" s="576"/>
    </row>
    <row r="3418" spans="1:1">
      <c r="A3418" s="576"/>
    </row>
    <row r="3419" spans="1:1">
      <c r="A3419" s="576"/>
    </row>
    <row r="3420" spans="1:1">
      <c r="A3420" s="576"/>
    </row>
    <row r="3421" spans="1:1">
      <c r="A3421" s="576"/>
    </row>
    <row r="3422" spans="1:1">
      <c r="A3422" s="576"/>
    </row>
    <row r="3423" spans="1:1">
      <c r="A3423" s="576"/>
    </row>
    <row r="3424" spans="1:1">
      <c r="A3424" s="576"/>
    </row>
    <row r="3425" spans="1:1">
      <c r="A3425" s="576"/>
    </row>
    <row r="3426" spans="1:1">
      <c r="A3426" s="576"/>
    </row>
    <row r="3427" spans="1:1">
      <c r="A3427" s="576"/>
    </row>
    <row r="3428" spans="1:1">
      <c r="A3428" s="576"/>
    </row>
    <row r="3429" spans="1:1">
      <c r="A3429" s="576"/>
    </row>
    <row r="3430" spans="1:1">
      <c r="A3430" s="576"/>
    </row>
    <row r="3431" spans="1:1">
      <c r="A3431" s="576"/>
    </row>
    <row r="3432" spans="1:1">
      <c r="A3432" s="576"/>
    </row>
    <row r="3433" spans="1:1">
      <c r="A3433" s="576"/>
    </row>
    <row r="3434" spans="1:1">
      <c r="A3434" s="576"/>
    </row>
    <row r="3435" spans="1:1">
      <c r="A3435" s="576"/>
    </row>
    <row r="3436" spans="1:1">
      <c r="A3436" s="576"/>
    </row>
    <row r="3437" spans="1:1">
      <c r="A3437" s="576"/>
    </row>
    <row r="3438" spans="1:1">
      <c r="A3438" s="576"/>
    </row>
    <row r="3439" spans="1:1">
      <c r="A3439" s="576"/>
    </row>
    <row r="3440" spans="1:1">
      <c r="A3440" s="576"/>
    </row>
    <row r="3441" spans="1:1">
      <c r="A3441" s="576"/>
    </row>
    <row r="3442" spans="1:1">
      <c r="A3442" s="576"/>
    </row>
    <row r="3443" spans="1:1">
      <c r="A3443" s="576"/>
    </row>
    <row r="3444" spans="1:1">
      <c r="A3444" s="576"/>
    </row>
    <row r="3445" spans="1:1">
      <c r="A3445" s="576"/>
    </row>
    <row r="3446" spans="1:1">
      <c r="A3446" s="576"/>
    </row>
    <row r="3447" spans="1:1">
      <c r="A3447" s="576"/>
    </row>
    <row r="3448" spans="1:1">
      <c r="A3448" s="576"/>
    </row>
    <row r="3449" spans="1:1">
      <c r="A3449" s="576"/>
    </row>
    <row r="3450" spans="1:1">
      <c r="A3450" s="576"/>
    </row>
    <row r="3451" spans="1:1">
      <c r="A3451" s="576"/>
    </row>
    <row r="3452" spans="1:1">
      <c r="A3452" s="576"/>
    </row>
    <row r="3453" spans="1:1">
      <c r="A3453" s="576"/>
    </row>
    <row r="3454" spans="1:1">
      <c r="A3454" s="576"/>
    </row>
    <row r="3455" spans="1:1">
      <c r="A3455" s="576"/>
    </row>
    <row r="3456" spans="1:1">
      <c r="A3456" s="576"/>
    </row>
    <row r="3457" spans="1:1">
      <c r="A3457" s="576"/>
    </row>
    <row r="3458" spans="1:1">
      <c r="A3458" s="576"/>
    </row>
    <row r="3459" spans="1:1">
      <c r="A3459" s="576"/>
    </row>
    <row r="3460" spans="1:1">
      <c r="A3460" s="576"/>
    </row>
    <row r="3461" spans="1:1">
      <c r="A3461" s="576"/>
    </row>
    <row r="3462" spans="1:1">
      <c r="A3462" s="576"/>
    </row>
    <row r="3463" spans="1:1">
      <c r="A3463" s="576"/>
    </row>
    <row r="3464" spans="1:1">
      <c r="A3464" s="576"/>
    </row>
    <row r="3465" spans="1:1">
      <c r="A3465" s="576"/>
    </row>
    <row r="3466" spans="1:1">
      <c r="A3466" s="576"/>
    </row>
    <row r="3467" spans="1:1">
      <c r="A3467" s="576"/>
    </row>
    <row r="3468" spans="1:1">
      <c r="A3468" s="576"/>
    </row>
    <row r="3469" spans="1:1">
      <c r="A3469" s="576"/>
    </row>
    <row r="3470" spans="1:1">
      <c r="A3470" s="576"/>
    </row>
    <row r="3471" spans="1:1">
      <c r="A3471" s="576"/>
    </row>
    <row r="3472" spans="1:1">
      <c r="A3472" s="576"/>
    </row>
    <row r="3473" spans="1:1">
      <c r="A3473" s="576"/>
    </row>
    <row r="3474" spans="1:1">
      <c r="A3474" s="576"/>
    </row>
    <row r="3475" spans="1:1">
      <c r="A3475" s="576"/>
    </row>
    <row r="3476" spans="1:1">
      <c r="A3476" s="576"/>
    </row>
    <row r="3477" spans="1:1">
      <c r="A3477" s="576"/>
    </row>
    <row r="3478" spans="1:1">
      <c r="A3478" s="576"/>
    </row>
    <row r="3479" spans="1:1">
      <c r="A3479" s="576"/>
    </row>
    <row r="3480" spans="1:1">
      <c r="A3480" s="576"/>
    </row>
    <row r="3481" spans="1:1">
      <c r="A3481" s="576"/>
    </row>
    <row r="3482" spans="1:1">
      <c r="A3482" s="576"/>
    </row>
    <row r="3483" spans="1:1">
      <c r="A3483" s="576"/>
    </row>
    <row r="3484" spans="1:1">
      <c r="A3484" s="576"/>
    </row>
    <row r="3485" spans="1:1">
      <c r="A3485" s="576"/>
    </row>
    <row r="3486" spans="1:1">
      <c r="A3486" s="576"/>
    </row>
    <row r="3487" spans="1:1">
      <c r="A3487" s="576"/>
    </row>
    <row r="3488" spans="1:1">
      <c r="A3488" s="576"/>
    </row>
    <row r="3489" spans="1:1">
      <c r="A3489" s="576"/>
    </row>
    <row r="3490" spans="1:1">
      <c r="A3490" s="576"/>
    </row>
    <row r="3491" spans="1:1">
      <c r="A3491" s="576"/>
    </row>
    <row r="3492" spans="1:1">
      <c r="A3492" s="576"/>
    </row>
    <row r="3493" spans="1:1">
      <c r="A3493" s="576"/>
    </row>
    <row r="3494" spans="1:1">
      <c r="A3494" s="576"/>
    </row>
    <row r="3495" spans="1:1">
      <c r="A3495" s="576"/>
    </row>
    <row r="3496" spans="1:1">
      <c r="A3496" s="576"/>
    </row>
    <row r="3497" spans="1:1">
      <c r="A3497" s="576"/>
    </row>
    <row r="3498" spans="1:1">
      <c r="A3498" s="576"/>
    </row>
    <row r="3499" spans="1:1">
      <c r="A3499" s="576"/>
    </row>
    <row r="3500" spans="1:1">
      <c r="A3500" s="576"/>
    </row>
    <row r="3501" spans="1:1">
      <c r="A3501" s="576"/>
    </row>
    <row r="3502" spans="1:1">
      <c r="A3502" s="576"/>
    </row>
    <row r="3503" spans="1:1">
      <c r="A3503" s="576"/>
    </row>
    <row r="3504" spans="1:1">
      <c r="A3504" s="576"/>
    </row>
    <row r="3505" spans="1:1">
      <c r="A3505" s="576"/>
    </row>
    <row r="3506" spans="1:1">
      <c r="A3506" s="576"/>
    </row>
    <row r="3507" spans="1:1">
      <c r="A3507" s="576"/>
    </row>
    <row r="3508" spans="1:1">
      <c r="A3508" s="576"/>
    </row>
    <row r="3509" spans="1:1">
      <c r="A3509" s="576"/>
    </row>
    <row r="3510" spans="1:1">
      <c r="A3510" s="576"/>
    </row>
    <row r="3511" spans="1:1">
      <c r="A3511" s="576"/>
    </row>
    <row r="3512" spans="1:1">
      <c r="A3512" s="576"/>
    </row>
    <row r="3513" spans="1:1">
      <c r="A3513" s="576"/>
    </row>
    <row r="3514" spans="1:1">
      <c r="A3514" s="576"/>
    </row>
    <row r="3515" spans="1:1">
      <c r="A3515" s="576"/>
    </row>
    <row r="3516" spans="1:1">
      <c r="A3516" s="576"/>
    </row>
    <row r="3517" spans="1:1">
      <c r="A3517" s="576"/>
    </row>
    <row r="3518" spans="1:1">
      <c r="A3518" s="576"/>
    </row>
    <row r="3519" spans="1:1">
      <c r="A3519" s="576"/>
    </row>
    <row r="3520" spans="1:1">
      <c r="A3520" s="576"/>
    </row>
    <row r="3521" spans="1:1">
      <c r="A3521" s="576"/>
    </row>
    <row r="3522" spans="1:1">
      <c r="A3522" s="576"/>
    </row>
    <row r="3523" spans="1:1">
      <c r="A3523" s="576"/>
    </row>
    <row r="3524" spans="1:1">
      <c r="A3524" s="576"/>
    </row>
    <row r="3525" spans="1:1">
      <c r="A3525" s="576"/>
    </row>
    <row r="3526" spans="1:1">
      <c r="A3526" s="576"/>
    </row>
    <row r="3527" spans="1:1">
      <c r="A3527" s="576"/>
    </row>
    <row r="3528" spans="1:1">
      <c r="A3528" s="576"/>
    </row>
    <row r="3529" spans="1:1">
      <c r="A3529" s="576"/>
    </row>
    <row r="3530" spans="1:1">
      <c r="A3530" s="576"/>
    </row>
    <row r="3531" spans="1:1">
      <c r="A3531" s="576"/>
    </row>
    <row r="3532" spans="1:1">
      <c r="A3532" s="576"/>
    </row>
    <row r="3533" spans="1:1">
      <c r="A3533" s="576"/>
    </row>
    <row r="3534" spans="1:1">
      <c r="A3534" s="576"/>
    </row>
    <row r="3535" spans="1:1">
      <c r="A3535" s="576"/>
    </row>
    <row r="3536" spans="1:1">
      <c r="A3536" s="576"/>
    </row>
    <row r="3537" spans="1:1">
      <c r="A3537" s="576"/>
    </row>
    <row r="3538" spans="1:1">
      <c r="A3538" s="576"/>
    </row>
    <row r="3539" spans="1:1">
      <c r="A3539" s="576"/>
    </row>
    <row r="3540" spans="1:1">
      <c r="A3540" s="576"/>
    </row>
    <row r="3541" spans="1:1">
      <c r="A3541" s="576"/>
    </row>
    <row r="3542" spans="1:1">
      <c r="A3542" s="576"/>
    </row>
    <row r="3543" spans="1:1">
      <c r="A3543" s="576"/>
    </row>
    <row r="3544" spans="1:1">
      <c r="A3544" s="576"/>
    </row>
    <row r="3545" spans="1:1">
      <c r="A3545" s="576"/>
    </row>
    <row r="3546" spans="1:1">
      <c r="A3546" s="576"/>
    </row>
    <row r="3547" spans="1:1">
      <c r="A3547" s="576"/>
    </row>
    <row r="3548" spans="1:1">
      <c r="A3548" s="576"/>
    </row>
    <row r="3549" spans="1:1">
      <c r="A3549" s="576"/>
    </row>
    <row r="3550" spans="1:1">
      <c r="A3550" s="576"/>
    </row>
    <row r="3551" spans="1:1">
      <c r="A3551" s="576"/>
    </row>
    <row r="3552" spans="1:1">
      <c r="A3552" s="576"/>
    </row>
    <row r="3553" spans="1:1">
      <c r="A3553" s="576"/>
    </row>
    <row r="3554" spans="1:1">
      <c r="A3554" s="576"/>
    </row>
    <row r="3555" spans="1:1">
      <c r="A3555" s="576"/>
    </row>
    <row r="3556" spans="1:1">
      <c r="A3556" s="576"/>
    </row>
    <row r="3557" spans="1:1">
      <c r="A3557" s="576"/>
    </row>
    <row r="3558" spans="1:1">
      <c r="A3558" s="576"/>
    </row>
    <row r="3559" spans="1:1">
      <c r="A3559" s="576"/>
    </row>
    <row r="3560" spans="1:1">
      <c r="A3560" s="576"/>
    </row>
    <row r="3561" spans="1:1">
      <c r="A3561" s="576"/>
    </row>
    <row r="3562" spans="1:1">
      <c r="A3562" s="576"/>
    </row>
    <row r="3563" spans="1:1">
      <c r="A3563" s="576"/>
    </row>
    <row r="3564" spans="1:1">
      <c r="A3564" s="576"/>
    </row>
    <row r="3565" spans="1:1">
      <c r="A3565" s="576"/>
    </row>
    <row r="3566" spans="1:1">
      <c r="A3566" s="576"/>
    </row>
    <row r="3567" spans="1:1">
      <c r="A3567" s="576"/>
    </row>
    <row r="3568" spans="1:1">
      <c r="A3568" s="576"/>
    </row>
    <row r="3569" spans="1:1">
      <c r="A3569" s="576"/>
    </row>
    <row r="3570" spans="1:1">
      <c r="A3570" s="576"/>
    </row>
    <row r="3571" spans="1:1">
      <c r="A3571" s="576"/>
    </row>
    <row r="3572" spans="1:1">
      <c r="A3572" s="576"/>
    </row>
    <row r="3573" spans="1:1">
      <c r="A3573" s="576"/>
    </row>
    <row r="3574" spans="1:1">
      <c r="A3574" s="576"/>
    </row>
    <row r="3575" spans="1:1">
      <c r="A3575" s="576"/>
    </row>
    <row r="3576" spans="1:1">
      <c r="A3576" s="576"/>
    </row>
    <row r="3577" spans="1:1">
      <c r="A3577" s="576"/>
    </row>
    <row r="3578" spans="1:1">
      <c r="A3578" s="576"/>
    </row>
    <row r="3579" spans="1:1">
      <c r="A3579" s="576"/>
    </row>
    <row r="3580" spans="1:1">
      <c r="A3580" s="576"/>
    </row>
    <row r="3581" spans="1:1">
      <c r="A3581" s="576"/>
    </row>
    <row r="3582" spans="1:1">
      <c r="A3582" s="576"/>
    </row>
    <row r="3583" spans="1:1">
      <c r="A3583" s="576"/>
    </row>
    <row r="3584" spans="1:1">
      <c r="A3584" s="576"/>
    </row>
    <row r="3585" spans="1:1">
      <c r="A3585" s="576"/>
    </row>
    <row r="3586" spans="1:1">
      <c r="A3586" s="576"/>
    </row>
    <row r="3587" spans="1:1">
      <c r="A3587" s="576"/>
    </row>
    <row r="3588" spans="1:1">
      <c r="A3588" s="576"/>
    </row>
    <row r="3589" spans="1:1">
      <c r="A3589" s="576"/>
    </row>
    <row r="3590" spans="1:1">
      <c r="A3590" s="576"/>
    </row>
    <row r="3591" spans="1:1">
      <c r="A3591" s="576"/>
    </row>
    <row r="3592" spans="1:1">
      <c r="A3592" s="576"/>
    </row>
    <row r="3593" spans="1:1">
      <c r="A3593" s="576"/>
    </row>
    <row r="3594" spans="1:1">
      <c r="A3594" s="576"/>
    </row>
    <row r="3595" spans="1:1">
      <c r="A3595" s="576"/>
    </row>
    <row r="3596" spans="1:1">
      <c r="A3596" s="576"/>
    </row>
    <row r="3597" spans="1:1">
      <c r="A3597" s="576"/>
    </row>
    <row r="3598" spans="1:1">
      <c r="A3598" s="576"/>
    </row>
    <row r="3599" spans="1:1">
      <c r="A3599" s="576"/>
    </row>
    <row r="3600" spans="1:1">
      <c r="A3600" s="576"/>
    </row>
    <row r="3601" spans="1:1">
      <c r="A3601" s="576"/>
    </row>
    <row r="3602" spans="1:1">
      <c r="A3602" s="576"/>
    </row>
    <row r="3603" spans="1:1">
      <c r="A3603" s="576"/>
    </row>
    <row r="3604" spans="1:1">
      <c r="A3604" s="576"/>
    </row>
    <row r="3605" spans="1:1">
      <c r="A3605" s="576"/>
    </row>
    <row r="3606" spans="1:1">
      <c r="A3606" s="576"/>
    </row>
    <row r="3607" spans="1:1">
      <c r="A3607" s="576"/>
    </row>
    <row r="3608" spans="1:1">
      <c r="A3608" s="576"/>
    </row>
    <row r="3609" spans="1:1">
      <c r="A3609" s="576"/>
    </row>
    <row r="3610" spans="1:1">
      <c r="A3610" s="576"/>
    </row>
    <row r="3611" spans="1:1">
      <c r="A3611" s="576"/>
    </row>
    <row r="3612" spans="1:1">
      <c r="A3612" s="576"/>
    </row>
    <row r="3613" spans="1:1">
      <c r="A3613" s="576"/>
    </row>
    <row r="3614" spans="1:1">
      <c r="A3614" s="576"/>
    </row>
    <row r="3615" spans="1:1">
      <c r="A3615" s="576"/>
    </row>
    <row r="3616" spans="1:1">
      <c r="A3616" s="576"/>
    </row>
    <row r="3617" spans="1:1">
      <c r="A3617" s="576"/>
    </row>
    <row r="3618" spans="1:1">
      <c r="A3618" s="576"/>
    </row>
    <row r="3619" spans="1:1">
      <c r="A3619" s="576"/>
    </row>
    <row r="3620" spans="1:1">
      <c r="A3620" s="576"/>
    </row>
    <row r="3621" spans="1:1">
      <c r="A3621" s="576"/>
    </row>
    <row r="3622" spans="1:1">
      <c r="A3622" s="576"/>
    </row>
    <row r="3623" spans="1:1">
      <c r="A3623" s="576"/>
    </row>
    <row r="3624" spans="1:1">
      <c r="A3624" s="576"/>
    </row>
    <row r="3625" spans="1:1">
      <c r="A3625" s="576"/>
    </row>
    <row r="3626" spans="1:1">
      <c r="A3626" s="576"/>
    </row>
    <row r="3627" spans="1:1">
      <c r="A3627" s="576"/>
    </row>
    <row r="3628" spans="1:1">
      <c r="A3628" s="576"/>
    </row>
    <row r="3629" spans="1:1">
      <c r="A3629" s="576"/>
    </row>
    <row r="3630" spans="1:1">
      <c r="A3630" s="576"/>
    </row>
    <row r="3631" spans="1:1">
      <c r="A3631" s="576"/>
    </row>
    <row r="3632" spans="1:1">
      <c r="A3632" s="576"/>
    </row>
    <row r="3633" spans="1:1">
      <c r="A3633" s="576"/>
    </row>
    <row r="3634" spans="1:1">
      <c r="A3634" s="576"/>
    </row>
    <row r="3635" spans="1:1">
      <c r="A3635" s="576"/>
    </row>
    <row r="3636" spans="1:1">
      <c r="A3636" s="576"/>
    </row>
    <row r="3637" spans="1:1">
      <c r="A3637" s="576"/>
    </row>
    <row r="3638" spans="1:1">
      <c r="A3638" s="576"/>
    </row>
    <row r="3639" spans="1:1">
      <c r="A3639" s="576"/>
    </row>
    <row r="3640" spans="1:1">
      <c r="A3640" s="576"/>
    </row>
    <row r="3641" spans="1:1">
      <c r="A3641" s="576"/>
    </row>
    <row r="3642" spans="1:1">
      <c r="A3642" s="576"/>
    </row>
    <row r="3643" spans="1:1">
      <c r="A3643" s="576"/>
    </row>
    <row r="3644" spans="1:1">
      <c r="A3644" s="576"/>
    </row>
    <row r="3645" spans="1:1">
      <c r="A3645" s="576"/>
    </row>
    <row r="3646" spans="1:1">
      <c r="A3646" s="576"/>
    </row>
    <row r="3647" spans="1:1">
      <c r="A3647" s="576"/>
    </row>
    <row r="3648" spans="1:1">
      <c r="A3648" s="576"/>
    </row>
    <row r="3649" spans="1:1">
      <c r="A3649" s="576"/>
    </row>
    <row r="3650" spans="1:1">
      <c r="A3650" s="576"/>
    </row>
    <row r="3651" spans="1:1">
      <c r="A3651" s="576"/>
    </row>
    <row r="3652" spans="1:1">
      <c r="A3652" s="576"/>
    </row>
    <row r="3653" spans="1:1">
      <c r="A3653" s="576"/>
    </row>
    <row r="3654" spans="1:1">
      <c r="A3654" s="576"/>
    </row>
    <row r="3655" spans="1:1">
      <c r="A3655" s="576"/>
    </row>
    <row r="3656" spans="1:1">
      <c r="A3656" s="576"/>
    </row>
    <row r="3657" spans="1:1">
      <c r="A3657" s="576"/>
    </row>
    <row r="3658" spans="1:1">
      <c r="A3658" s="576"/>
    </row>
    <row r="3659" spans="1:1">
      <c r="A3659" s="576"/>
    </row>
    <row r="3660" spans="1:1">
      <c r="A3660" s="576"/>
    </row>
    <row r="3661" spans="1:1">
      <c r="A3661" s="576"/>
    </row>
    <row r="3662" spans="1:1">
      <c r="A3662" s="576"/>
    </row>
    <row r="3663" spans="1:1">
      <c r="A3663" s="576"/>
    </row>
    <row r="3664" spans="1:1">
      <c r="A3664" s="576"/>
    </row>
    <row r="3665" spans="1:1">
      <c r="A3665" s="576"/>
    </row>
    <row r="3666" spans="1:1">
      <c r="A3666" s="576"/>
    </row>
    <row r="3667" spans="1:1">
      <c r="A3667" s="576"/>
    </row>
    <row r="3668" spans="1:1">
      <c r="A3668" s="576"/>
    </row>
    <row r="3669" spans="1:1">
      <c r="A3669" s="576"/>
    </row>
    <row r="3670" spans="1:1">
      <c r="A3670" s="576"/>
    </row>
    <row r="3671" spans="1:1">
      <c r="A3671" s="576"/>
    </row>
    <row r="3672" spans="1:1">
      <c r="A3672" s="576"/>
    </row>
    <row r="3673" spans="1:1">
      <c r="A3673" s="576"/>
    </row>
    <row r="3674" spans="1:1">
      <c r="A3674" s="576"/>
    </row>
    <row r="3675" spans="1:1">
      <c r="A3675" s="576"/>
    </row>
    <row r="3676" spans="1:1">
      <c r="A3676" s="576"/>
    </row>
    <row r="3677" spans="1:1">
      <c r="A3677" s="576"/>
    </row>
    <row r="3678" spans="1:1">
      <c r="A3678" s="576"/>
    </row>
    <row r="3679" spans="1:1">
      <c r="A3679" s="576"/>
    </row>
    <row r="3680" spans="1:1">
      <c r="A3680" s="576"/>
    </row>
    <row r="3681" spans="1:1">
      <c r="A3681" s="576"/>
    </row>
    <row r="3682" spans="1:1">
      <c r="A3682" s="576"/>
    </row>
    <row r="3683" spans="1:1">
      <c r="A3683" s="576"/>
    </row>
    <row r="3684" spans="1:1">
      <c r="A3684" s="576"/>
    </row>
    <row r="3685" spans="1:1">
      <c r="A3685" s="576"/>
    </row>
    <row r="3686" spans="1:1">
      <c r="A3686" s="576"/>
    </row>
    <row r="3687" spans="1:1">
      <c r="A3687" s="576"/>
    </row>
    <row r="3688" spans="1:1">
      <c r="A3688" s="576"/>
    </row>
    <row r="3689" spans="1:1">
      <c r="A3689" s="576"/>
    </row>
    <row r="3690" spans="1:1">
      <c r="A3690" s="576"/>
    </row>
    <row r="3691" spans="1:1">
      <c r="A3691" s="576"/>
    </row>
    <row r="3692" spans="1:1">
      <c r="A3692" s="576"/>
    </row>
    <row r="3693" spans="1:1">
      <c r="A3693" s="576"/>
    </row>
    <row r="3694" spans="1:1">
      <c r="A3694" s="576"/>
    </row>
    <row r="3695" spans="1:1">
      <c r="A3695" s="576"/>
    </row>
    <row r="3696" spans="1:1">
      <c r="A3696" s="576"/>
    </row>
    <row r="3697" spans="1:1">
      <c r="A3697" s="576"/>
    </row>
    <row r="3698" spans="1:1">
      <c r="A3698" s="576"/>
    </row>
    <row r="3699" spans="1:1">
      <c r="A3699" s="576"/>
    </row>
    <row r="3700" spans="1:1">
      <c r="A3700" s="576"/>
    </row>
    <row r="3701" spans="1:1">
      <c r="A3701" s="576"/>
    </row>
    <row r="3702" spans="1:1">
      <c r="A3702" s="576"/>
    </row>
    <row r="3703" spans="1:1">
      <c r="A3703" s="576"/>
    </row>
    <row r="3704" spans="1:1">
      <c r="A3704" s="576"/>
    </row>
    <row r="3705" spans="1:1">
      <c r="A3705" s="576"/>
    </row>
    <row r="3706" spans="1:1">
      <c r="A3706" s="576"/>
    </row>
    <row r="3707" spans="1:1">
      <c r="A3707" s="576"/>
    </row>
    <row r="3708" spans="1:1">
      <c r="A3708" s="576"/>
    </row>
    <row r="3709" spans="1:1">
      <c r="A3709" s="576"/>
    </row>
    <row r="3710" spans="1:1">
      <c r="A3710" s="576"/>
    </row>
    <row r="3711" spans="1:1">
      <c r="A3711" s="576"/>
    </row>
    <row r="3712" spans="1:1">
      <c r="A3712" s="576"/>
    </row>
    <row r="3713" spans="1:1">
      <c r="A3713" s="576"/>
    </row>
    <row r="3714" spans="1:1">
      <c r="A3714" s="576"/>
    </row>
    <row r="3715" spans="1:1">
      <c r="A3715" s="576"/>
    </row>
    <row r="3716" spans="1:1">
      <c r="A3716" s="576"/>
    </row>
    <row r="3717" spans="1:1">
      <c r="A3717" s="576"/>
    </row>
    <row r="3718" spans="1:1">
      <c r="A3718" s="576"/>
    </row>
    <row r="3719" spans="1:1">
      <c r="A3719" s="576"/>
    </row>
    <row r="3720" spans="1:1">
      <c r="A3720" s="576"/>
    </row>
    <row r="3721" spans="1:1">
      <c r="A3721" s="576"/>
    </row>
    <row r="3722" spans="1:1">
      <c r="A3722" s="576"/>
    </row>
    <row r="3723" spans="1:1">
      <c r="A3723" s="576"/>
    </row>
    <row r="3724" spans="1:1">
      <c r="A3724" s="576"/>
    </row>
    <row r="3725" spans="1:1">
      <c r="A3725" s="576"/>
    </row>
    <row r="3726" spans="1:1">
      <c r="A3726" s="576"/>
    </row>
    <row r="3727" spans="1:1">
      <c r="A3727" s="576"/>
    </row>
    <row r="3728" spans="1:1">
      <c r="A3728" s="576"/>
    </row>
    <row r="3729" spans="1:1">
      <c r="A3729" s="576"/>
    </row>
    <row r="3730" spans="1:1">
      <c r="A3730" s="576"/>
    </row>
    <row r="3731" spans="1:1">
      <c r="A3731" s="576"/>
    </row>
    <row r="3732" spans="1:1">
      <c r="A3732" s="576"/>
    </row>
    <row r="3733" spans="1:1">
      <c r="A3733" s="576"/>
    </row>
    <row r="3734" spans="1:1">
      <c r="A3734" s="576"/>
    </row>
    <row r="3735" spans="1:1">
      <c r="A3735" s="576"/>
    </row>
    <row r="3736" spans="1:1">
      <c r="A3736" s="576"/>
    </row>
    <row r="3737" spans="1:1">
      <c r="A3737" s="576"/>
    </row>
    <row r="3738" spans="1:1">
      <c r="A3738" s="576"/>
    </row>
    <row r="3739" spans="1:1">
      <c r="A3739" s="576"/>
    </row>
    <row r="3740" spans="1:1">
      <c r="A3740" s="576"/>
    </row>
    <row r="3741" spans="1:1">
      <c r="A3741" s="576"/>
    </row>
    <row r="3742" spans="1:1">
      <c r="A3742" s="576"/>
    </row>
    <row r="3743" spans="1:1">
      <c r="A3743" s="576"/>
    </row>
    <row r="3744" spans="1:1">
      <c r="A3744" s="576"/>
    </row>
    <row r="3745" spans="1:1">
      <c r="A3745" s="576"/>
    </row>
    <row r="3746" spans="1:1">
      <c r="A3746" s="576"/>
    </row>
    <row r="3747" spans="1:1">
      <c r="A3747" s="576"/>
    </row>
    <row r="3748" spans="1:1">
      <c r="A3748" s="576"/>
    </row>
    <row r="3749" spans="1:1">
      <c r="A3749" s="576"/>
    </row>
    <row r="3750" spans="1:1">
      <c r="A3750" s="576"/>
    </row>
    <row r="3751" spans="1:1">
      <c r="A3751" s="576"/>
    </row>
    <row r="3752" spans="1:1">
      <c r="A3752" s="576"/>
    </row>
    <row r="3753" spans="1:1">
      <c r="A3753" s="576"/>
    </row>
    <row r="3754" spans="1:1">
      <c r="A3754" s="576"/>
    </row>
    <row r="3755" spans="1:1">
      <c r="A3755" s="576"/>
    </row>
    <row r="3756" spans="1:1">
      <c r="A3756" s="576"/>
    </row>
    <row r="3757" spans="1:1">
      <c r="A3757" s="576"/>
    </row>
    <row r="3758" spans="1:1">
      <c r="A3758" s="576"/>
    </row>
    <row r="3759" spans="1:1">
      <c r="A3759" s="576"/>
    </row>
    <row r="3760" spans="1:1">
      <c r="A3760" s="576"/>
    </row>
    <row r="3761" spans="1:1">
      <c r="A3761" s="576"/>
    </row>
    <row r="3762" spans="1:1">
      <c r="A3762" s="576"/>
    </row>
    <row r="3763" spans="1:1">
      <c r="A3763" s="576"/>
    </row>
    <row r="3764" spans="1:1">
      <c r="A3764" s="576"/>
    </row>
    <row r="3765" spans="1:1">
      <c r="A3765" s="576"/>
    </row>
    <row r="3766" spans="1:1">
      <c r="A3766" s="576"/>
    </row>
    <row r="3767" spans="1:1">
      <c r="A3767" s="576"/>
    </row>
    <row r="3768" spans="1:1">
      <c r="A3768" s="576"/>
    </row>
    <row r="3769" spans="1:1">
      <c r="A3769" s="576"/>
    </row>
    <row r="3770" spans="1:1">
      <c r="A3770" s="576"/>
    </row>
    <row r="3771" spans="1:1">
      <c r="A3771" s="576"/>
    </row>
    <row r="3772" spans="1:1">
      <c r="A3772" s="576"/>
    </row>
    <row r="3773" spans="1:1">
      <c r="A3773" s="576"/>
    </row>
    <row r="3774" spans="1:1">
      <c r="A3774" s="576"/>
    </row>
    <row r="3775" spans="1:1">
      <c r="A3775" s="576"/>
    </row>
    <row r="3776" spans="1:1">
      <c r="A3776" s="576"/>
    </row>
    <row r="3777" spans="1:1">
      <c r="A3777" s="576"/>
    </row>
    <row r="3778" spans="1:1">
      <c r="A3778" s="576"/>
    </row>
    <row r="3779" spans="1:1">
      <c r="A3779" s="576"/>
    </row>
    <row r="3780" spans="1:1">
      <c r="A3780" s="576"/>
    </row>
    <row r="3781" spans="1:1">
      <c r="A3781" s="576"/>
    </row>
    <row r="3782" spans="1:1">
      <c r="A3782" s="576"/>
    </row>
    <row r="3783" spans="1:1">
      <c r="A3783" s="576"/>
    </row>
    <row r="3784" spans="1:1">
      <c r="A3784" s="576"/>
    </row>
    <row r="3785" spans="1:1">
      <c r="A3785" s="576"/>
    </row>
    <row r="3786" spans="1:1">
      <c r="A3786" s="576"/>
    </row>
    <row r="3787" spans="1:1">
      <c r="A3787" s="576"/>
    </row>
    <row r="3788" spans="1:1">
      <c r="A3788" s="576"/>
    </row>
    <row r="3789" spans="1:1">
      <c r="A3789" s="576"/>
    </row>
    <row r="3790" spans="1:1">
      <c r="A3790" s="576"/>
    </row>
    <row r="3791" spans="1:1">
      <c r="A3791" s="576"/>
    </row>
    <row r="3792" spans="1:1">
      <c r="A3792" s="576"/>
    </row>
    <row r="3793" spans="1:1">
      <c r="A3793" s="576"/>
    </row>
    <row r="3794" spans="1:1">
      <c r="A3794" s="576"/>
    </row>
    <row r="3795" spans="1:1">
      <c r="A3795" s="576"/>
    </row>
    <row r="3796" spans="1:1">
      <c r="A3796" s="576"/>
    </row>
    <row r="3797" spans="1:1">
      <c r="A3797" s="576"/>
    </row>
    <row r="3798" spans="1:1">
      <c r="A3798" s="576"/>
    </row>
    <row r="3799" spans="1:1">
      <c r="A3799" s="576"/>
    </row>
    <row r="3800" spans="1:1">
      <c r="A3800" s="576"/>
    </row>
    <row r="3801" spans="1:1">
      <c r="A3801" s="576"/>
    </row>
    <row r="3802" spans="1:1">
      <c r="A3802" s="576"/>
    </row>
    <row r="3803" spans="1:1">
      <c r="A3803" s="576"/>
    </row>
    <row r="3804" spans="1:1">
      <c r="A3804" s="576"/>
    </row>
    <row r="3805" spans="1:1">
      <c r="A3805" s="576"/>
    </row>
    <row r="3806" spans="1:1">
      <c r="A3806" s="576"/>
    </row>
    <row r="3807" spans="1:1">
      <c r="A3807" s="576"/>
    </row>
    <row r="3808" spans="1:1">
      <c r="A3808" s="576"/>
    </row>
    <row r="3809" spans="1:1">
      <c r="A3809" s="576"/>
    </row>
    <row r="3810" spans="1:1">
      <c r="A3810" s="576"/>
    </row>
    <row r="3811" spans="1:1">
      <c r="A3811" s="576"/>
    </row>
    <row r="3812" spans="1:1">
      <c r="A3812" s="576"/>
    </row>
    <row r="3813" spans="1:1">
      <c r="A3813" s="576"/>
    </row>
    <row r="3814" spans="1:1">
      <c r="A3814" s="576"/>
    </row>
    <row r="3815" spans="1:1">
      <c r="A3815" s="576"/>
    </row>
    <row r="3816" spans="1:1">
      <c r="A3816" s="576"/>
    </row>
    <row r="3817" spans="1:1">
      <c r="A3817" s="576"/>
    </row>
    <row r="3818" spans="1:1">
      <c r="A3818" s="576"/>
    </row>
    <row r="3819" spans="1:1">
      <c r="A3819" s="576"/>
    </row>
    <row r="3820" spans="1:1">
      <c r="A3820" s="576"/>
    </row>
    <row r="3821" spans="1:1">
      <c r="A3821" s="576"/>
    </row>
    <row r="3822" spans="1:1">
      <c r="A3822" s="576"/>
    </row>
    <row r="3823" spans="1:1">
      <c r="A3823" s="576"/>
    </row>
    <row r="3824" spans="1:1">
      <c r="A3824" s="576"/>
    </row>
    <row r="3825" spans="1:1">
      <c r="A3825" s="576"/>
    </row>
    <row r="3826" spans="1:1">
      <c r="A3826" s="576"/>
    </row>
    <row r="3827" spans="1:1">
      <c r="A3827" s="576"/>
    </row>
    <row r="3828" spans="1:1">
      <c r="A3828" s="576"/>
    </row>
    <row r="3829" spans="1:1">
      <c r="A3829" s="576"/>
    </row>
    <row r="3830" spans="1:1">
      <c r="A3830" s="576"/>
    </row>
    <row r="3831" spans="1:1">
      <c r="A3831" s="576"/>
    </row>
    <row r="3832" spans="1:1">
      <c r="A3832" s="576"/>
    </row>
    <row r="3833" spans="1:1">
      <c r="A3833" s="576"/>
    </row>
    <row r="3834" spans="1:1">
      <c r="A3834" s="576"/>
    </row>
    <row r="3835" spans="1:1">
      <c r="A3835" s="576"/>
    </row>
    <row r="3836" spans="1:1">
      <c r="A3836" s="576"/>
    </row>
    <row r="3837" spans="1:1">
      <c r="A3837" s="576"/>
    </row>
    <row r="3838" spans="1:1">
      <c r="A3838" s="576"/>
    </row>
    <row r="3839" spans="1:1">
      <c r="A3839" s="576"/>
    </row>
    <row r="3840" spans="1:1">
      <c r="A3840" s="576"/>
    </row>
    <row r="3841" spans="1:1">
      <c r="A3841" s="576"/>
    </row>
    <row r="3842" spans="1:1">
      <c r="A3842" s="576"/>
    </row>
    <row r="3843" spans="1:1">
      <c r="A3843" s="576"/>
    </row>
    <row r="3844" spans="1:1">
      <c r="A3844" s="576"/>
    </row>
    <row r="3845" spans="1:1">
      <c r="A3845" s="576"/>
    </row>
    <row r="3846" spans="1:1">
      <c r="A3846" s="576"/>
    </row>
    <row r="3847" spans="1:1">
      <c r="A3847" s="576"/>
    </row>
    <row r="3848" spans="1:1">
      <c r="A3848" s="576"/>
    </row>
    <row r="3849" spans="1:1">
      <c r="A3849" s="576"/>
    </row>
    <row r="3850" spans="1:1">
      <c r="A3850" s="576"/>
    </row>
    <row r="3851" spans="1:1">
      <c r="A3851" s="576"/>
    </row>
    <row r="3852" spans="1:1">
      <c r="A3852" s="576"/>
    </row>
    <row r="3853" spans="1:1">
      <c r="A3853" s="576"/>
    </row>
    <row r="3854" spans="1:1">
      <c r="A3854" s="576"/>
    </row>
    <row r="3855" spans="1:1">
      <c r="A3855" s="576"/>
    </row>
    <row r="3856" spans="1:1">
      <c r="A3856" s="576"/>
    </row>
    <row r="3857" spans="1:1">
      <c r="A3857" s="576"/>
    </row>
    <row r="3858" spans="1:1">
      <c r="A3858" s="576"/>
    </row>
    <row r="3859" spans="1:1">
      <c r="A3859" s="576"/>
    </row>
    <row r="3860" spans="1:1">
      <c r="A3860" s="576"/>
    </row>
    <row r="3861" spans="1:1">
      <c r="A3861" s="576"/>
    </row>
    <row r="3862" spans="1:1">
      <c r="A3862" s="576"/>
    </row>
    <row r="3863" spans="1:1">
      <c r="A3863" s="576"/>
    </row>
    <row r="3864" spans="1:1">
      <c r="A3864" s="576"/>
    </row>
    <row r="3865" spans="1:1">
      <c r="A3865" s="576"/>
    </row>
    <row r="3866" spans="1:1">
      <c r="A3866" s="576"/>
    </row>
    <row r="3867" spans="1:1">
      <c r="A3867" s="576"/>
    </row>
    <row r="3868" spans="1:1">
      <c r="A3868" s="576"/>
    </row>
    <row r="3869" spans="1:1">
      <c r="A3869" s="576"/>
    </row>
    <row r="3870" spans="1:1">
      <c r="A3870" s="576"/>
    </row>
    <row r="3871" spans="1:1">
      <c r="A3871" s="576"/>
    </row>
    <row r="3872" spans="1:1">
      <c r="A3872" s="576"/>
    </row>
    <row r="3873" spans="1:1">
      <c r="A3873" s="576"/>
    </row>
    <row r="3874" spans="1:1">
      <c r="A3874" s="576"/>
    </row>
    <row r="3875" spans="1:1">
      <c r="A3875" s="576"/>
    </row>
    <row r="3876" spans="1:1">
      <c r="A3876" s="576"/>
    </row>
    <row r="3877" spans="1:1">
      <c r="A3877" s="576"/>
    </row>
    <row r="3878" spans="1:1">
      <c r="A3878" s="576"/>
    </row>
    <row r="3879" spans="1:1">
      <c r="A3879" s="576"/>
    </row>
    <row r="3880" spans="1:1">
      <c r="A3880" s="576"/>
    </row>
    <row r="3881" spans="1:1">
      <c r="A3881" s="576"/>
    </row>
    <row r="3882" spans="1:1">
      <c r="A3882" s="576"/>
    </row>
    <row r="3883" spans="1:1">
      <c r="A3883" s="576"/>
    </row>
    <row r="3884" spans="1:1">
      <c r="A3884" s="576"/>
    </row>
    <row r="3885" spans="1:1">
      <c r="A3885" s="576"/>
    </row>
    <row r="3886" spans="1:1">
      <c r="A3886" s="576"/>
    </row>
    <row r="3887" spans="1:1">
      <c r="A3887" s="576"/>
    </row>
    <row r="3888" spans="1:1">
      <c r="A3888" s="576"/>
    </row>
    <row r="3889" spans="1:1">
      <c r="A3889" s="576"/>
    </row>
    <row r="3890" spans="1:1">
      <c r="A3890" s="576"/>
    </row>
    <row r="3891" spans="1:1">
      <c r="A3891" s="576"/>
    </row>
    <row r="3892" spans="1:1">
      <c r="A3892" s="576"/>
    </row>
    <row r="3893" spans="1:1">
      <c r="A3893" s="576"/>
    </row>
    <row r="3894" spans="1:1">
      <c r="A3894" s="576"/>
    </row>
    <row r="3895" spans="1:1">
      <c r="A3895" s="576"/>
    </row>
    <row r="3896" spans="1:1">
      <c r="A3896" s="576"/>
    </row>
    <row r="3897" spans="1:1">
      <c r="A3897" s="576"/>
    </row>
    <row r="3898" spans="1:1">
      <c r="A3898" s="576"/>
    </row>
    <row r="3899" spans="1:1">
      <c r="A3899" s="576"/>
    </row>
    <row r="3900" spans="1:1">
      <c r="A3900" s="576"/>
    </row>
    <row r="3901" spans="1:1">
      <c r="A3901" s="576"/>
    </row>
    <row r="3902" spans="1:1">
      <c r="A3902" s="576"/>
    </row>
    <row r="3903" spans="1:1">
      <c r="A3903" s="576"/>
    </row>
    <row r="3904" spans="1:1">
      <c r="A3904" s="576"/>
    </row>
    <row r="3905" spans="1:1">
      <c r="A3905" s="576"/>
    </row>
    <row r="3906" spans="1:1">
      <c r="A3906" s="576"/>
    </row>
    <row r="3907" spans="1:1">
      <c r="A3907" s="576"/>
    </row>
    <row r="3908" spans="1:1">
      <c r="A3908" s="576"/>
    </row>
    <row r="3909" spans="1:1">
      <c r="A3909" s="576"/>
    </row>
    <row r="3910" spans="1:1">
      <c r="A3910" s="576"/>
    </row>
    <row r="3911" spans="1:1">
      <c r="A3911" s="576"/>
    </row>
    <row r="3912" spans="1:1">
      <c r="A3912" s="576"/>
    </row>
    <row r="3913" spans="1:1">
      <c r="A3913" s="576"/>
    </row>
    <row r="3914" spans="1:1">
      <c r="A3914" s="576"/>
    </row>
    <row r="3915" spans="1:1">
      <c r="A3915" s="576"/>
    </row>
    <row r="3916" spans="1:1">
      <c r="A3916" s="576"/>
    </row>
    <row r="3917" spans="1:1">
      <c r="A3917" s="576"/>
    </row>
    <row r="3918" spans="1:1">
      <c r="A3918" s="576"/>
    </row>
    <row r="3919" spans="1:1">
      <c r="A3919" s="576"/>
    </row>
    <row r="3920" spans="1:1">
      <c r="A3920" s="576"/>
    </row>
    <row r="3921" spans="1:1">
      <c r="A3921" s="576"/>
    </row>
    <row r="3922" spans="1:1">
      <c r="A3922" s="576"/>
    </row>
    <row r="3923" spans="1:1">
      <c r="A3923" s="576"/>
    </row>
    <row r="3924" spans="1:1">
      <c r="A3924" s="576"/>
    </row>
    <row r="3925" spans="1:1">
      <c r="A3925" s="576"/>
    </row>
    <row r="3926" spans="1:1">
      <c r="A3926" s="576"/>
    </row>
    <row r="3927" spans="1:1">
      <c r="A3927" s="576"/>
    </row>
    <row r="3928" spans="1:1">
      <c r="A3928" s="576"/>
    </row>
    <row r="3929" spans="1:1">
      <c r="A3929" s="576"/>
    </row>
    <row r="3930" spans="1:1">
      <c r="A3930" s="576"/>
    </row>
    <row r="3931" spans="1:1">
      <c r="A3931" s="576"/>
    </row>
    <row r="3932" spans="1:1">
      <c r="A3932" s="576"/>
    </row>
    <row r="3933" spans="1:1">
      <c r="A3933" s="576"/>
    </row>
    <row r="3934" spans="1:1">
      <c r="A3934" s="576"/>
    </row>
    <row r="3935" spans="1:1">
      <c r="A3935" s="576"/>
    </row>
    <row r="3936" spans="1:1">
      <c r="A3936" s="576"/>
    </row>
    <row r="3937" spans="1:1">
      <c r="A3937" s="576"/>
    </row>
    <row r="3938" spans="1:1">
      <c r="A3938" s="576"/>
    </row>
    <row r="3939" spans="1:1">
      <c r="A3939" s="576"/>
    </row>
    <row r="3940" spans="1:1">
      <c r="A3940" s="576"/>
    </row>
    <row r="3941" spans="1:1">
      <c r="A3941" s="576"/>
    </row>
    <row r="3942" spans="1:1">
      <c r="A3942" s="576"/>
    </row>
    <row r="3943" spans="1:1">
      <c r="A3943" s="576"/>
    </row>
    <row r="3944" spans="1:1">
      <c r="A3944" s="576"/>
    </row>
    <row r="3945" spans="1:1">
      <c r="A3945" s="576"/>
    </row>
    <row r="3946" spans="1:1">
      <c r="A3946" s="576"/>
    </row>
    <row r="3947" spans="1:1">
      <c r="A3947" s="576"/>
    </row>
    <row r="3948" spans="1:1">
      <c r="A3948" s="576"/>
    </row>
    <row r="3949" spans="1:1">
      <c r="A3949" s="576"/>
    </row>
    <row r="3950" spans="1:1">
      <c r="A3950" s="576"/>
    </row>
    <row r="3951" spans="1:1">
      <c r="A3951" s="576"/>
    </row>
    <row r="3952" spans="1:1">
      <c r="A3952" s="576"/>
    </row>
    <row r="3953" spans="1:1">
      <c r="A3953" s="576"/>
    </row>
    <row r="3954" spans="1:1">
      <c r="A3954" s="576"/>
    </row>
    <row r="3955" spans="1:1">
      <c r="A3955" s="576"/>
    </row>
    <row r="3956" spans="1:1">
      <c r="A3956" s="576"/>
    </row>
    <row r="3957" spans="1:1">
      <c r="A3957" s="576"/>
    </row>
    <row r="3958" spans="1:1">
      <c r="A3958" s="576"/>
    </row>
    <row r="3959" spans="1:1">
      <c r="A3959" s="576"/>
    </row>
    <row r="3960" spans="1:1">
      <c r="A3960" s="576"/>
    </row>
    <row r="3961" spans="1:1">
      <c r="A3961" s="576"/>
    </row>
    <row r="3962" spans="1:1">
      <c r="A3962" s="576"/>
    </row>
    <row r="3963" spans="1:1">
      <c r="A3963" s="576"/>
    </row>
    <row r="3964" spans="1:1">
      <c r="A3964" s="576"/>
    </row>
    <row r="3965" spans="1:1">
      <c r="A3965" s="576"/>
    </row>
    <row r="3966" spans="1:1">
      <c r="A3966" s="576"/>
    </row>
    <row r="3967" spans="1:1">
      <c r="A3967" s="576"/>
    </row>
    <row r="3968" spans="1:1">
      <c r="A3968" s="576"/>
    </row>
    <row r="3969" spans="1:1">
      <c r="A3969" s="576"/>
    </row>
    <row r="3970" spans="1:1">
      <c r="A3970" s="576"/>
    </row>
    <row r="3971" spans="1:1">
      <c r="A3971" s="576"/>
    </row>
    <row r="3972" spans="1:1">
      <c r="A3972" s="576"/>
    </row>
    <row r="3973" spans="1:1">
      <c r="A3973" s="576"/>
    </row>
    <row r="3974" spans="1:1">
      <c r="A3974" s="576"/>
    </row>
    <row r="3975" spans="1:1">
      <c r="A3975" s="576"/>
    </row>
    <row r="3976" spans="1:1">
      <c r="A3976" s="576"/>
    </row>
    <row r="3977" spans="1:1">
      <c r="A3977" s="576"/>
    </row>
    <row r="3978" spans="1:1">
      <c r="A3978" s="576"/>
    </row>
    <row r="3979" spans="1:1">
      <c r="A3979" s="576"/>
    </row>
    <row r="3980" spans="1:1">
      <c r="A3980" s="576"/>
    </row>
    <row r="3981" spans="1:1">
      <c r="A3981" s="576"/>
    </row>
    <row r="3982" spans="1:1">
      <c r="A3982" s="576"/>
    </row>
    <row r="3983" spans="1:1">
      <c r="A3983" s="576"/>
    </row>
    <row r="3984" spans="1:1">
      <c r="A3984" s="576"/>
    </row>
    <row r="3985" spans="1:1">
      <c r="A3985" s="576"/>
    </row>
    <row r="3986" spans="1:1">
      <c r="A3986" s="576"/>
    </row>
    <row r="3987" spans="1:1">
      <c r="A3987" s="576"/>
    </row>
    <row r="3988" spans="1:1">
      <c r="A3988" s="576"/>
    </row>
    <row r="3989" spans="1:1">
      <c r="A3989" s="576"/>
    </row>
    <row r="3990" spans="1:1">
      <c r="A3990" s="576"/>
    </row>
    <row r="3991" spans="1:1">
      <c r="A3991" s="576"/>
    </row>
    <row r="3992" spans="1:1">
      <c r="A3992" s="576"/>
    </row>
    <row r="3993" spans="1:1">
      <c r="A3993" s="576"/>
    </row>
    <row r="3994" spans="1:1">
      <c r="A3994" s="576"/>
    </row>
    <row r="3995" spans="1:1">
      <c r="A3995" s="576"/>
    </row>
    <row r="3996" spans="1:1">
      <c r="A3996" s="576"/>
    </row>
    <row r="3997" spans="1:1">
      <c r="A3997" s="576"/>
    </row>
    <row r="3998" spans="1:1">
      <c r="A3998" s="576"/>
    </row>
    <row r="3999" spans="1:1">
      <c r="A3999" s="576"/>
    </row>
    <row r="4000" spans="1:1">
      <c r="A4000" s="576"/>
    </row>
    <row r="4001" spans="1:1">
      <c r="A4001" s="576"/>
    </row>
    <row r="4002" spans="1:1">
      <c r="A4002" s="576"/>
    </row>
    <row r="4003" spans="1:1">
      <c r="A4003" s="576"/>
    </row>
    <row r="4004" spans="1:1">
      <c r="A4004" s="576"/>
    </row>
    <row r="4005" spans="1:1">
      <c r="A4005" s="576"/>
    </row>
    <row r="4006" spans="1:1">
      <c r="A4006" s="576"/>
    </row>
    <row r="4007" spans="1:1">
      <c r="A4007" s="576"/>
    </row>
    <row r="4008" spans="1:1">
      <c r="A4008" s="576"/>
    </row>
    <row r="4009" spans="1:1">
      <c r="A4009" s="576"/>
    </row>
    <row r="4010" spans="1:1">
      <c r="A4010" s="576"/>
    </row>
    <row r="4011" spans="1:1">
      <c r="A4011" s="576"/>
    </row>
    <row r="4012" spans="1:1">
      <c r="A4012" s="576"/>
    </row>
    <row r="4013" spans="1:1">
      <c r="A4013" s="576"/>
    </row>
    <row r="4014" spans="1:1">
      <c r="A4014" s="576"/>
    </row>
    <row r="4015" spans="1:1">
      <c r="A4015" s="576"/>
    </row>
    <row r="4016" spans="1:1">
      <c r="A4016" s="576"/>
    </row>
    <row r="4017" spans="1:1">
      <c r="A4017" s="576"/>
    </row>
    <row r="4018" spans="1:1">
      <c r="A4018" s="576"/>
    </row>
    <row r="4019" spans="1:1">
      <c r="A4019" s="576"/>
    </row>
    <row r="4020" spans="1:1">
      <c r="A4020" s="576"/>
    </row>
    <row r="4021" spans="1:1">
      <c r="A4021" s="576"/>
    </row>
    <row r="4022" spans="1:1">
      <c r="A4022" s="576"/>
    </row>
    <row r="4023" spans="1:1">
      <c r="A4023" s="576"/>
    </row>
    <row r="4024" spans="1:1">
      <c r="A4024" s="576"/>
    </row>
    <row r="4025" spans="1:1">
      <c r="A4025" s="576"/>
    </row>
    <row r="4026" spans="1:1">
      <c r="A4026" s="576"/>
    </row>
    <row r="4027" spans="1:1">
      <c r="A4027" s="576"/>
    </row>
    <row r="4028" spans="1:1">
      <c r="A4028" s="576"/>
    </row>
    <row r="4029" spans="1:1">
      <c r="A4029" s="576"/>
    </row>
    <row r="4030" spans="1:1">
      <c r="A4030" s="576"/>
    </row>
    <row r="4031" spans="1:1">
      <c r="A4031" s="576"/>
    </row>
    <row r="4032" spans="1:1">
      <c r="A4032" s="576"/>
    </row>
    <row r="4033" spans="1:1">
      <c r="A4033" s="576"/>
    </row>
    <row r="4034" spans="1:1">
      <c r="A4034" s="576"/>
    </row>
    <row r="4035" spans="1:1">
      <c r="A4035" s="576"/>
    </row>
    <row r="4036" spans="1:1">
      <c r="A4036" s="576"/>
    </row>
    <row r="4037" spans="1:1">
      <c r="A4037" s="576"/>
    </row>
    <row r="4038" spans="1:1">
      <c r="A4038" s="576"/>
    </row>
    <row r="4039" spans="1:1">
      <c r="A4039" s="576"/>
    </row>
    <row r="4040" spans="1:1">
      <c r="A4040" s="576"/>
    </row>
    <row r="4041" spans="1:1">
      <c r="A4041" s="576"/>
    </row>
    <row r="4042" spans="1:1">
      <c r="A4042" s="576"/>
    </row>
    <row r="4043" spans="1:1">
      <c r="A4043" s="576"/>
    </row>
    <row r="4044" spans="1:1">
      <c r="A4044" s="576"/>
    </row>
    <row r="4045" spans="1:1">
      <c r="A4045" s="576"/>
    </row>
    <row r="4046" spans="1:1">
      <c r="A4046" s="576"/>
    </row>
    <row r="4047" spans="1:1">
      <c r="A4047" s="576"/>
    </row>
    <row r="4048" spans="1:1">
      <c r="A4048" s="576"/>
    </row>
    <row r="4049" spans="1:1">
      <c r="A4049" s="576"/>
    </row>
    <row r="4050" spans="1:1">
      <c r="A4050" s="576"/>
    </row>
    <row r="4051" spans="1:1">
      <c r="A4051" s="576"/>
    </row>
    <row r="4052" spans="1:1">
      <c r="A4052" s="576"/>
    </row>
    <row r="4053" spans="1:1">
      <c r="A4053" s="576"/>
    </row>
    <row r="4054" spans="1:1">
      <c r="A4054" s="576"/>
    </row>
    <row r="4055" spans="1:1">
      <c r="A4055" s="576"/>
    </row>
    <row r="4056" spans="1:1">
      <c r="A4056" s="576"/>
    </row>
    <row r="4057" spans="1:1">
      <c r="A4057" s="576"/>
    </row>
    <row r="4058" spans="1:1">
      <c r="A4058" s="576"/>
    </row>
    <row r="4059" spans="1:1">
      <c r="A4059" s="576"/>
    </row>
    <row r="4060" spans="1:1">
      <c r="A4060" s="576"/>
    </row>
    <row r="4061" spans="1:1">
      <c r="A4061" s="576"/>
    </row>
    <row r="4062" spans="1:1">
      <c r="A4062" s="576"/>
    </row>
    <row r="4063" spans="1:1">
      <c r="A4063" s="576"/>
    </row>
    <row r="4064" spans="1:1">
      <c r="A4064" s="576"/>
    </row>
    <row r="4065" spans="1:1">
      <c r="A4065" s="576"/>
    </row>
    <row r="4066" spans="1:1">
      <c r="A4066" s="576"/>
    </row>
    <row r="4067" spans="1:1">
      <c r="A4067" s="576"/>
    </row>
    <row r="4068" spans="1:1">
      <c r="A4068" s="576"/>
    </row>
    <row r="4069" spans="1:1">
      <c r="A4069" s="576"/>
    </row>
    <row r="4070" spans="1:1">
      <c r="A4070" s="576"/>
    </row>
    <row r="4071" spans="1:1">
      <c r="A4071" s="576"/>
    </row>
    <row r="4072" spans="1:1">
      <c r="A4072" s="576"/>
    </row>
    <row r="4073" spans="1:1">
      <c r="A4073" s="576"/>
    </row>
    <row r="4074" spans="1:1">
      <c r="A4074" s="576"/>
    </row>
    <row r="4075" spans="1:1">
      <c r="A4075" s="576"/>
    </row>
    <row r="4076" spans="1:1">
      <c r="A4076" s="576"/>
    </row>
    <row r="4077" spans="1:1">
      <c r="A4077" s="576"/>
    </row>
    <row r="4078" spans="1:1">
      <c r="A4078" s="576"/>
    </row>
    <row r="4079" spans="1:1">
      <c r="A4079" s="576"/>
    </row>
    <row r="4080" spans="1:1">
      <c r="A4080" s="576"/>
    </row>
    <row r="4081" spans="1:1">
      <c r="A4081" s="576"/>
    </row>
    <row r="4082" spans="1:1">
      <c r="A4082" s="576"/>
    </row>
    <row r="4083" spans="1:1">
      <c r="A4083" s="576"/>
    </row>
    <row r="4084" spans="1:1">
      <c r="A4084" s="576"/>
    </row>
    <row r="4085" spans="1:1">
      <c r="A4085" s="576"/>
    </row>
    <row r="4086" spans="1:1">
      <c r="A4086" s="576"/>
    </row>
    <row r="4087" spans="1:1">
      <c r="A4087" s="576"/>
    </row>
    <row r="4088" spans="1:1">
      <c r="A4088" s="576"/>
    </row>
    <row r="4089" spans="1:1">
      <c r="A4089" s="576"/>
    </row>
    <row r="4090" spans="1:1">
      <c r="A4090" s="576"/>
    </row>
    <row r="4091" spans="1:1">
      <c r="A4091" s="576"/>
    </row>
    <row r="4092" spans="1:1">
      <c r="A4092" s="576"/>
    </row>
    <row r="4093" spans="1:1">
      <c r="A4093" s="576"/>
    </row>
    <row r="4094" spans="1:1">
      <c r="A4094" s="576"/>
    </row>
    <row r="4095" spans="1:1">
      <c r="A4095" s="576"/>
    </row>
    <row r="4096" spans="1:1">
      <c r="A4096" s="576"/>
    </row>
    <row r="4097" spans="1:1">
      <c r="A4097" s="576"/>
    </row>
    <row r="4098" spans="1:1">
      <c r="A4098" s="576"/>
    </row>
    <row r="4099" spans="1:1">
      <c r="A4099" s="576"/>
    </row>
    <row r="4100" spans="1:1">
      <c r="A4100" s="576"/>
    </row>
    <row r="4101" spans="1:1">
      <c r="A4101" s="576"/>
    </row>
    <row r="4102" spans="1:1">
      <c r="A4102" s="576"/>
    </row>
    <row r="4103" spans="1:1">
      <c r="A4103" s="576"/>
    </row>
    <row r="4104" spans="1:1">
      <c r="A4104" s="576"/>
    </row>
    <row r="4105" spans="1:1">
      <c r="A4105" s="576"/>
    </row>
    <row r="4106" spans="1:1">
      <c r="A4106" s="576"/>
    </row>
    <row r="4107" spans="1:1">
      <c r="A4107" s="576"/>
    </row>
    <row r="4108" spans="1:1">
      <c r="A4108" s="576"/>
    </row>
    <row r="4109" spans="1:1">
      <c r="A4109" s="576"/>
    </row>
    <row r="4110" spans="1:1">
      <c r="A4110" s="576"/>
    </row>
    <row r="4111" spans="1:1">
      <c r="A4111" s="576"/>
    </row>
    <row r="4112" spans="1:1">
      <c r="A4112" s="576"/>
    </row>
    <row r="4113" spans="1:1">
      <c r="A4113" s="576"/>
    </row>
    <row r="4114" spans="1:1">
      <c r="A4114" s="576"/>
    </row>
    <row r="4115" spans="1:1">
      <c r="A4115" s="576"/>
    </row>
    <row r="4116" spans="1:1">
      <c r="A4116" s="576"/>
    </row>
    <row r="4117" spans="1:1">
      <c r="A4117" s="576"/>
    </row>
    <row r="4118" spans="1:1">
      <c r="A4118" s="576"/>
    </row>
    <row r="4119" spans="1:1">
      <c r="A4119" s="576"/>
    </row>
    <row r="4120" spans="1:1">
      <c r="A4120" s="576"/>
    </row>
    <row r="4121" spans="1:1">
      <c r="A4121" s="576"/>
    </row>
    <row r="4122" spans="1:1">
      <c r="A4122" s="576"/>
    </row>
    <row r="4123" spans="1:1">
      <c r="A4123" s="576"/>
    </row>
    <row r="4124" spans="1:1">
      <c r="A4124" s="576"/>
    </row>
    <row r="4125" spans="1:1">
      <c r="A4125" s="576"/>
    </row>
    <row r="4126" spans="1:1">
      <c r="A4126" s="576"/>
    </row>
    <row r="4127" spans="1:1">
      <c r="A4127" s="576"/>
    </row>
    <row r="4128" spans="1:1">
      <c r="A4128" s="576"/>
    </row>
    <row r="4129" spans="1:1">
      <c r="A4129" s="576"/>
    </row>
    <row r="4130" spans="1:1">
      <c r="A4130" s="576"/>
    </row>
    <row r="4131" spans="1:1">
      <c r="A4131" s="576"/>
    </row>
    <row r="4132" spans="1:1">
      <c r="A4132" s="576"/>
    </row>
    <row r="4133" spans="1:1">
      <c r="A4133" s="576"/>
    </row>
    <row r="4134" spans="1:1">
      <c r="A4134" s="576"/>
    </row>
    <row r="4135" spans="1:1">
      <c r="A4135" s="576"/>
    </row>
    <row r="4136" spans="1:1">
      <c r="A4136" s="576"/>
    </row>
    <row r="4137" spans="1:1">
      <c r="A4137" s="576"/>
    </row>
    <row r="4138" spans="1:1">
      <c r="A4138" s="576"/>
    </row>
    <row r="4139" spans="1:1">
      <c r="A4139" s="576"/>
    </row>
    <row r="4140" spans="1:1">
      <c r="A4140" s="576"/>
    </row>
    <row r="4141" spans="1:1">
      <c r="A4141" s="576"/>
    </row>
    <row r="4142" spans="1:1">
      <c r="A4142" s="576"/>
    </row>
    <row r="4143" spans="1:1">
      <c r="A4143" s="576"/>
    </row>
    <row r="4144" spans="1:1">
      <c r="A4144" s="576"/>
    </row>
    <row r="4145" spans="1:1">
      <c r="A4145" s="576"/>
    </row>
    <row r="4146" spans="1:1">
      <c r="A4146" s="576"/>
    </row>
    <row r="4147" spans="1:1">
      <c r="A4147" s="576"/>
    </row>
    <row r="4148" spans="1:1">
      <c r="A4148" s="576"/>
    </row>
    <row r="4149" spans="1:1">
      <c r="A4149" s="576"/>
    </row>
    <row r="4150" spans="1:1">
      <c r="A4150" s="576"/>
    </row>
    <row r="4151" spans="1:1">
      <c r="A4151" s="576"/>
    </row>
    <row r="4152" spans="1:1">
      <c r="A4152" s="576"/>
    </row>
    <row r="4153" spans="1:1">
      <c r="A4153" s="576"/>
    </row>
    <row r="4154" spans="1:1">
      <c r="A4154" s="576"/>
    </row>
    <row r="4155" spans="1:1">
      <c r="A4155" s="576"/>
    </row>
    <row r="4156" spans="1:1">
      <c r="A4156" s="576"/>
    </row>
    <row r="4157" spans="1:1">
      <c r="A4157" s="576"/>
    </row>
    <row r="4158" spans="1:1">
      <c r="A4158" s="576"/>
    </row>
    <row r="4159" spans="1:1">
      <c r="A4159" s="576"/>
    </row>
    <row r="4160" spans="1:1">
      <c r="A4160" s="576"/>
    </row>
    <row r="4161" spans="1:1">
      <c r="A4161" s="576"/>
    </row>
    <row r="4162" spans="1:1">
      <c r="A4162" s="576"/>
    </row>
    <row r="4163" spans="1:1">
      <c r="A4163" s="576"/>
    </row>
    <row r="4164" spans="1:1">
      <c r="A4164" s="576"/>
    </row>
    <row r="4165" spans="1:1">
      <c r="A4165" s="576"/>
    </row>
    <row r="4166" spans="1:1">
      <c r="A4166" s="576"/>
    </row>
    <row r="4167" spans="1:1">
      <c r="A4167" s="576"/>
    </row>
    <row r="4168" spans="1:1">
      <c r="A4168" s="576"/>
    </row>
    <row r="4169" spans="1:1">
      <c r="A4169" s="576"/>
    </row>
    <row r="4170" spans="1:1">
      <c r="A4170" s="576"/>
    </row>
    <row r="4171" spans="1:1">
      <c r="A4171" s="576"/>
    </row>
    <row r="4172" spans="1:1">
      <c r="A4172" s="576"/>
    </row>
    <row r="4173" spans="1:1">
      <c r="A4173" s="576"/>
    </row>
    <row r="4174" spans="1:1">
      <c r="A4174" s="576"/>
    </row>
    <row r="4175" spans="1:1">
      <c r="A4175" s="576"/>
    </row>
    <row r="4176" spans="1:1">
      <c r="A4176" s="576"/>
    </row>
    <row r="4177" spans="1:1">
      <c r="A4177" s="576"/>
    </row>
    <row r="4178" spans="1:1">
      <c r="A4178" s="576"/>
    </row>
    <row r="4179" spans="1:1">
      <c r="A4179" s="576"/>
    </row>
    <row r="4180" spans="1:1">
      <c r="A4180" s="576"/>
    </row>
    <row r="4181" spans="1:1">
      <c r="A4181" s="576"/>
    </row>
    <row r="4182" spans="1:1">
      <c r="A4182" s="576"/>
    </row>
    <row r="4183" spans="1:1">
      <c r="A4183" s="576"/>
    </row>
    <row r="4184" spans="1:1">
      <c r="A4184" s="576"/>
    </row>
    <row r="4185" spans="1:1">
      <c r="A4185" s="576"/>
    </row>
    <row r="4186" spans="1:1">
      <c r="A4186" s="576"/>
    </row>
    <row r="4187" spans="1:1">
      <c r="A4187" s="576"/>
    </row>
    <row r="4188" spans="1:1">
      <c r="A4188" s="576"/>
    </row>
    <row r="4189" spans="1:1">
      <c r="A4189" s="576"/>
    </row>
    <row r="4190" spans="1:1">
      <c r="A4190" s="576"/>
    </row>
    <row r="4191" spans="1:1">
      <c r="A4191" s="576"/>
    </row>
    <row r="4192" spans="1:1">
      <c r="A4192" s="576"/>
    </row>
    <row r="4193" spans="1:1">
      <c r="A4193" s="576"/>
    </row>
    <row r="4194" spans="1:1">
      <c r="A4194" s="576"/>
    </row>
    <row r="4195" spans="1:1">
      <c r="A4195" s="576"/>
    </row>
    <row r="4196" spans="1:1">
      <c r="A4196" s="576"/>
    </row>
    <row r="4197" spans="1:1">
      <c r="A4197" s="576"/>
    </row>
    <row r="4198" spans="1:1">
      <c r="A4198" s="576"/>
    </row>
    <row r="4199" spans="1:1">
      <c r="A4199" s="576"/>
    </row>
    <row r="4200" spans="1:1">
      <c r="A4200" s="576"/>
    </row>
    <row r="4201" spans="1:1">
      <c r="A4201" s="576"/>
    </row>
    <row r="4202" spans="1:1">
      <c r="A4202" s="576"/>
    </row>
    <row r="4203" spans="1:1">
      <c r="A4203" s="576"/>
    </row>
    <row r="4204" spans="1:1">
      <c r="A4204" s="576"/>
    </row>
    <row r="4205" spans="1:1">
      <c r="A4205" s="576"/>
    </row>
    <row r="4206" spans="1:1">
      <c r="A4206" s="576"/>
    </row>
    <row r="4207" spans="1:1">
      <c r="A4207" s="576"/>
    </row>
    <row r="4208" spans="1:1">
      <c r="A4208" s="576"/>
    </row>
    <row r="4209" spans="1:1">
      <c r="A4209" s="576"/>
    </row>
    <row r="4210" spans="1:1">
      <c r="A4210" s="576"/>
    </row>
    <row r="4211" spans="1:1">
      <c r="A4211" s="576"/>
    </row>
    <row r="4212" spans="1:1">
      <c r="A4212" s="576"/>
    </row>
    <row r="4213" spans="1:1">
      <c r="A4213" s="576"/>
    </row>
    <row r="4214" spans="1:1">
      <c r="A4214" s="576"/>
    </row>
    <row r="4215" spans="1:1">
      <c r="A4215" s="576"/>
    </row>
    <row r="4216" spans="1:1">
      <c r="A4216" s="576"/>
    </row>
    <row r="4217" spans="1:1">
      <c r="A4217" s="576"/>
    </row>
    <row r="4218" spans="1:1">
      <c r="A4218" s="576"/>
    </row>
    <row r="4219" spans="1:1">
      <c r="A4219" s="576"/>
    </row>
    <row r="4220" spans="1:1">
      <c r="A4220" s="576"/>
    </row>
    <row r="4221" spans="1:1">
      <c r="A4221" s="576"/>
    </row>
    <row r="4222" spans="1:1">
      <c r="A4222" s="576"/>
    </row>
    <row r="4223" spans="1:1">
      <c r="A4223" s="576"/>
    </row>
    <row r="4224" spans="1:1">
      <c r="A4224" s="576"/>
    </row>
    <row r="4225" spans="1:1">
      <c r="A4225" s="576"/>
    </row>
    <row r="4226" spans="1:1">
      <c r="A4226" s="576"/>
    </row>
    <row r="4227" spans="1:1">
      <c r="A4227" s="576"/>
    </row>
    <row r="4228" spans="1:1">
      <c r="A4228" s="576"/>
    </row>
    <row r="4229" spans="1:1">
      <c r="A4229" s="576"/>
    </row>
    <row r="4230" spans="1:1">
      <c r="A4230" s="576"/>
    </row>
    <row r="4231" spans="1:1">
      <c r="A4231" s="576"/>
    </row>
    <row r="4232" spans="1:1">
      <c r="A4232" s="576"/>
    </row>
    <row r="4233" spans="1:1">
      <c r="A4233" s="576"/>
    </row>
    <row r="4234" spans="1:1">
      <c r="A4234" s="576"/>
    </row>
    <row r="4235" spans="1:1">
      <c r="A4235" s="576"/>
    </row>
    <row r="4236" spans="1:1">
      <c r="A4236" s="576"/>
    </row>
    <row r="4237" spans="1:1">
      <c r="A4237" s="576"/>
    </row>
    <row r="4238" spans="1:1">
      <c r="A4238" s="576"/>
    </row>
    <row r="4239" spans="1:1">
      <c r="A4239" s="576"/>
    </row>
    <row r="4240" spans="1:1">
      <c r="A4240" s="576"/>
    </row>
    <row r="4241" spans="1:1">
      <c r="A4241" s="576"/>
    </row>
    <row r="4242" spans="1:1">
      <c r="A4242" s="576"/>
    </row>
    <row r="4243" spans="1:1">
      <c r="A4243" s="576"/>
    </row>
    <row r="4244" spans="1:1">
      <c r="A4244" s="576"/>
    </row>
    <row r="4245" spans="1:1">
      <c r="A4245" s="576"/>
    </row>
    <row r="4246" spans="1:1">
      <c r="A4246" s="576"/>
    </row>
    <row r="4247" spans="1:1">
      <c r="A4247" s="576"/>
    </row>
    <row r="4248" spans="1:1">
      <c r="A4248" s="576"/>
    </row>
    <row r="4249" spans="1:1">
      <c r="A4249" s="576"/>
    </row>
    <row r="4250" spans="1:1">
      <c r="A4250" s="576"/>
    </row>
    <row r="4251" spans="1:1">
      <c r="A4251" s="576"/>
    </row>
    <row r="4252" spans="1:1">
      <c r="A4252" s="576"/>
    </row>
    <row r="4253" spans="1:1">
      <c r="A4253" s="576"/>
    </row>
    <row r="4254" spans="1:1">
      <c r="A4254" s="576"/>
    </row>
    <row r="4255" spans="1:1">
      <c r="A4255" s="576"/>
    </row>
    <row r="4256" spans="1:1">
      <c r="A4256" s="576"/>
    </row>
    <row r="4257" spans="1:1">
      <c r="A4257" s="576"/>
    </row>
    <row r="4258" spans="1:1">
      <c r="A4258" s="576"/>
    </row>
    <row r="4259" spans="1:1">
      <c r="A4259" s="576"/>
    </row>
    <row r="4260" spans="1:1">
      <c r="A4260" s="576"/>
    </row>
    <row r="4261" spans="1:1">
      <c r="A4261" s="576"/>
    </row>
    <row r="4262" spans="1:1">
      <c r="A4262" s="576"/>
    </row>
    <row r="4263" spans="1:1">
      <c r="A4263" s="576"/>
    </row>
    <row r="4264" spans="1:1">
      <c r="A4264" s="576"/>
    </row>
    <row r="4265" spans="1:1">
      <c r="A4265" s="576"/>
    </row>
    <row r="4266" spans="1:1">
      <c r="A4266" s="576"/>
    </row>
    <row r="4267" spans="1:1">
      <c r="A4267" s="576"/>
    </row>
    <row r="4268" spans="1:1">
      <c r="A4268" s="576"/>
    </row>
    <row r="4269" spans="1:1">
      <c r="A4269" s="576"/>
    </row>
    <row r="4270" spans="1:1">
      <c r="A4270" s="576"/>
    </row>
    <row r="4271" spans="1:1">
      <c r="A4271" s="576"/>
    </row>
    <row r="4272" spans="1:1">
      <c r="A4272" s="576"/>
    </row>
    <row r="4273" spans="1:1">
      <c r="A4273" s="576"/>
    </row>
    <row r="4274" spans="1:1">
      <c r="A4274" s="576"/>
    </row>
    <row r="4275" spans="1:1">
      <c r="A4275" s="576"/>
    </row>
    <row r="4276" spans="1:1">
      <c r="A4276" s="576"/>
    </row>
    <row r="4277" spans="1:1">
      <c r="A4277" s="576"/>
    </row>
    <row r="4278" spans="1:1">
      <c r="A4278" s="576"/>
    </row>
    <row r="4279" spans="1:1">
      <c r="A4279" s="576"/>
    </row>
    <row r="4280" spans="1:1">
      <c r="A4280" s="576"/>
    </row>
    <row r="4281" spans="1:1">
      <c r="A4281" s="576"/>
    </row>
    <row r="4282" spans="1:1">
      <c r="A4282" s="576"/>
    </row>
    <row r="4283" spans="1:1">
      <c r="A4283" s="576"/>
    </row>
    <row r="4284" spans="1:1">
      <c r="A4284" s="576"/>
    </row>
    <row r="4285" spans="1:1">
      <c r="A4285" s="576"/>
    </row>
    <row r="4286" spans="1:1">
      <c r="A4286" s="576"/>
    </row>
    <row r="4287" spans="1:1">
      <c r="A4287" s="576"/>
    </row>
    <row r="4288" spans="1:1">
      <c r="A4288" s="576"/>
    </row>
    <row r="4289" spans="1:1">
      <c r="A4289" s="576"/>
    </row>
    <row r="4290" spans="1:1">
      <c r="A4290" s="576"/>
    </row>
    <row r="4291" spans="1:1">
      <c r="A4291" s="576"/>
    </row>
    <row r="4292" spans="1:1">
      <c r="A4292" s="576"/>
    </row>
    <row r="4293" spans="1:1">
      <c r="A4293" s="576"/>
    </row>
    <row r="4294" spans="1:1">
      <c r="A4294" s="576"/>
    </row>
    <row r="4295" spans="1:1">
      <c r="A4295" s="576"/>
    </row>
    <row r="4296" spans="1:1">
      <c r="A4296" s="576"/>
    </row>
    <row r="4297" spans="1:1">
      <c r="A4297" s="576"/>
    </row>
    <row r="4298" spans="1:1">
      <c r="A4298" s="576"/>
    </row>
    <row r="4299" spans="1:1">
      <c r="A4299" s="576"/>
    </row>
    <row r="4300" spans="1:1">
      <c r="A4300" s="576"/>
    </row>
    <row r="4301" spans="1:1">
      <c r="A4301" s="576"/>
    </row>
    <row r="4302" spans="1:1">
      <c r="A4302" s="576"/>
    </row>
    <row r="4303" spans="1:1">
      <c r="A4303" s="576"/>
    </row>
    <row r="4304" spans="1:1">
      <c r="A4304" s="576"/>
    </row>
    <row r="4305" spans="1:1">
      <c r="A4305" s="576"/>
    </row>
    <row r="4306" spans="1:1">
      <c r="A4306" s="576"/>
    </row>
    <row r="4307" spans="1:1">
      <c r="A4307" s="576"/>
    </row>
    <row r="4308" spans="1:1">
      <c r="A4308" s="576"/>
    </row>
    <row r="4309" spans="1:1">
      <c r="A4309" s="576"/>
    </row>
    <row r="4310" spans="1:1">
      <c r="A4310" s="576"/>
    </row>
    <row r="4311" spans="1:1">
      <c r="A4311" s="576"/>
    </row>
    <row r="4312" spans="1:1">
      <c r="A4312" s="576"/>
    </row>
    <row r="4313" spans="1:1">
      <c r="A4313" s="576"/>
    </row>
    <row r="4314" spans="1:1">
      <c r="A4314" s="576"/>
    </row>
    <row r="4315" spans="1:1">
      <c r="A4315" s="576"/>
    </row>
    <row r="4316" spans="1:1">
      <c r="A4316" s="576"/>
    </row>
    <row r="4317" spans="1:1">
      <c r="A4317" s="576"/>
    </row>
    <row r="4318" spans="1:1">
      <c r="A4318" s="576"/>
    </row>
    <row r="4319" spans="1:1">
      <c r="A4319" s="576"/>
    </row>
    <row r="4320" spans="1:1">
      <c r="A4320" s="576"/>
    </row>
    <row r="4321" spans="1:1">
      <c r="A4321" s="576"/>
    </row>
    <row r="4322" spans="1:1">
      <c r="A4322" s="576"/>
    </row>
    <row r="4323" spans="1:1">
      <c r="A4323" s="576"/>
    </row>
    <row r="4324" spans="1:1">
      <c r="A4324" s="576"/>
    </row>
    <row r="4325" spans="1:1">
      <c r="A4325" s="576"/>
    </row>
    <row r="4326" spans="1:1">
      <c r="A4326" s="576"/>
    </row>
    <row r="4327" spans="1:1">
      <c r="A4327" s="576"/>
    </row>
    <row r="4328" spans="1:1">
      <c r="A4328" s="576"/>
    </row>
    <row r="4329" spans="1:1">
      <c r="A4329" s="576"/>
    </row>
    <row r="4330" spans="1:1">
      <c r="A4330" s="576"/>
    </row>
    <row r="4331" spans="1:1">
      <c r="A4331" s="576"/>
    </row>
    <row r="4332" spans="1:1">
      <c r="A4332" s="576"/>
    </row>
    <row r="4333" spans="1:1">
      <c r="A4333" s="576"/>
    </row>
    <row r="4334" spans="1:1">
      <c r="A4334" s="576"/>
    </row>
    <row r="4335" spans="1:1">
      <c r="A4335" s="576"/>
    </row>
    <row r="4336" spans="1:1">
      <c r="A4336" s="576"/>
    </row>
    <row r="4337" spans="1:1">
      <c r="A4337" s="576"/>
    </row>
    <row r="4338" spans="1:1">
      <c r="A4338" s="576"/>
    </row>
    <row r="4339" spans="1:1">
      <c r="A4339" s="576"/>
    </row>
    <row r="4340" spans="1:1">
      <c r="A4340" s="576"/>
    </row>
    <row r="4341" spans="1:1">
      <c r="A4341" s="576"/>
    </row>
    <row r="4342" spans="1:1">
      <c r="A4342" s="576"/>
    </row>
    <row r="4343" spans="1:1">
      <c r="A4343" s="576"/>
    </row>
    <row r="4344" spans="1:1">
      <c r="A4344" s="576"/>
    </row>
    <row r="4345" spans="1:1">
      <c r="A4345" s="576"/>
    </row>
    <row r="4346" spans="1:1">
      <c r="A4346" s="576"/>
    </row>
    <row r="4347" spans="1:1">
      <c r="A4347" s="576"/>
    </row>
    <row r="4348" spans="1:1">
      <c r="A4348" s="576"/>
    </row>
    <row r="4349" spans="1:1">
      <c r="A4349" s="576"/>
    </row>
    <row r="4350" spans="1:1">
      <c r="A4350" s="576"/>
    </row>
    <row r="4351" spans="1:1">
      <c r="A4351" s="576"/>
    </row>
    <row r="4352" spans="1:1">
      <c r="A4352" s="576"/>
    </row>
    <row r="4353" spans="1:1">
      <c r="A4353" s="576"/>
    </row>
    <row r="4354" spans="1:1">
      <c r="A4354" s="576"/>
    </row>
    <row r="4355" spans="1:1">
      <c r="A4355" s="576"/>
    </row>
    <row r="4356" spans="1:1">
      <c r="A4356" s="576"/>
    </row>
    <row r="4357" spans="1:1">
      <c r="A4357" s="576"/>
    </row>
    <row r="4358" spans="1:1">
      <c r="A4358" s="576"/>
    </row>
    <row r="4359" spans="1:1">
      <c r="A4359" s="576"/>
    </row>
    <row r="4360" spans="1:1">
      <c r="A4360" s="576"/>
    </row>
    <row r="4361" spans="1:1">
      <c r="A4361" s="576"/>
    </row>
    <row r="4362" spans="1:1">
      <c r="A4362" s="576"/>
    </row>
    <row r="4363" spans="1:1">
      <c r="A4363" s="576"/>
    </row>
    <row r="4364" spans="1:1">
      <c r="A4364" s="576"/>
    </row>
    <row r="4365" spans="1:1">
      <c r="A4365" s="576"/>
    </row>
    <row r="4366" spans="1:1">
      <c r="A4366" s="576"/>
    </row>
    <row r="4367" spans="1:1">
      <c r="A4367" s="576"/>
    </row>
    <row r="4368" spans="1:1">
      <c r="A4368" s="576"/>
    </row>
    <row r="4369" spans="1:1">
      <c r="A4369" s="576"/>
    </row>
    <row r="4370" spans="1:1">
      <c r="A4370" s="576"/>
    </row>
    <row r="4371" spans="1:1">
      <c r="A4371" s="576"/>
    </row>
    <row r="4372" spans="1:1">
      <c r="A4372" s="576"/>
    </row>
    <row r="4373" spans="1:1">
      <c r="A4373" s="576"/>
    </row>
    <row r="4374" spans="1:1">
      <c r="A4374" s="576"/>
    </row>
    <row r="4375" spans="1:1">
      <c r="A4375" s="576"/>
    </row>
    <row r="4376" spans="1:1">
      <c r="A4376" s="576"/>
    </row>
    <row r="4377" spans="1:1">
      <c r="A4377" s="576"/>
    </row>
    <row r="4378" spans="1:1">
      <c r="A4378" s="576"/>
    </row>
    <row r="4379" spans="1:1">
      <c r="A4379" s="576"/>
    </row>
    <row r="4380" spans="1:1">
      <c r="A4380" s="576"/>
    </row>
    <row r="4381" spans="1:1">
      <c r="A4381" s="576"/>
    </row>
    <row r="4382" spans="1:1">
      <c r="A4382" s="576"/>
    </row>
    <row r="4383" spans="1:1">
      <c r="A4383" s="576"/>
    </row>
    <row r="4384" spans="1:1">
      <c r="A4384" s="576"/>
    </row>
    <row r="4385" spans="1:1">
      <c r="A4385" s="576"/>
    </row>
    <row r="4386" spans="1:1">
      <c r="A4386" s="576"/>
    </row>
    <row r="4387" spans="1:1">
      <c r="A4387" s="576"/>
    </row>
    <row r="4388" spans="1:1">
      <c r="A4388" s="576"/>
    </row>
    <row r="4389" spans="1:1">
      <c r="A4389" s="576"/>
    </row>
    <row r="4390" spans="1:1">
      <c r="A4390" s="576"/>
    </row>
    <row r="4391" spans="1:1">
      <c r="A4391" s="576"/>
    </row>
    <row r="4392" spans="1:1">
      <c r="A4392" s="576"/>
    </row>
    <row r="4393" spans="1:1">
      <c r="A4393" s="576"/>
    </row>
    <row r="4394" spans="1:1">
      <c r="A4394" s="576"/>
    </row>
    <row r="4395" spans="1:1">
      <c r="A4395" s="576"/>
    </row>
    <row r="4396" spans="1:1">
      <c r="A4396" s="576"/>
    </row>
    <row r="4397" spans="1:1">
      <c r="A4397" s="576"/>
    </row>
    <row r="4398" spans="1:1">
      <c r="A4398" s="576"/>
    </row>
    <row r="4399" spans="1:1">
      <c r="A4399" s="576"/>
    </row>
    <row r="4400" spans="1:1">
      <c r="A4400" s="576"/>
    </row>
    <row r="4401" spans="1:1">
      <c r="A4401" s="576"/>
    </row>
    <row r="4402" spans="1:1">
      <c r="A4402" s="576"/>
    </row>
    <row r="4403" spans="1:1">
      <c r="A4403" s="576"/>
    </row>
    <row r="4404" spans="1:1">
      <c r="A4404" s="576"/>
    </row>
    <row r="4405" spans="1:1">
      <c r="A4405" s="576"/>
    </row>
    <row r="4406" spans="1:1">
      <c r="A4406" s="576"/>
    </row>
    <row r="4407" spans="1:1">
      <c r="A4407" s="576"/>
    </row>
    <row r="4408" spans="1:1">
      <c r="A4408" s="576"/>
    </row>
    <row r="4409" spans="1:1">
      <c r="A4409" s="576"/>
    </row>
    <row r="4410" spans="1:1">
      <c r="A4410" s="576"/>
    </row>
    <row r="4411" spans="1:1">
      <c r="A4411" s="576"/>
    </row>
    <row r="4412" spans="1:1">
      <c r="A4412" s="576"/>
    </row>
    <row r="4413" spans="1:1">
      <c r="A4413" s="576"/>
    </row>
    <row r="4414" spans="1:1">
      <c r="A4414" s="576"/>
    </row>
    <row r="4415" spans="1:1">
      <c r="A4415" s="576"/>
    </row>
    <row r="4416" spans="1:1">
      <c r="A4416" s="576"/>
    </row>
    <row r="4417" spans="1:1">
      <c r="A4417" s="576"/>
    </row>
    <row r="4418" spans="1:1">
      <c r="A4418" s="576"/>
    </row>
    <row r="4419" spans="1:1">
      <c r="A4419" s="576"/>
    </row>
    <row r="4420" spans="1:1">
      <c r="A4420" s="576"/>
    </row>
    <row r="4421" spans="1:1">
      <c r="A4421" s="576"/>
    </row>
    <row r="4422" spans="1:1">
      <c r="A4422" s="576"/>
    </row>
    <row r="4423" spans="1:1">
      <c r="A4423" s="576"/>
    </row>
    <row r="4424" spans="1:1">
      <c r="A4424" s="576"/>
    </row>
    <row r="4425" spans="1:1">
      <c r="A4425" s="576"/>
    </row>
    <row r="4426" spans="1:1">
      <c r="A4426" s="576"/>
    </row>
    <row r="4427" spans="1:1">
      <c r="A4427" s="576"/>
    </row>
    <row r="4428" spans="1:1">
      <c r="A4428" s="576"/>
    </row>
    <row r="4429" spans="1:1">
      <c r="A4429" s="576"/>
    </row>
    <row r="4430" spans="1:1">
      <c r="A4430" s="576"/>
    </row>
    <row r="4431" spans="1:1">
      <c r="A4431" s="576"/>
    </row>
    <row r="4432" spans="1:1">
      <c r="A4432" s="576"/>
    </row>
    <row r="4433" spans="1:1">
      <c r="A4433" s="576"/>
    </row>
    <row r="4434" spans="1:1">
      <c r="A4434" s="576"/>
    </row>
    <row r="4435" spans="1:1">
      <c r="A4435" s="576"/>
    </row>
    <row r="4436" spans="1:1">
      <c r="A4436" s="576"/>
    </row>
    <row r="4437" spans="1:1">
      <c r="A4437" s="576"/>
    </row>
    <row r="4438" spans="1:1">
      <c r="A4438" s="576"/>
    </row>
    <row r="4439" spans="1:1">
      <c r="A4439" s="576"/>
    </row>
    <row r="4440" spans="1:1">
      <c r="A4440" s="576"/>
    </row>
    <row r="4441" spans="1:1">
      <c r="A4441" s="576"/>
    </row>
    <row r="4442" spans="1:1">
      <c r="A4442" s="576"/>
    </row>
    <row r="4443" spans="1:1">
      <c r="A4443" s="576"/>
    </row>
    <row r="4444" spans="1:1">
      <c r="A4444" s="576"/>
    </row>
    <row r="4445" spans="1:1">
      <c r="A4445" s="576"/>
    </row>
    <row r="4446" spans="1:1">
      <c r="A4446" s="576"/>
    </row>
    <row r="4447" spans="1:1">
      <c r="A4447" s="576"/>
    </row>
    <row r="4448" spans="1:1">
      <c r="A4448" s="576"/>
    </row>
    <row r="4449" spans="1:1">
      <c r="A4449" s="576"/>
    </row>
    <row r="4450" spans="1:1">
      <c r="A4450" s="576"/>
    </row>
    <row r="4451" spans="1:1">
      <c r="A4451" s="576"/>
    </row>
    <row r="4452" spans="1:1">
      <c r="A4452" s="576"/>
    </row>
    <row r="4453" spans="1:1">
      <c r="A4453" s="576"/>
    </row>
    <row r="4454" spans="1:1">
      <c r="A4454" s="576"/>
    </row>
    <row r="4455" spans="1:1">
      <c r="A4455" s="576"/>
    </row>
    <row r="4456" spans="1:1">
      <c r="A4456" s="576"/>
    </row>
    <row r="4457" spans="1:1">
      <c r="A4457" s="576"/>
    </row>
    <row r="4458" spans="1:1">
      <c r="A4458" s="576"/>
    </row>
    <row r="4459" spans="1:1">
      <c r="A4459" s="576"/>
    </row>
    <row r="4460" spans="1:1">
      <c r="A4460" s="576"/>
    </row>
    <row r="4461" spans="1:1">
      <c r="A4461" s="576"/>
    </row>
    <row r="4462" spans="1:1">
      <c r="A4462" s="576"/>
    </row>
    <row r="4463" spans="1:1">
      <c r="A4463" s="576"/>
    </row>
    <row r="4464" spans="1:1">
      <c r="A4464" s="576"/>
    </row>
    <row r="4465" spans="1:1">
      <c r="A4465" s="576"/>
    </row>
    <row r="4466" spans="1:1">
      <c r="A4466" s="576"/>
    </row>
    <row r="4467" spans="1:1">
      <c r="A4467" s="576"/>
    </row>
    <row r="4468" spans="1:1">
      <c r="A4468" s="576"/>
    </row>
    <row r="4469" spans="1:1">
      <c r="A4469" s="576"/>
    </row>
    <row r="4470" spans="1:1">
      <c r="A4470" s="576"/>
    </row>
    <row r="4471" spans="1:1">
      <c r="A4471" s="576"/>
    </row>
    <row r="4472" spans="1:1">
      <c r="A4472" s="576"/>
    </row>
    <row r="4473" spans="1:1">
      <c r="A4473" s="576"/>
    </row>
    <row r="4474" spans="1:1">
      <c r="A4474" s="576"/>
    </row>
    <row r="4475" spans="1:1">
      <c r="A4475" s="576"/>
    </row>
    <row r="4476" spans="1:1">
      <c r="A4476" s="576"/>
    </row>
    <row r="4477" spans="1:1">
      <c r="A4477" s="576"/>
    </row>
    <row r="4478" spans="1:1">
      <c r="A4478" s="576"/>
    </row>
    <row r="4479" spans="1:1">
      <c r="A4479" s="576"/>
    </row>
    <row r="4480" spans="1:1">
      <c r="A4480" s="576"/>
    </row>
    <row r="4481" spans="1:1">
      <c r="A4481" s="576"/>
    </row>
    <row r="4482" spans="1:1">
      <c r="A4482" s="576"/>
    </row>
    <row r="4483" spans="1:1">
      <c r="A4483" s="576"/>
    </row>
    <row r="4484" spans="1:1">
      <c r="A4484" s="576"/>
    </row>
    <row r="4485" spans="1:1">
      <c r="A4485" s="576"/>
    </row>
    <row r="4486" spans="1:1">
      <c r="A4486" s="576"/>
    </row>
    <row r="4487" spans="1:1">
      <c r="A4487" s="576"/>
    </row>
    <row r="4488" spans="1:1">
      <c r="A4488" s="576"/>
    </row>
    <row r="4489" spans="1:1">
      <c r="A4489" s="576"/>
    </row>
    <row r="4490" spans="1:1">
      <c r="A4490" s="576"/>
    </row>
    <row r="4491" spans="1:1">
      <c r="A4491" s="576"/>
    </row>
    <row r="4492" spans="1:1">
      <c r="A4492" s="576"/>
    </row>
    <row r="4493" spans="1:1">
      <c r="A4493" s="576"/>
    </row>
    <row r="4494" spans="1:1">
      <c r="A4494" s="576"/>
    </row>
    <row r="4495" spans="1:1">
      <c r="A4495" s="576"/>
    </row>
    <row r="4496" spans="1:1">
      <c r="A4496" s="576"/>
    </row>
    <row r="4497" spans="1:1">
      <c r="A4497" s="576"/>
    </row>
    <row r="4498" spans="1:1">
      <c r="A4498" s="576"/>
    </row>
    <row r="4499" spans="1:1">
      <c r="A4499" s="576"/>
    </row>
    <row r="4500" spans="1:1">
      <c r="A4500" s="576"/>
    </row>
    <row r="4501" spans="1:1">
      <c r="A4501" s="576"/>
    </row>
    <row r="4502" spans="1:1">
      <c r="A4502" s="576"/>
    </row>
    <row r="4503" spans="1:1">
      <c r="A4503" s="576"/>
    </row>
    <row r="4504" spans="1:1">
      <c r="A4504" s="576"/>
    </row>
    <row r="4505" spans="1:1">
      <c r="A4505" s="576"/>
    </row>
    <row r="4506" spans="1:1">
      <c r="A4506" s="576"/>
    </row>
    <row r="4507" spans="1:1">
      <c r="A4507" s="576"/>
    </row>
    <row r="4508" spans="1:1">
      <c r="A4508" s="576"/>
    </row>
    <row r="4509" spans="1:1">
      <c r="A4509" s="576"/>
    </row>
    <row r="4510" spans="1:1">
      <c r="A4510" s="576"/>
    </row>
    <row r="4511" spans="1:1">
      <c r="A4511" s="576"/>
    </row>
    <row r="4512" spans="1:1">
      <c r="A4512" s="576"/>
    </row>
    <row r="4513" spans="1:1">
      <c r="A4513" s="576"/>
    </row>
    <row r="4514" spans="1:1">
      <c r="A4514" s="576"/>
    </row>
    <row r="4515" spans="1:1">
      <c r="A4515" s="576"/>
    </row>
    <row r="4516" spans="1:1">
      <c r="A4516" s="576"/>
    </row>
    <row r="4517" spans="1:1">
      <c r="A4517" s="576"/>
    </row>
    <row r="4518" spans="1:1">
      <c r="A4518" s="576"/>
    </row>
    <row r="4519" spans="1:1">
      <c r="A4519" s="576"/>
    </row>
    <row r="4520" spans="1:1">
      <c r="A4520" s="576"/>
    </row>
    <row r="4521" spans="1:1">
      <c r="A4521" s="576"/>
    </row>
    <row r="4522" spans="1:1">
      <c r="A4522" s="576"/>
    </row>
    <row r="4523" spans="1:1">
      <c r="A4523" s="576"/>
    </row>
    <row r="4524" spans="1:1">
      <c r="A4524" s="576"/>
    </row>
    <row r="4525" spans="1:1">
      <c r="A4525" s="576"/>
    </row>
    <row r="4526" spans="1:1">
      <c r="A4526" s="576"/>
    </row>
    <row r="4527" spans="1:1">
      <c r="A4527" s="576"/>
    </row>
    <row r="4528" spans="1:1">
      <c r="A4528" s="576"/>
    </row>
    <row r="4529" spans="1:1">
      <c r="A4529" s="576"/>
    </row>
    <row r="4530" spans="1:1">
      <c r="A4530" s="576"/>
    </row>
    <row r="4531" spans="1:1">
      <c r="A4531" s="576"/>
    </row>
    <row r="4532" spans="1:1">
      <c r="A4532" s="576"/>
    </row>
    <row r="4533" spans="1:1">
      <c r="A4533" s="576"/>
    </row>
    <row r="4534" spans="1:1">
      <c r="A4534" s="576"/>
    </row>
    <row r="4535" spans="1:1">
      <c r="A4535" s="576"/>
    </row>
    <row r="4536" spans="1:1">
      <c r="A4536" s="576"/>
    </row>
    <row r="4537" spans="1:1">
      <c r="A4537" s="576"/>
    </row>
    <row r="4538" spans="1:1">
      <c r="A4538" s="576"/>
    </row>
    <row r="4539" spans="1:1">
      <c r="A4539" s="576"/>
    </row>
    <row r="4540" spans="1:1">
      <c r="A4540" s="576"/>
    </row>
    <row r="4541" spans="1:1">
      <c r="A4541" s="576"/>
    </row>
    <row r="4542" spans="1:1">
      <c r="A4542" s="576"/>
    </row>
    <row r="4543" spans="1:1">
      <c r="A4543" s="576"/>
    </row>
    <row r="4544" spans="1:1">
      <c r="A4544" s="576"/>
    </row>
    <row r="4545" spans="1:1">
      <c r="A4545" s="576"/>
    </row>
    <row r="4546" spans="1:1">
      <c r="A4546" s="576"/>
    </row>
    <row r="4547" spans="1:1">
      <c r="A4547" s="576"/>
    </row>
    <row r="4548" spans="1:1">
      <c r="A4548" s="576"/>
    </row>
    <row r="4549" spans="1:1">
      <c r="A4549" s="576"/>
    </row>
    <row r="4550" spans="1:1">
      <c r="A4550" s="576"/>
    </row>
    <row r="4551" spans="1:1">
      <c r="A4551" s="576"/>
    </row>
    <row r="4552" spans="1:1">
      <c r="A4552" s="576"/>
    </row>
    <row r="4553" spans="1:1">
      <c r="A4553" s="576"/>
    </row>
    <row r="4554" spans="1:1">
      <c r="A4554" s="576"/>
    </row>
    <row r="4555" spans="1:1">
      <c r="A4555" s="576"/>
    </row>
    <row r="4556" spans="1:1">
      <c r="A4556" s="576"/>
    </row>
    <row r="4557" spans="1:1">
      <c r="A4557" s="576"/>
    </row>
    <row r="4558" spans="1:1">
      <c r="A4558" s="576"/>
    </row>
    <row r="4559" spans="1:1">
      <c r="A4559" s="576"/>
    </row>
    <row r="4560" spans="1:1">
      <c r="A4560" s="576"/>
    </row>
    <row r="4561" spans="1:1">
      <c r="A4561" s="576"/>
    </row>
    <row r="4562" spans="1:1">
      <c r="A4562" s="576"/>
    </row>
    <row r="4563" spans="1:1">
      <c r="A4563" s="576"/>
    </row>
    <row r="4564" spans="1:1">
      <c r="A4564" s="576"/>
    </row>
    <row r="4565" spans="1:1">
      <c r="A4565" s="576"/>
    </row>
    <row r="4566" spans="1:1">
      <c r="A4566" s="576"/>
    </row>
    <row r="4567" spans="1:1">
      <c r="A4567" s="576"/>
    </row>
    <row r="4568" spans="1:1">
      <c r="A4568" s="576"/>
    </row>
    <row r="4569" spans="1:1">
      <c r="A4569" s="576"/>
    </row>
    <row r="4570" spans="1:1">
      <c r="A4570" s="576"/>
    </row>
    <row r="4571" spans="1:1">
      <c r="A4571" s="576"/>
    </row>
    <row r="4572" spans="1:1">
      <c r="A4572" s="576"/>
    </row>
    <row r="4573" spans="1:1">
      <c r="A4573" s="576"/>
    </row>
    <row r="4574" spans="1:1">
      <c r="A4574" s="576"/>
    </row>
    <row r="4575" spans="1:1">
      <c r="A4575" s="576"/>
    </row>
    <row r="4576" spans="1:1">
      <c r="A4576" s="576"/>
    </row>
    <row r="4577" spans="1:1">
      <c r="A4577" s="576"/>
    </row>
    <row r="4578" spans="1:1">
      <c r="A4578" s="576"/>
    </row>
    <row r="4579" spans="1:1">
      <c r="A4579" s="576"/>
    </row>
    <row r="4580" spans="1:1">
      <c r="A4580" s="576"/>
    </row>
    <row r="4581" spans="1:1">
      <c r="A4581" s="576"/>
    </row>
    <row r="4582" spans="1:1">
      <c r="A4582" s="576"/>
    </row>
    <row r="4583" spans="1:1">
      <c r="A4583" s="576"/>
    </row>
    <row r="4584" spans="1:1">
      <c r="A4584" s="576"/>
    </row>
    <row r="4585" spans="1:1">
      <c r="A4585" s="576"/>
    </row>
    <row r="4586" spans="1:1">
      <c r="A4586" s="576"/>
    </row>
    <row r="4587" spans="1:1">
      <c r="A4587" s="576"/>
    </row>
    <row r="4588" spans="1:1">
      <c r="A4588" s="576"/>
    </row>
    <row r="4589" spans="1:1">
      <c r="A4589" s="576"/>
    </row>
    <row r="4590" spans="1:1">
      <c r="A4590" s="576"/>
    </row>
    <row r="4591" spans="1:1">
      <c r="A4591" s="576"/>
    </row>
    <row r="4592" spans="1:1">
      <c r="A4592" s="576"/>
    </row>
    <row r="4593" spans="1:1">
      <c r="A4593" s="576"/>
    </row>
    <row r="4594" spans="1:1">
      <c r="A4594" s="576"/>
    </row>
    <row r="4595" spans="1:1">
      <c r="A4595" s="576"/>
    </row>
    <row r="4596" spans="1:1">
      <c r="A4596" s="576"/>
    </row>
    <row r="4597" spans="1:1">
      <c r="A4597" s="576"/>
    </row>
    <row r="4598" spans="1:1">
      <c r="A4598" s="576"/>
    </row>
    <row r="4599" spans="1:1">
      <c r="A4599" s="576"/>
    </row>
    <row r="4600" spans="1:1">
      <c r="A4600" s="576"/>
    </row>
    <row r="4601" spans="1:1">
      <c r="A4601" s="576"/>
    </row>
    <row r="4602" spans="1:1">
      <c r="A4602" s="576"/>
    </row>
    <row r="4603" spans="1:1">
      <c r="A4603" s="576"/>
    </row>
    <row r="4604" spans="1:1">
      <c r="A4604" s="576"/>
    </row>
    <row r="4605" spans="1:1">
      <c r="A4605" s="576"/>
    </row>
    <row r="4606" spans="1:1">
      <c r="A4606" s="576"/>
    </row>
    <row r="4607" spans="1:1">
      <c r="A4607" s="576"/>
    </row>
    <row r="4608" spans="1:1">
      <c r="A4608" s="576"/>
    </row>
    <row r="4609" spans="1:1">
      <c r="A4609" s="576"/>
    </row>
    <row r="4610" spans="1:1">
      <c r="A4610" s="576"/>
    </row>
    <row r="4611" spans="1:1">
      <c r="A4611" s="576"/>
    </row>
    <row r="4612" spans="1:1">
      <c r="A4612" s="576"/>
    </row>
    <row r="4613" spans="1:1">
      <c r="A4613" s="576"/>
    </row>
    <row r="4614" spans="1:1">
      <c r="A4614" s="576"/>
    </row>
    <row r="4615" spans="1:1">
      <c r="A4615" s="576"/>
    </row>
    <row r="4616" spans="1:1">
      <c r="A4616" s="576"/>
    </row>
    <row r="4617" spans="1:1">
      <c r="A4617" s="576"/>
    </row>
    <row r="4618" spans="1:1">
      <c r="A4618" s="576"/>
    </row>
    <row r="4619" spans="1:1">
      <c r="A4619" s="576"/>
    </row>
    <row r="4620" spans="1:1">
      <c r="A4620" s="576"/>
    </row>
    <row r="4621" spans="1:1">
      <c r="A4621" s="576"/>
    </row>
    <row r="4622" spans="1:1">
      <c r="A4622" s="576"/>
    </row>
    <row r="4623" spans="1:1">
      <c r="A4623" s="576"/>
    </row>
    <row r="4624" spans="1:1">
      <c r="A4624" s="576"/>
    </row>
    <row r="4625" spans="1:1">
      <c r="A4625" s="576"/>
    </row>
    <row r="4626" spans="1:1">
      <c r="A4626" s="576"/>
    </row>
    <row r="4627" spans="1:1">
      <c r="A4627" s="576"/>
    </row>
    <row r="4628" spans="1:1">
      <c r="A4628" s="576"/>
    </row>
    <row r="4629" spans="1:1">
      <c r="A4629" s="576"/>
    </row>
    <row r="4630" spans="1:1">
      <c r="A4630" s="576"/>
    </row>
    <row r="4631" spans="1:1">
      <c r="A4631" s="576"/>
    </row>
    <row r="4632" spans="1:1">
      <c r="A4632" s="576"/>
    </row>
    <row r="4633" spans="1:1">
      <c r="A4633" s="576"/>
    </row>
    <row r="4634" spans="1:1">
      <c r="A4634" s="576"/>
    </row>
    <row r="4635" spans="1:1">
      <c r="A4635" s="576"/>
    </row>
    <row r="4636" spans="1:1">
      <c r="A4636" s="576"/>
    </row>
    <row r="4637" spans="1:1">
      <c r="A4637" s="576"/>
    </row>
    <row r="4638" spans="1:1">
      <c r="A4638" s="576"/>
    </row>
    <row r="4639" spans="1:1">
      <c r="A4639" s="576"/>
    </row>
    <row r="4640" spans="1:1">
      <c r="A4640" s="576"/>
    </row>
    <row r="4641" spans="1:1">
      <c r="A4641" s="576"/>
    </row>
    <row r="4642" spans="1:1">
      <c r="A4642" s="576"/>
    </row>
    <row r="4643" spans="1:1">
      <c r="A4643" s="576"/>
    </row>
    <row r="4644" spans="1:1">
      <c r="A4644" s="576"/>
    </row>
    <row r="4645" spans="1:1">
      <c r="A4645" s="576"/>
    </row>
    <row r="4646" spans="1:1">
      <c r="A4646" s="576"/>
    </row>
    <row r="4647" spans="1:1">
      <c r="A4647" s="576"/>
    </row>
    <row r="4648" spans="1:1">
      <c r="A4648" s="576"/>
    </row>
    <row r="4649" spans="1:1">
      <c r="A4649" s="576"/>
    </row>
    <row r="4650" spans="1:1">
      <c r="A4650" s="576"/>
    </row>
    <row r="4651" spans="1:1">
      <c r="A4651" s="576"/>
    </row>
    <row r="4652" spans="1:1">
      <c r="A4652" s="576"/>
    </row>
    <row r="4653" spans="1:1">
      <c r="A4653" s="576"/>
    </row>
    <row r="4654" spans="1:1">
      <c r="A4654" s="576"/>
    </row>
    <row r="4655" spans="1:1">
      <c r="A4655" s="576"/>
    </row>
    <row r="4656" spans="1:1">
      <c r="A4656" s="576"/>
    </row>
    <row r="4657" spans="1:1">
      <c r="A4657" s="576"/>
    </row>
    <row r="4658" spans="1:1">
      <c r="A4658" s="576"/>
    </row>
    <row r="4659" spans="1:1">
      <c r="A4659" s="576"/>
    </row>
    <row r="4660" spans="1:1">
      <c r="A4660" s="576"/>
    </row>
    <row r="4661" spans="1:1">
      <c r="A4661" s="576"/>
    </row>
    <row r="4662" spans="1:1">
      <c r="A4662" s="576"/>
    </row>
    <row r="4663" spans="1:1">
      <c r="A4663" s="576"/>
    </row>
    <row r="4664" spans="1:1">
      <c r="A4664" s="576"/>
    </row>
    <row r="4665" spans="1:1">
      <c r="A4665" s="576"/>
    </row>
    <row r="4666" spans="1:1">
      <c r="A4666" s="576"/>
    </row>
    <row r="4667" spans="1:1">
      <c r="A4667" s="576"/>
    </row>
    <row r="4668" spans="1:1">
      <c r="A4668" s="576"/>
    </row>
    <row r="4669" spans="1:1">
      <c r="A4669" s="576"/>
    </row>
    <row r="4670" spans="1:1">
      <c r="A4670" s="576"/>
    </row>
    <row r="4671" spans="1:1">
      <c r="A4671" s="576"/>
    </row>
    <row r="4672" spans="1:1">
      <c r="A4672" s="576"/>
    </row>
    <row r="4673" spans="1:1">
      <c r="A4673" s="576"/>
    </row>
    <row r="4674" spans="1:1">
      <c r="A4674" s="576"/>
    </row>
    <row r="4675" spans="1:1">
      <c r="A4675" s="576"/>
    </row>
    <row r="4676" spans="1:1">
      <c r="A4676" s="576"/>
    </row>
    <row r="4677" spans="1:1">
      <c r="A4677" s="576"/>
    </row>
    <row r="4678" spans="1:1">
      <c r="A4678" s="576"/>
    </row>
    <row r="4679" spans="1:1">
      <c r="A4679" s="576"/>
    </row>
    <row r="4680" spans="1:1">
      <c r="A4680" s="576"/>
    </row>
    <row r="4681" spans="1:1">
      <c r="A4681" s="576"/>
    </row>
    <row r="4682" spans="1:1">
      <c r="A4682" s="576"/>
    </row>
    <row r="4683" spans="1:1">
      <c r="A4683" s="576"/>
    </row>
    <row r="4684" spans="1:1">
      <c r="A4684" s="576"/>
    </row>
    <row r="4685" spans="1:1">
      <c r="A4685" s="576"/>
    </row>
    <row r="4686" spans="1:1">
      <c r="A4686" s="576"/>
    </row>
    <row r="4687" spans="1:1">
      <c r="A4687" s="576"/>
    </row>
    <row r="4688" spans="1:1">
      <c r="A4688" s="576"/>
    </row>
    <row r="4689" spans="1:1">
      <c r="A4689" s="576"/>
    </row>
    <row r="4690" spans="1:1">
      <c r="A4690" s="576"/>
    </row>
    <row r="4691" spans="1:1">
      <c r="A4691" s="576"/>
    </row>
    <row r="4692" spans="1:1">
      <c r="A4692" s="576"/>
    </row>
    <row r="4693" spans="1:1">
      <c r="A4693" s="576"/>
    </row>
    <row r="4694" spans="1:1">
      <c r="A4694" s="576"/>
    </row>
    <row r="4695" spans="1:1">
      <c r="A4695" s="576"/>
    </row>
    <row r="4696" spans="1:1">
      <c r="A4696" s="576"/>
    </row>
    <row r="4697" spans="1:1">
      <c r="A4697" s="576"/>
    </row>
    <row r="4698" spans="1:1">
      <c r="A4698" s="576"/>
    </row>
    <row r="4699" spans="1:1">
      <c r="A4699" s="576"/>
    </row>
    <row r="4700" spans="1:1">
      <c r="A4700" s="576"/>
    </row>
    <row r="4701" spans="1:1">
      <c r="A4701" s="576"/>
    </row>
    <row r="4702" spans="1:1">
      <c r="A4702" s="576"/>
    </row>
    <row r="4703" spans="1:1">
      <c r="A4703" s="576"/>
    </row>
    <row r="4704" spans="1:1">
      <c r="A4704" s="576"/>
    </row>
    <row r="4705" spans="1:1">
      <c r="A4705" s="576"/>
    </row>
    <row r="4706" spans="1:1">
      <c r="A4706" s="576"/>
    </row>
    <row r="4707" spans="1:1">
      <c r="A4707" s="576"/>
    </row>
    <row r="4708" spans="1:1">
      <c r="A4708" s="576"/>
    </row>
    <row r="4709" spans="1:1">
      <c r="A4709" s="576"/>
    </row>
    <row r="4710" spans="1:1">
      <c r="A4710" s="576"/>
    </row>
    <row r="4711" spans="1:1">
      <c r="A4711" s="576"/>
    </row>
    <row r="4712" spans="1:1">
      <c r="A4712" s="576"/>
    </row>
    <row r="4713" spans="1:1">
      <c r="A4713" s="576"/>
    </row>
    <row r="4714" spans="1:1">
      <c r="A4714" s="576"/>
    </row>
    <row r="4715" spans="1:1">
      <c r="A4715" s="576"/>
    </row>
    <row r="4716" spans="1:1">
      <c r="A4716" s="576"/>
    </row>
    <row r="4717" spans="1:1">
      <c r="A4717" s="576"/>
    </row>
    <row r="4718" spans="1:1">
      <c r="A4718" s="576"/>
    </row>
    <row r="4719" spans="1:1">
      <c r="A4719" s="576"/>
    </row>
    <row r="4720" spans="1:1">
      <c r="A4720" s="576"/>
    </row>
    <row r="4721" spans="1:1">
      <c r="A4721" s="576"/>
    </row>
    <row r="4722" spans="1:1">
      <c r="A4722" s="576"/>
    </row>
    <row r="4723" spans="1:1">
      <c r="A4723" s="576"/>
    </row>
    <row r="4724" spans="1:1">
      <c r="A4724" s="576"/>
    </row>
    <row r="4725" spans="1:1">
      <c r="A4725" s="576"/>
    </row>
    <row r="4726" spans="1:1">
      <c r="A4726" s="576"/>
    </row>
    <row r="4727" spans="1:1">
      <c r="A4727" s="576"/>
    </row>
    <row r="4728" spans="1:1">
      <c r="A4728" s="576"/>
    </row>
    <row r="4729" spans="1:1">
      <c r="A4729" s="576"/>
    </row>
    <row r="4730" spans="1:1">
      <c r="A4730" s="576"/>
    </row>
    <row r="4731" spans="1:1">
      <c r="A4731" s="576"/>
    </row>
    <row r="4732" spans="1:1">
      <c r="A4732" s="576"/>
    </row>
    <row r="4733" spans="1:1">
      <c r="A4733" s="576"/>
    </row>
    <row r="4734" spans="1:1">
      <c r="A4734" s="576"/>
    </row>
    <row r="4735" spans="1:1">
      <c r="A4735" s="576"/>
    </row>
    <row r="4736" spans="1:1">
      <c r="A4736" s="576"/>
    </row>
    <row r="4737" spans="1:1">
      <c r="A4737" s="576"/>
    </row>
    <row r="4738" spans="1:1">
      <c r="A4738" s="576"/>
    </row>
    <row r="4739" spans="1:1">
      <c r="A4739" s="576"/>
    </row>
    <row r="4740" spans="1:1">
      <c r="A4740" s="576"/>
    </row>
    <row r="4741" spans="1:1">
      <c r="A4741" s="576"/>
    </row>
    <row r="4742" spans="1:1">
      <c r="A4742" s="576"/>
    </row>
    <row r="4743" spans="1:1">
      <c r="A4743" s="576"/>
    </row>
    <row r="4744" spans="1:1">
      <c r="A4744" s="576"/>
    </row>
    <row r="4745" spans="1:1">
      <c r="A4745" s="576"/>
    </row>
    <row r="4746" spans="1:1">
      <c r="A4746" s="576"/>
    </row>
    <row r="4747" spans="1:1">
      <c r="A4747" s="576"/>
    </row>
    <row r="4748" spans="1:1">
      <c r="A4748" s="576"/>
    </row>
    <row r="4749" spans="1:1">
      <c r="A4749" s="576"/>
    </row>
    <row r="4750" spans="1:1">
      <c r="A4750" s="576"/>
    </row>
    <row r="4751" spans="1:1">
      <c r="A4751" s="576"/>
    </row>
    <row r="4752" spans="1:1">
      <c r="A4752" s="576"/>
    </row>
    <row r="4753" spans="1:1">
      <c r="A4753" s="576"/>
    </row>
    <row r="4754" spans="1:1">
      <c r="A4754" s="576"/>
    </row>
    <row r="4755" spans="1:1">
      <c r="A4755" s="576"/>
    </row>
    <row r="4756" spans="1:1">
      <c r="A4756" s="576"/>
    </row>
    <row r="4757" spans="1:1">
      <c r="A4757" s="576"/>
    </row>
    <row r="4758" spans="1:1">
      <c r="A4758" s="576"/>
    </row>
    <row r="4759" spans="1:1">
      <c r="A4759" s="576"/>
    </row>
    <row r="4760" spans="1:1">
      <c r="A4760" s="576"/>
    </row>
    <row r="4761" spans="1:1">
      <c r="A4761" s="576"/>
    </row>
    <row r="4762" spans="1:1">
      <c r="A4762" s="576"/>
    </row>
    <row r="4763" spans="1:1">
      <c r="A4763" s="576"/>
    </row>
    <row r="4764" spans="1:1">
      <c r="A4764" s="576"/>
    </row>
    <row r="4765" spans="1:1">
      <c r="A4765" s="576"/>
    </row>
    <row r="4766" spans="1:1">
      <c r="A4766" s="576"/>
    </row>
    <row r="4767" spans="1:1">
      <c r="A4767" s="576"/>
    </row>
    <row r="4768" spans="1:1">
      <c r="A4768" s="576"/>
    </row>
    <row r="4769" spans="1:1">
      <c r="A4769" s="576"/>
    </row>
    <row r="4770" spans="1:1">
      <c r="A4770" s="576"/>
    </row>
    <row r="4771" spans="1:1">
      <c r="A4771" s="576"/>
    </row>
    <row r="4772" spans="1:1">
      <c r="A4772" s="576"/>
    </row>
    <row r="4773" spans="1:1">
      <c r="A4773" s="576"/>
    </row>
    <row r="4774" spans="1:1">
      <c r="A4774" s="576"/>
    </row>
    <row r="4775" spans="1:1">
      <c r="A4775" s="576"/>
    </row>
    <row r="4776" spans="1:1">
      <c r="A4776" s="576"/>
    </row>
    <row r="4777" spans="1:1">
      <c r="A4777" s="576"/>
    </row>
    <row r="4778" spans="1:1">
      <c r="A4778" s="576"/>
    </row>
    <row r="4779" spans="1:1">
      <c r="A4779" s="576"/>
    </row>
    <row r="4780" spans="1:1">
      <c r="A4780" s="576"/>
    </row>
    <row r="4781" spans="1:1">
      <c r="A4781" s="576"/>
    </row>
    <row r="4782" spans="1:1">
      <c r="A4782" s="576"/>
    </row>
    <row r="4783" spans="1:1">
      <c r="A4783" s="576"/>
    </row>
    <row r="4784" spans="1:1">
      <c r="A4784" s="576"/>
    </row>
    <row r="4785" spans="1:1">
      <c r="A4785" s="576"/>
    </row>
    <row r="4786" spans="1:1">
      <c r="A4786" s="576"/>
    </row>
    <row r="4787" spans="1:1">
      <c r="A4787" s="576"/>
    </row>
    <row r="4788" spans="1:1">
      <c r="A4788" s="576"/>
    </row>
    <row r="4789" spans="1:1">
      <c r="A4789" s="576"/>
    </row>
    <row r="4790" spans="1:1">
      <c r="A4790" s="576"/>
    </row>
    <row r="4791" spans="1:1">
      <c r="A4791" s="576"/>
    </row>
    <row r="4792" spans="1:1">
      <c r="A4792" s="576"/>
    </row>
    <row r="4793" spans="1:1">
      <c r="A4793" s="576"/>
    </row>
    <row r="4794" spans="1:1">
      <c r="A4794" s="576"/>
    </row>
    <row r="4795" spans="1:1">
      <c r="A4795" s="576"/>
    </row>
    <row r="4796" spans="1:1">
      <c r="A4796" s="576"/>
    </row>
    <row r="4797" spans="1:1">
      <c r="A4797" s="576"/>
    </row>
    <row r="4798" spans="1:1">
      <c r="A4798" s="576"/>
    </row>
    <row r="4799" spans="1:1">
      <c r="A4799" s="576"/>
    </row>
    <row r="4800" spans="1:1">
      <c r="A4800" s="576"/>
    </row>
    <row r="4801" spans="1:1">
      <c r="A4801" s="576"/>
    </row>
    <row r="4802" spans="1:1">
      <c r="A4802" s="576"/>
    </row>
    <row r="4803" spans="1:1">
      <c r="A4803" s="576"/>
    </row>
    <row r="4804" spans="1:1">
      <c r="A4804" s="576"/>
    </row>
    <row r="4805" spans="1:1">
      <c r="A4805" s="576"/>
    </row>
    <row r="4806" spans="1:1">
      <c r="A4806" s="576"/>
    </row>
    <row r="4807" spans="1:1">
      <c r="A4807" s="576"/>
    </row>
    <row r="4808" spans="1:1">
      <c r="A4808" s="576"/>
    </row>
    <row r="4809" spans="1:1">
      <c r="A4809" s="576"/>
    </row>
    <row r="4810" spans="1:1">
      <c r="A4810" s="576"/>
    </row>
    <row r="4811" spans="1:1">
      <c r="A4811" s="576"/>
    </row>
    <row r="4812" spans="1:1">
      <c r="A4812" s="576"/>
    </row>
    <row r="4813" spans="1:1">
      <c r="A4813" s="576"/>
    </row>
    <row r="4814" spans="1:1">
      <c r="A4814" s="576"/>
    </row>
    <row r="4815" spans="1:1">
      <c r="A4815" s="576"/>
    </row>
    <row r="4816" spans="1:1">
      <c r="A4816" s="576"/>
    </row>
    <row r="4817" spans="1:1">
      <c r="A4817" s="576"/>
    </row>
    <row r="4818" spans="1:1">
      <c r="A4818" s="576"/>
    </row>
    <row r="4819" spans="1:1">
      <c r="A4819" s="576"/>
    </row>
    <row r="4820" spans="1:1">
      <c r="A4820" s="576"/>
    </row>
    <row r="4821" spans="1:1">
      <c r="A4821" s="576"/>
    </row>
    <row r="4822" spans="1:1">
      <c r="A4822" s="576"/>
    </row>
    <row r="4823" spans="1:1">
      <c r="A4823" s="576"/>
    </row>
    <row r="4824" spans="1:1">
      <c r="A4824" s="576"/>
    </row>
    <row r="4825" spans="1:1">
      <c r="A4825" s="576"/>
    </row>
    <row r="4826" spans="1:1">
      <c r="A4826" s="576"/>
    </row>
    <row r="4827" spans="1:1">
      <c r="A4827" s="576"/>
    </row>
    <row r="4828" spans="1:1">
      <c r="A4828" s="576"/>
    </row>
    <row r="4829" spans="1:1">
      <c r="A4829" s="576"/>
    </row>
    <row r="4830" spans="1:1">
      <c r="A4830" s="576"/>
    </row>
    <row r="4831" spans="1:1">
      <c r="A4831" s="576"/>
    </row>
    <row r="4832" spans="1:1">
      <c r="A4832" s="576"/>
    </row>
    <row r="4833" spans="1:1">
      <c r="A4833" s="576"/>
    </row>
    <row r="4834" spans="1:1">
      <c r="A4834" s="576"/>
    </row>
    <row r="4835" spans="1:1">
      <c r="A4835" s="576"/>
    </row>
    <row r="4836" spans="1:1">
      <c r="A4836" s="576"/>
    </row>
    <row r="4837" spans="1:1">
      <c r="A4837" s="576"/>
    </row>
    <row r="4838" spans="1:1">
      <c r="A4838" s="576"/>
    </row>
    <row r="4839" spans="1:1">
      <c r="A4839" s="576"/>
    </row>
    <row r="4840" spans="1:1">
      <c r="A4840" s="576"/>
    </row>
    <row r="4841" spans="1:1">
      <c r="A4841" s="576"/>
    </row>
    <row r="4842" spans="1:1">
      <c r="A4842" s="576"/>
    </row>
    <row r="4843" spans="1:1">
      <c r="A4843" s="576"/>
    </row>
    <row r="4844" spans="1:1">
      <c r="A4844" s="576"/>
    </row>
    <row r="4845" spans="1:1">
      <c r="A4845" s="576"/>
    </row>
    <row r="4846" spans="1:1">
      <c r="A4846" s="576"/>
    </row>
    <row r="4847" spans="1:1">
      <c r="A4847" s="576"/>
    </row>
    <row r="4848" spans="1:1">
      <c r="A4848" s="576"/>
    </row>
    <row r="4849" spans="1:1">
      <c r="A4849" s="576"/>
    </row>
    <row r="4850" spans="1:1">
      <c r="A4850" s="576"/>
    </row>
    <row r="4851" spans="1:1">
      <c r="A4851" s="576"/>
    </row>
    <row r="4852" spans="1:1">
      <c r="A4852" s="576"/>
    </row>
    <row r="4853" spans="1:1">
      <c r="A4853" s="576"/>
    </row>
    <row r="4854" spans="1:1">
      <c r="A4854" s="576"/>
    </row>
    <row r="4855" spans="1:1">
      <c r="A4855" s="576"/>
    </row>
    <row r="4856" spans="1:1">
      <c r="A4856" s="576"/>
    </row>
    <row r="4857" spans="1:1">
      <c r="A4857" s="576"/>
    </row>
    <row r="4858" spans="1:1">
      <c r="A4858" s="576"/>
    </row>
    <row r="4859" spans="1:1">
      <c r="A4859" s="576"/>
    </row>
    <row r="4860" spans="1:1">
      <c r="A4860" s="576"/>
    </row>
    <row r="4861" spans="1:1">
      <c r="A4861" s="576"/>
    </row>
    <row r="4862" spans="1:1">
      <c r="A4862" s="576"/>
    </row>
    <row r="4863" spans="1:1">
      <c r="A4863" s="576"/>
    </row>
    <row r="4864" spans="1:1">
      <c r="A4864" s="576"/>
    </row>
    <row r="4865" spans="1:1">
      <c r="A4865" s="576"/>
    </row>
    <row r="4866" spans="1:1">
      <c r="A4866" s="576"/>
    </row>
    <row r="4867" spans="1:1">
      <c r="A4867" s="576"/>
    </row>
    <row r="4868" spans="1:1">
      <c r="A4868" s="576"/>
    </row>
    <row r="4869" spans="1:1">
      <c r="A4869" s="576"/>
    </row>
    <row r="4870" spans="1:1">
      <c r="A4870" s="576"/>
    </row>
    <row r="4871" spans="1:1">
      <c r="A4871" s="576"/>
    </row>
    <row r="4872" spans="1:1">
      <c r="A4872" s="576"/>
    </row>
    <row r="4873" spans="1:1">
      <c r="A4873" s="576"/>
    </row>
    <row r="4874" spans="1:1">
      <c r="A4874" s="576"/>
    </row>
    <row r="4875" spans="1:1">
      <c r="A4875" s="576"/>
    </row>
    <row r="4876" spans="1:1">
      <c r="A4876" s="576"/>
    </row>
    <row r="4877" spans="1:1">
      <c r="A4877" s="576"/>
    </row>
    <row r="4878" spans="1:1">
      <c r="A4878" s="576"/>
    </row>
    <row r="4879" spans="1:1">
      <c r="A4879" s="576"/>
    </row>
    <row r="4880" spans="1:1">
      <c r="A4880" s="576"/>
    </row>
    <row r="4881" spans="1:1">
      <c r="A4881" s="576"/>
    </row>
    <row r="4882" spans="1:1">
      <c r="A4882" s="576"/>
    </row>
    <row r="4883" spans="1:1">
      <c r="A4883" s="576"/>
    </row>
    <row r="4884" spans="1:1">
      <c r="A4884" s="576"/>
    </row>
    <row r="4885" spans="1:1">
      <c r="A4885" s="576"/>
    </row>
    <row r="4886" spans="1:1">
      <c r="A4886" s="576"/>
    </row>
    <row r="4887" spans="1:1">
      <c r="A4887" s="576"/>
    </row>
    <row r="4888" spans="1:1">
      <c r="A4888" s="576"/>
    </row>
    <row r="4889" spans="1:1">
      <c r="A4889" s="576"/>
    </row>
    <row r="4890" spans="1:1">
      <c r="A4890" s="576"/>
    </row>
    <row r="4891" spans="1:1">
      <c r="A4891" s="576"/>
    </row>
    <row r="4892" spans="1:1">
      <c r="A4892" s="576"/>
    </row>
    <row r="4893" spans="1:1">
      <c r="A4893" s="576"/>
    </row>
    <row r="4894" spans="1:1">
      <c r="A4894" s="576"/>
    </row>
    <row r="4895" spans="1:1">
      <c r="A4895" s="576"/>
    </row>
    <row r="4896" spans="1:1">
      <c r="A4896" s="576"/>
    </row>
    <row r="4897" spans="1:1">
      <c r="A4897" s="576"/>
    </row>
    <row r="4898" spans="1:1">
      <c r="A4898" s="576"/>
    </row>
    <row r="4899" spans="1:1">
      <c r="A4899" s="576"/>
    </row>
    <row r="4900" spans="1:1">
      <c r="A4900" s="576"/>
    </row>
    <row r="4901" spans="1:1">
      <c r="A4901" s="576"/>
    </row>
    <row r="4902" spans="1:1">
      <c r="A4902" s="576"/>
    </row>
    <row r="4903" spans="1:1">
      <c r="A4903" s="576"/>
    </row>
    <row r="4904" spans="1:1">
      <c r="A4904" s="576"/>
    </row>
    <row r="4905" spans="1:1">
      <c r="A4905" s="576"/>
    </row>
    <row r="4906" spans="1:1">
      <c r="A4906" s="576"/>
    </row>
    <row r="4907" spans="1:1">
      <c r="A4907" s="576"/>
    </row>
    <row r="4908" spans="1:1">
      <c r="A4908" s="576"/>
    </row>
    <row r="4909" spans="1:1">
      <c r="A4909" s="576"/>
    </row>
    <row r="4910" spans="1:1">
      <c r="A4910" s="576"/>
    </row>
    <row r="4911" spans="1:1">
      <c r="A4911" s="576"/>
    </row>
    <row r="4912" spans="1:1">
      <c r="A4912" s="576"/>
    </row>
    <row r="4913" spans="1:1">
      <c r="A4913" s="576"/>
    </row>
    <row r="4914" spans="1:1">
      <c r="A4914" s="576"/>
    </row>
    <row r="4915" spans="1:1">
      <c r="A4915" s="576"/>
    </row>
    <row r="4916" spans="1:1">
      <c r="A4916" s="576"/>
    </row>
    <row r="4917" spans="1:1">
      <c r="A4917" s="576"/>
    </row>
    <row r="4918" spans="1:1">
      <c r="A4918" s="576"/>
    </row>
    <row r="4919" spans="1:1">
      <c r="A4919" s="576"/>
    </row>
    <row r="4920" spans="1:1">
      <c r="A4920" s="576"/>
    </row>
    <row r="4921" spans="1:1">
      <c r="A4921" s="576"/>
    </row>
    <row r="4922" spans="1:1">
      <c r="A4922" s="576"/>
    </row>
    <row r="4923" spans="1:1">
      <c r="A4923" s="576"/>
    </row>
    <row r="4924" spans="1:1">
      <c r="A4924" s="576"/>
    </row>
    <row r="4925" spans="1:1">
      <c r="A4925" s="576"/>
    </row>
    <row r="4926" spans="1:1">
      <c r="A4926" s="576"/>
    </row>
    <row r="4927" spans="1:1">
      <c r="A4927" s="576"/>
    </row>
    <row r="4928" spans="1:1">
      <c r="A4928" s="576"/>
    </row>
    <row r="4929" spans="1:1">
      <c r="A4929" s="576"/>
    </row>
    <row r="4930" spans="1:1">
      <c r="A4930" s="576"/>
    </row>
    <row r="4931" spans="1:1">
      <c r="A4931" s="576"/>
    </row>
    <row r="4932" spans="1:1">
      <c r="A4932" s="576"/>
    </row>
    <row r="4933" spans="1:1">
      <c r="A4933" s="576"/>
    </row>
    <row r="4934" spans="1:1">
      <c r="A4934" s="576"/>
    </row>
    <row r="4935" spans="1:1">
      <c r="A4935" s="576"/>
    </row>
    <row r="4936" spans="1:1">
      <c r="A4936" s="576"/>
    </row>
    <row r="4937" spans="1:1">
      <c r="A4937" s="576"/>
    </row>
    <row r="4938" spans="1:1">
      <c r="A4938" s="576"/>
    </row>
    <row r="4939" spans="1:1">
      <c r="A4939" s="576"/>
    </row>
    <row r="4940" spans="1:1">
      <c r="A4940" s="576"/>
    </row>
    <row r="4941" spans="1:1">
      <c r="A4941" s="576"/>
    </row>
    <row r="4942" spans="1:1">
      <c r="A4942" s="576"/>
    </row>
    <row r="4943" spans="1:1">
      <c r="A4943" s="576"/>
    </row>
    <row r="4944" spans="1:1">
      <c r="A4944" s="576"/>
    </row>
    <row r="4945" spans="1:1">
      <c r="A4945" s="576"/>
    </row>
    <row r="4946" spans="1:1">
      <c r="A4946" s="576"/>
    </row>
    <row r="4947" spans="1:1">
      <c r="A4947" s="576"/>
    </row>
    <row r="4948" spans="1:1">
      <c r="A4948" s="576"/>
    </row>
    <row r="4949" spans="1:1">
      <c r="A4949" s="576"/>
    </row>
    <row r="4950" spans="1:1">
      <c r="A4950" s="576"/>
    </row>
    <row r="4951" spans="1:1">
      <c r="A4951" s="576"/>
    </row>
    <row r="4952" spans="1:1">
      <c r="A4952" s="576"/>
    </row>
    <row r="4953" spans="1:1">
      <c r="A4953" s="576"/>
    </row>
    <row r="4954" spans="1:1">
      <c r="A4954" s="576"/>
    </row>
    <row r="4955" spans="1:1">
      <c r="A4955" s="576"/>
    </row>
    <row r="4956" spans="1:1">
      <c r="A4956" s="576"/>
    </row>
    <row r="4957" spans="1:1">
      <c r="A4957" s="576"/>
    </row>
    <row r="4958" spans="1:1">
      <c r="A4958" s="576"/>
    </row>
    <row r="4959" spans="1:1">
      <c r="A4959" s="576"/>
    </row>
    <row r="4960" spans="1:1">
      <c r="A4960" s="576"/>
    </row>
    <row r="4961" spans="1:1">
      <c r="A4961" s="576"/>
    </row>
    <row r="4962" spans="1:1">
      <c r="A4962" s="576"/>
    </row>
    <row r="4963" spans="1:1">
      <c r="A4963" s="576"/>
    </row>
    <row r="4964" spans="1:1">
      <c r="A4964" s="576"/>
    </row>
    <row r="4965" spans="1:1">
      <c r="A4965" s="576"/>
    </row>
    <row r="4966" spans="1:1">
      <c r="A4966" s="576"/>
    </row>
    <row r="4967" spans="1:1">
      <c r="A4967" s="576"/>
    </row>
    <row r="4968" spans="1:1">
      <c r="A4968" s="576"/>
    </row>
    <row r="4969" spans="1:1">
      <c r="A4969" s="576"/>
    </row>
    <row r="4970" spans="1:1">
      <c r="A4970" s="576"/>
    </row>
    <row r="4971" spans="1:1">
      <c r="A4971" s="576"/>
    </row>
    <row r="4972" spans="1:1">
      <c r="A4972" s="576"/>
    </row>
    <row r="4973" spans="1:1">
      <c r="A4973" s="576"/>
    </row>
    <row r="4974" spans="1:1">
      <c r="A4974" s="576"/>
    </row>
    <row r="4975" spans="1:1">
      <c r="A4975" s="576"/>
    </row>
    <row r="4976" spans="1:1">
      <c r="A4976" s="576"/>
    </row>
    <row r="4977" spans="1:1">
      <c r="A4977" s="576"/>
    </row>
    <row r="4978" spans="1:1">
      <c r="A4978" s="576"/>
    </row>
    <row r="4979" spans="1:1">
      <c r="A4979" s="576"/>
    </row>
    <row r="4980" spans="1:1">
      <c r="A4980" s="576"/>
    </row>
    <row r="4981" spans="1:1">
      <c r="A4981" s="576"/>
    </row>
    <row r="4982" spans="1:1">
      <c r="A4982" s="576"/>
    </row>
    <row r="4983" spans="1:1">
      <c r="A4983" s="576"/>
    </row>
    <row r="4984" spans="1:1">
      <c r="A4984" s="576"/>
    </row>
    <row r="4985" spans="1:1">
      <c r="A4985" s="576"/>
    </row>
    <row r="4986" spans="1:1">
      <c r="A4986" s="576"/>
    </row>
    <row r="4987" spans="1:1">
      <c r="A4987" s="576"/>
    </row>
    <row r="4988" spans="1:1">
      <c r="A4988" s="576"/>
    </row>
    <row r="4989" spans="1:1">
      <c r="A4989" s="576"/>
    </row>
    <row r="4990" spans="1:1">
      <c r="A4990" s="576"/>
    </row>
    <row r="4991" spans="1:1">
      <c r="A4991" s="576"/>
    </row>
    <row r="4992" spans="1:1">
      <c r="A4992" s="576"/>
    </row>
    <row r="4993" spans="1:1">
      <c r="A4993" s="576"/>
    </row>
    <row r="4994" spans="1:1">
      <c r="A4994" s="576"/>
    </row>
    <row r="4995" spans="1:1">
      <c r="A4995" s="576"/>
    </row>
    <row r="4996" spans="1:1">
      <c r="A4996" s="576"/>
    </row>
    <row r="4997" spans="1:1">
      <c r="A4997" s="576"/>
    </row>
    <row r="4998" spans="1:1">
      <c r="A4998" s="576"/>
    </row>
    <row r="4999" spans="1:1">
      <c r="A4999" s="576"/>
    </row>
    <row r="5000" spans="1:1">
      <c r="A5000" s="576"/>
    </row>
    <row r="5001" spans="1:1">
      <c r="A5001" s="576"/>
    </row>
    <row r="5002" spans="1:1">
      <c r="A5002" s="576"/>
    </row>
    <row r="5003" spans="1:1">
      <c r="A5003" s="576"/>
    </row>
    <row r="5004" spans="1:1">
      <c r="A5004" s="576"/>
    </row>
    <row r="5005" spans="1:1">
      <c r="A5005" s="576"/>
    </row>
    <row r="5006" spans="1:1">
      <c r="A5006" s="576"/>
    </row>
    <row r="5007" spans="1:1">
      <c r="A5007" s="576"/>
    </row>
    <row r="5008" spans="1:1">
      <c r="A5008" s="576"/>
    </row>
    <row r="5009" spans="1:1">
      <c r="A5009" s="576"/>
    </row>
    <row r="5010" spans="1:1">
      <c r="A5010" s="576"/>
    </row>
    <row r="5011" spans="1:1">
      <c r="A5011" s="576"/>
    </row>
    <row r="5012" spans="1:1">
      <c r="A5012" s="576"/>
    </row>
    <row r="5013" spans="1:1">
      <c r="A5013" s="576"/>
    </row>
    <row r="5014" spans="1:1">
      <c r="A5014" s="576"/>
    </row>
    <row r="5015" spans="1:1">
      <c r="A5015" s="576"/>
    </row>
    <row r="5016" spans="1:1">
      <c r="A5016" s="576"/>
    </row>
    <row r="5017" spans="1:1">
      <c r="A5017" s="576"/>
    </row>
    <row r="5018" spans="1:1">
      <c r="A5018" s="576"/>
    </row>
    <row r="5019" spans="1:1">
      <c r="A5019" s="576"/>
    </row>
    <row r="5020" spans="1:1">
      <c r="A5020" s="576"/>
    </row>
    <row r="5021" spans="1:1">
      <c r="A5021" s="576"/>
    </row>
    <row r="5022" spans="1:1">
      <c r="A5022" s="576"/>
    </row>
    <row r="5023" spans="1:1">
      <c r="A5023" s="576"/>
    </row>
    <row r="5024" spans="1:1">
      <c r="A5024" s="576"/>
    </row>
    <row r="5025" spans="1:1">
      <c r="A5025" s="576"/>
    </row>
    <row r="5026" spans="1:1">
      <c r="A5026" s="576"/>
    </row>
    <row r="5027" spans="1:1">
      <c r="A5027" s="576"/>
    </row>
    <row r="5028" spans="1:1">
      <c r="A5028" s="576"/>
    </row>
    <row r="5029" spans="1:1">
      <c r="A5029" s="576"/>
    </row>
    <row r="5030" spans="1:1">
      <c r="A5030" s="576"/>
    </row>
    <row r="5031" spans="1:1">
      <c r="A5031" s="576"/>
    </row>
    <row r="5032" spans="1:1">
      <c r="A5032" s="576"/>
    </row>
    <row r="5033" spans="1:1">
      <c r="A5033" s="576"/>
    </row>
    <row r="5034" spans="1:1">
      <c r="A5034" s="576"/>
    </row>
    <row r="5035" spans="1:1">
      <c r="A5035" s="576"/>
    </row>
    <row r="5036" spans="1:1">
      <c r="A5036" s="576"/>
    </row>
    <row r="5037" spans="1:1">
      <c r="A5037" s="576"/>
    </row>
    <row r="5038" spans="1:1">
      <c r="A5038" s="576"/>
    </row>
    <row r="5039" spans="1:1">
      <c r="A5039" s="576"/>
    </row>
    <row r="5040" spans="1:1">
      <c r="A5040" s="576"/>
    </row>
    <row r="5041" spans="1:1">
      <c r="A5041" s="576"/>
    </row>
    <row r="5042" spans="1:1">
      <c r="A5042" s="576"/>
    </row>
    <row r="5043" spans="1:1">
      <c r="A5043" s="576"/>
    </row>
    <row r="5044" spans="1:1">
      <c r="A5044" s="576"/>
    </row>
    <row r="5045" spans="1:1">
      <c r="A5045" s="576"/>
    </row>
    <row r="5046" spans="1:1">
      <c r="A5046" s="576"/>
    </row>
    <row r="5047" spans="1:1">
      <c r="A5047" s="576"/>
    </row>
    <row r="5048" spans="1:1">
      <c r="A5048" s="576"/>
    </row>
    <row r="5049" spans="1:1">
      <c r="A5049" s="576"/>
    </row>
    <row r="5050" spans="1:1">
      <c r="A5050" s="576"/>
    </row>
    <row r="5051" spans="1:1">
      <c r="A5051" s="576"/>
    </row>
    <row r="5052" spans="1:1">
      <c r="A5052" s="576"/>
    </row>
    <row r="5053" spans="1:1">
      <c r="A5053" s="576"/>
    </row>
    <row r="5054" spans="1:1">
      <c r="A5054" s="576"/>
    </row>
    <row r="5055" spans="1:1">
      <c r="A5055" s="576"/>
    </row>
    <row r="5056" spans="1:1">
      <c r="A5056" s="576"/>
    </row>
    <row r="5057" spans="1:1">
      <c r="A5057" s="576"/>
    </row>
    <row r="5058" spans="1:1">
      <c r="A5058" s="576"/>
    </row>
    <row r="5059" spans="1:1">
      <c r="A5059" s="576"/>
    </row>
    <row r="5060" spans="1:1">
      <c r="A5060" s="576"/>
    </row>
    <row r="5061" spans="1:1">
      <c r="A5061" s="576"/>
    </row>
    <row r="5062" spans="1:1">
      <c r="A5062" s="576"/>
    </row>
    <row r="5063" spans="1:1">
      <c r="A5063" s="576"/>
    </row>
    <row r="5064" spans="1:1">
      <c r="A5064" s="576"/>
    </row>
    <row r="5065" spans="1:1">
      <c r="A5065" s="576"/>
    </row>
    <row r="5066" spans="1:1">
      <c r="A5066" s="576"/>
    </row>
    <row r="5067" spans="1:1">
      <c r="A5067" s="576"/>
    </row>
    <row r="5068" spans="1:1">
      <c r="A5068" s="576"/>
    </row>
    <row r="5069" spans="1:1">
      <c r="A5069" s="576"/>
    </row>
    <row r="5070" spans="1:1">
      <c r="A5070" s="576"/>
    </row>
    <row r="5071" spans="1:1">
      <c r="A5071" s="576"/>
    </row>
    <row r="5072" spans="1:1">
      <c r="A5072" s="576"/>
    </row>
    <row r="5073" spans="1:1">
      <c r="A5073" s="576"/>
    </row>
    <row r="5074" spans="1:1">
      <c r="A5074" s="576"/>
    </row>
    <row r="5075" spans="1:1">
      <c r="A5075" s="576"/>
    </row>
    <row r="5076" spans="1:1">
      <c r="A5076" s="576"/>
    </row>
    <row r="5077" spans="1:1">
      <c r="A5077" s="576"/>
    </row>
    <row r="5078" spans="1:1">
      <c r="A5078" s="576"/>
    </row>
    <row r="5079" spans="1:1">
      <c r="A5079" s="576"/>
    </row>
    <row r="5080" spans="1:1">
      <c r="A5080" s="576"/>
    </row>
    <row r="5081" spans="1:1">
      <c r="A5081" s="576"/>
    </row>
    <row r="5082" spans="1:1">
      <c r="A5082" s="576"/>
    </row>
    <row r="5083" spans="1:1">
      <c r="A5083" s="576"/>
    </row>
    <row r="5084" spans="1:1">
      <c r="A5084" s="576"/>
    </row>
    <row r="5085" spans="1:1">
      <c r="A5085" s="576"/>
    </row>
    <row r="5086" spans="1:1">
      <c r="A5086" s="576"/>
    </row>
    <row r="5087" spans="1:1">
      <c r="A5087" s="576"/>
    </row>
    <row r="5088" spans="1:1">
      <c r="A5088" s="576"/>
    </row>
    <row r="5089" spans="1:1">
      <c r="A5089" s="576"/>
    </row>
    <row r="5090" spans="1:1">
      <c r="A5090" s="576"/>
    </row>
    <row r="5091" spans="1:1">
      <c r="A5091" s="576"/>
    </row>
    <row r="5092" spans="1:1">
      <c r="A5092" s="576"/>
    </row>
    <row r="5093" spans="1:1">
      <c r="A5093" s="576"/>
    </row>
    <row r="5094" spans="1:1">
      <c r="A5094" s="576"/>
    </row>
    <row r="5095" spans="1:1">
      <c r="A5095" s="576"/>
    </row>
    <row r="5096" spans="1:1">
      <c r="A5096" s="576"/>
    </row>
    <row r="5097" spans="1:1">
      <c r="A5097" s="576"/>
    </row>
    <row r="5098" spans="1:1">
      <c r="A5098" s="576"/>
    </row>
    <row r="5099" spans="1:1">
      <c r="A5099" s="576"/>
    </row>
    <row r="5100" spans="1:1">
      <c r="A5100" s="576"/>
    </row>
    <row r="5101" spans="1:1">
      <c r="A5101" s="576"/>
    </row>
    <row r="5102" spans="1:1">
      <c r="A5102" s="576"/>
    </row>
    <row r="5103" spans="1:1">
      <c r="A5103" s="576"/>
    </row>
    <row r="5104" spans="1:1">
      <c r="A5104" s="576"/>
    </row>
    <row r="5105" spans="1:1">
      <c r="A5105" s="576"/>
    </row>
    <row r="5106" spans="1:1">
      <c r="A5106" s="576"/>
    </row>
    <row r="5107" spans="1:1">
      <c r="A5107" s="576"/>
    </row>
    <row r="5108" spans="1:1">
      <c r="A5108" s="576"/>
    </row>
    <row r="5109" spans="1:1">
      <c r="A5109" s="576"/>
    </row>
    <row r="5110" spans="1:1">
      <c r="A5110" s="576"/>
    </row>
    <row r="5111" spans="1:1">
      <c r="A5111" s="576"/>
    </row>
    <row r="5112" spans="1:1">
      <c r="A5112" s="576"/>
    </row>
    <row r="5113" spans="1:1">
      <c r="A5113" s="576"/>
    </row>
    <row r="5114" spans="1:1">
      <c r="A5114" s="576"/>
    </row>
    <row r="5115" spans="1:1">
      <c r="A5115" s="576"/>
    </row>
    <row r="5116" spans="1:1">
      <c r="A5116" s="576"/>
    </row>
    <row r="5117" spans="1:1">
      <c r="A5117" s="576"/>
    </row>
    <row r="5118" spans="1:1">
      <c r="A5118" s="576"/>
    </row>
    <row r="5119" spans="1:1">
      <c r="A5119" s="576"/>
    </row>
    <row r="5120" spans="1:1">
      <c r="A5120" s="576"/>
    </row>
    <row r="5121" spans="1:1">
      <c r="A5121" s="576"/>
    </row>
    <row r="5122" spans="1:1">
      <c r="A5122" s="576"/>
    </row>
    <row r="5123" spans="1:1">
      <c r="A5123" s="576"/>
    </row>
    <row r="5124" spans="1:1">
      <c r="A5124" s="576"/>
    </row>
    <row r="5125" spans="1:1">
      <c r="A5125" s="576"/>
    </row>
    <row r="5126" spans="1:1">
      <c r="A5126" s="576"/>
    </row>
    <row r="5127" spans="1:1">
      <c r="A5127" s="576"/>
    </row>
    <row r="5128" spans="1:1">
      <c r="A5128" s="576"/>
    </row>
    <row r="5129" spans="1:1">
      <c r="A5129" s="576"/>
    </row>
    <row r="5130" spans="1:1">
      <c r="A5130" s="576"/>
    </row>
    <row r="5131" spans="1:1">
      <c r="A5131" s="576"/>
    </row>
    <row r="5132" spans="1:1">
      <c r="A5132" s="576"/>
    </row>
    <row r="5133" spans="1:1">
      <c r="A5133" s="576"/>
    </row>
    <row r="5134" spans="1:1">
      <c r="A5134" s="576"/>
    </row>
    <row r="5135" spans="1:1">
      <c r="A5135" s="576"/>
    </row>
    <row r="5136" spans="1:1">
      <c r="A5136" s="576"/>
    </row>
    <row r="5137" spans="1:1">
      <c r="A5137" s="576"/>
    </row>
    <row r="5138" spans="1:1">
      <c r="A5138" s="576"/>
    </row>
    <row r="5139" spans="1:1">
      <c r="A5139" s="576"/>
    </row>
    <row r="5140" spans="1:1">
      <c r="A5140" s="576"/>
    </row>
    <row r="5141" spans="1:1">
      <c r="A5141" s="576"/>
    </row>
    <row r="5142" spans="1:1">
      <c r="A5142" s="576"/>
    </row>
    <row r="5143" spans="1:1">
      <c r="A5143" s="576"/>
    </row>
    <row r="5144" spans="1:1">
      <c r="A5144" s="576"/>
    </row>
    <row r="5145" spans="1:1">
      <c r="A5145" s="576"/>
    </row>
    <row r="5146" spans="1:1">
      <c r="A5146" s="576"/>
    </row>
    <row r="5147" spans="1:1">
      <c r="A5147" s="576"/>
    </row>
    <row r="5148" spans="1:1">
      <c r="A5148" s="576"/>
    </row>
    <row r="5149" spans="1:1">
      <c r="A5149" s="576"/>
    </row>
    <row r="5150" spans="1:1">
      <c r="A5150" s="576"/>
    </row>
    <row r="5151" spans="1:1">
      <c r="A5151" s="576"/>
    </row>
    <row r="5152" spans="1:1">
      <c r="A5152" s="576"/>
    </row>
    <row r="5153" spans="1:1">
      <c r="A5153" s="576"/>
    </row>
    <row r="5154" spans="1:1">
      <c r="A5154" s="576"/>
    </row>
    <row r="5155" spans="1:1">
      <c r="A5155" s="576"/>
    </row>
    <row r="5156" spans="1:1">
      <c r="A5156" s="576"/>
    </row>
    <row r="5157" spans="1:1">
      <c r="A5157" s="576"/>
    </row>
    <row r="5158" spans="1:1">
      <c r="A5158" s="576"/>
    </row>
    <row r="5159" spans="1:1">
      <c r="A5159" s="576"/>
    </row>
    <row r="5160" spans="1:1">
      <c r="A5160" s="576"/>
    </row>
    <row r="5161" spans="1:1">
      <c r="A5161" s="576"/>
    </row>
    <row r="5162" spans="1:1">
      <c r="A5162" s="576"/>
    </row>
    <row r="5163" spans="1:1">
      <c r="A5163" s="576"/>
    </row>
    <row r="5164" spans="1:1">
      <c r="A5164" s="576"/>
    </row>
    <row r="5165" spans="1:1">
      <c r="A5165" s="576"/>
    </row>
    <row r="5166" spans="1:1">
      <c r="A5166" s="576"/>
    </row>
    <row r="5167" spans="1:1">
      <c r="A5167" s="576"/>
    </row>
    <row r="5168" spans="1:1">
      <c r="A5168" s="576"/>
    </row>
    <row r="5169" spans="1:1">
      <c r="A5169" s="576"/>
    </row>
    <row r="5170" spans="1:1">
      <c r="A5170" s="576"/>
    </row>
    <row r="5171" spans="1:1">
      <c r="A5171" s="576"/>
    </row>
    <row r="5172" spans="1:1">
      <c r="A5172" s="576"/>
    </row>
    <row r="5173" spans="1:1">
      <c r="A5173" s="576"/>
    </row>
    <row r="5174" spans="1:1">
      <c r="A5174" s="576"/>
    </row>
    <row r="5175" spans="1:1">
      <c r="A5175" s="576"/>
    </row>
    <row r="5176" spans="1:1">
      <c r="A5176" s="576"/>
    </row>
    <row r="5177" spans="1:1">
      <c r="A5177" s="576"/>
    </row>
    <row r="5178" spans="1:1">
      <c r="A5178" s="576"/>
    </row>
    <row r="5179" spans="1:1">
      <c r="A5179" s="576"/>
    </row>
    <row r="5180" spans="1:1">
      <c r="A5180" s="576"/>
    </row>
    <row r="5181" spans="1:1">
      <c r="A5181" s="576"/>
    </row>
    <row r="5182" spans="1:1">
      <c r="A5182" s="576"/>
    </row>
    <row r="5183" spans="1:1">
      <c r="A5183" s="576"/>
    </row>
    <row r="5184" spans="1:1">
      <c r="A5184" s="576"/>
    </row>
    <row r="5185" spans="1:1">
      <c r="A5185" s="576"/>
    </row>
    <row r="5186" spans="1:1">
      <c r="A5186" s="576"/>
    </row>
    <row r="5187" spans="1:1">
      <c r="A5187" s="576"/>
    </row>
    <row r="5188" spans="1:1">
      <c r="A5188" s="576"/>
    </row>
    <row r="5189" spans="1:1">
      <c r="A5189" s="576"/>
    </row>
    <row r="5190" spans="1:1">
      <c r="A5190" s="576"/>
    </row>
    <row r="5191" spans="1:1">
      <c r="A5191" s="576"/>
    </row>
    <row r="5192" spans="1:1">
      <c r="A5192" s="576"/>
    </row>
    <row r="5193" spans="1:1">
      <c r="A5193" s="576"/>
    </row>
    <row r="5194" spans="1:1">
      <c r="A5194" s="576"/>
    </row>
    <row r="5195" spans="1:1">
      <c r="A5195" s="576"/>
    </row>
    <row r="5196" spans="1:1">
      <c r="A5196" s="576"/>
    </row>
    <row r="5197" spans="1:1">
      <c r="A5197" s="576"/>
    </row>
    <row r="5198" spans="1:1">
      <c r="A5198" s="576"/>
    </row>
    <row r="5199" spans="1:1">
      <c r="A5199" s="576"/>
    </row>
    <row r="5200" spans="1:1">
      <c r="A5200" s="576"/>
    </row>
    <row r="5201" spans="1:1">
      <c r="A5201" s="576"/>
    </row>
    <row r="5202" spans="1:1">
      <c r="A5202" s="576"/>
    </row>
    <row r="5203" spans="1:1">
      <c r="A5203" s="576"/>
    </row>
    <row r="5204" spans="1:1">
      <c r="A5204" s="576"/>
    </row>
    <row r="5205" spans="1:1">
      <c r="A5205" s="576"/>
    </row>
    <row r="5206" spans="1:1">
      <c r="A5206" s="576"/>
    </row>
    <row r="5207" spans="1:1">
      <c r="A5207" s="576"/>
    </row>
    <row r="5208" spans="1:1">
      <c r="A5208" s="576"/>
    </row>
    <row r="5209" spans="1:1">
      <c r="A5209" s="576"/>
    </row>
    <row r="5210" spans="1:1">
      <c r="A5210" s="576"/>
    </row>
    <row r="5211" spans="1:1">
      <c r="A5211" s="576"/>
    </row>
    <row r="5212" spans="1:1">
      <c r="A5212" s="576"/>
    </row>
    <row r="5213" spans="1:1">
      <c r="A5213" s="576"/>
    </row>
    <row r="5214" spans="1:1">
      <c r="A5214" s="576"/>
    </row>
    <row r="5215" spans="1:1">
      <c r="A5215" s="576"/>
    </row>
    <row r="5216" spans="1:1">
      <c r="A5216" s="576"/>
    </row>
    <row r="5217" spans="1:1">
      <c r="A5217" s="576"/>
    </row>
    <row r="5218" spans="1:1">
      <c r="A5218" s="576"/>
    </row>
    <row r="5219" spans="1:1">
      <c r="A5219" s="576"/>
    </row>
    <row r="5220" spans="1:1">
      <c r="A5220" s="576"/>
    </row>
    <row r="5221" spans="1:1">
      <c r="A5221" s="576"/>
    </row>
    <row r="5222" spans="1:1">
      <c r="A5222" s="576"/>
    </row>
    <row r="5223" spans="1:1">
      <c r="A5223" s="576"/>
    </row>
    <row r="5224" spans="1:1">
      <c r="A5224" s="576"/>
    </row>
    <row r="5225" spans="1:1">
      <c r="A5225" s="576"/>
    </row>
    <row r="5226" spans="1:1">
      <c r="A5226" s="576"/>
    </row>
    <row r="5227" spans="1:1">
      <c r="A5227" s="576"/>
    </row>
    <row r="5228" spans="1:1">
      <c r="A5228" s="576"/>
    </row>
    <row r="5229" spans="1:1">
      <c r="A5229" s="576"/>
    </row>
    <row r="5230" spans="1:1">
      <c r="A5230" s="576"/>
    </row>
    <row r="5231" spans="1:1">
      <c r="A5231" s="576"/>
    </row>
    <row r="5232" spans="1:1">
      <c r="A5232" s="576"/>
    </row>
    <row r="5233" spans="1:1">
      <c r="A5233" s="576"/>
    </row>
    <row r="5234" spans="1:1">
      <c r="A5234" s="576"/>
    </row>
    <row r="5235" spans="1:1">
      <c r="A5235" s="576"/>
    </row>
    <row r="5236" spans="1:1">
      <c r="A5236" s="576"/>
    </row>
    <row r="5237" spans="1:1">
      <c r="A5237" s="576"/>
    </row>
    <row r="5238" spans="1:1">
      <c r="A5238" s="576"/>
    </row>
    <row r="5239" spans="1:1">
      <c r="A5239" s="576"/>
    </row>
    <row r="5240" spans="1:1">
      <c r="A5240" s="576"/>
    </row>
    <row r="5241" spans="1:1">
      <c r="A5241" s="576"/>
    </row>
    <row r="5242" spans="1:1">
      <c r="A5242" s="576"/>
    </row>
    <row r="5243" spans="1:1">
      <c r="A5243" s="576"/>
    </row>
    <row r="5244" spans="1:1">
      <c r="A5244" s="576"/>
    </row>
    <row r="5245" spans="1:1">
      <c r="A5245" s="576"/>
    </row>
    <row r="5246" spans="1:1">
      <c r="A5246" s="576"/>
    </row>
    <row r="5247" spans="1:1">
      <c r="A5247" s="576"/>
    </row>
    <row r="5248" spans="1:1">
      <c r="A5248" s="576"/>
    </row>
    <row r="5249" spans="1:1">
      <c r="A5249" s="576"/>
    </row>
    <row r="5250" spans="1:1">
      <c r="A5250" s="576"/>
    </row>
    <row r="5251" spans="1:1">
      <c r="A5251" s="576"/>
    </row>
    <row r="5252" spans="1:1">
      <c r="A5252" s="576"/>
    </row>
    <row r="5253" spans="1:1">
      <c r="A5253" s="576"/>
    </row>
    <row r="5254" spans="1:1">
      <c r="A5254" s="576"/>
    </row>
    <row r="5255" spans="1:1">
      <c r="A5255" s="576"/>
    </row>
    <row r="5256" spans="1:1">
      <c r="A5256" s="576"/>
    </row>
    <row r="5257" spans="1:1">
      <c r="A5257" s="576"/>
    </row>
    <row r="5258" spans="1:1">
      <c r="A5258" s="576"/>
    </row>
    <row r="5259" spans="1:1">
      <c r="A5259" s="576"/>
    </row>
    <row r="5260" spans="1:1">
      <c r="A5260" s="576"/>
    </row>
    <row r="5261" spans="1:1">
      <c r="A5261" s="576"/>
    </row>
    <row r="5262" spans="1:1">
      <c r="A5262" s="576"/>
    </row>
    <row r="5263" spans="1:1">
      <c r="A5263" s="576"/>
    </row>
    <row r="5264" spans="1:1">
      <c r="A5264" s="576"/>
    </row>
    <row r="5265" spans="1:1">
      <c r="A5265" s="576"/>
    </row>
    <row r="5266" spans="1:1">
      <c r="A5266" s="576"/>
    </row>
    <row r="5267" spans="1:1">
      <c r="A5267" s="576"/>
    </row>
    <row r="5268" spans="1:1">
      <c r="A5268" s="576"/>
    </row>
    <row r="5269" spans="1:1">
      <c r="A5269" s="576"/>
    </row>
    <row r="5270" spans="1:1">
      <c r="A5270" s="576"/>
    </row>
    <row r="5271" spans="1:1">
      <c r="A5271" s="576"/>
    </row>
    <row r="5272" spans="1:1">
      <c r="A5272" s="576"/>
    </row>
    <row r="5273" spans="1:1">
      <c r="A5273" s="576"/>
    </row>
    <row r="5274" spans="1:1">
      <c r="A5274" s="576"/>
    </row>
    <row r="5275" spans="1:1">
      <c r="A5275" s="576"/>
    </row>
    <row r="5276" spans="1:1">
      <c r="A5276" s="576"/>
    </row>
    <row r="5277" spans="1:1">
      <c r="A5277" s="576"/>
    </row>
    <row r="5278" spans="1:1">
      <c r="A5278" s="576"/>
    </row>
    <row r="5279" spans="1:1">
      <c r="A5279" s="576"/>
    </row>
    <row r="5280" spans="1:1">
      <c r="A5280" s="576"/>
    </row>
    <row r="5281" spans="1:1">
      <c r="A5281" s="576"/>
    </row>
    <row r="5282" spans="1:1">
      <c r="A5282" s="576"/>
    </row>
    <row r="5283" spans="1:1">
      <c r="A5283" s="576"/>
    </row>
    <row r="5284" spans="1:1">
      <c r="A5284" s="576"/>
    </row>
    <row r="5285" spans="1:1">
      <c r="A5285" s="576"/>
    </row>
    <row r="5286" spans="1:1">
      <c r="A5286" s="576"/>
    </row>
    <row r="5287" spans="1:1">
      <c r="A5287" s="576"/>
    </row>
    <row r="5288" spans="1:1">
      <c r="A5288" s="576"/>
    </row>
    <row r="5289" spans="1:1">
      <c r="A5289" s="576"/>
    </row>
    <row r="5290" spans="1:1">
      <c r="A5290" s="576"/>
    </row>
    <row r="5291" spans="1:1">
      <c r="A5291" s="576"/>
    </row>
    <row r="5292" spans="1:1">
      <c r="A5292" s="576"/>
    </row>
    <row r="5293" spans="1:1">
      <c r="A5293" s="576"/>
    </row>
    <row r="5294" spans="1:1">
      <c r="A5294" s="576"/>
    </row>
    <row r="5295" spans="1:1">
      <c r="A5295" s="576"/>
    </row>
    <row r="5296" spans="1:1">
      <c r="A5296" s="576"/>
    </row>
    <row r="5297" spans="1:1">
      <c r="A5297" s="576"/>
    </row>
    <row r="5298" spans="1:1">
      <c r="A5298" s="576"/>
    </row>
    <row r="5299" spans="1:1">
      <c r="A5299" s="576"/>
    </row>
    <row r="5300" spans="1:1">
      <c r="A5300" s="576"/>
    </row>
    <row r="5301" spans="1:1">
      <c r="A5301" s="576"/>
    </row>
    <row r="5302" spans="1:1">
      <c r="A5302" s="576"/>
    </row>
    <row r="5303" spans="1:1">
      <c r="A5303" s="576"/>
    </row>
    <row r="5304" spans="1:1">
      <c r="A5304" s="576"/>
    </row>
    <row r="5305" spans="1:1">
      <c r="A5305" s="576"/>
    </row>
    <row r="5306" spans="1:1">
      <c r="A5306" s="576"/>
    </row>
    <row r="5307" spans="1:1">
      <c r="A5307" s="576"/>
    </row>
    <row r="5308" spans="1:1">
      <c r="A5308" s="576"/>
    </row>
    <row r="5309" spans="1:1">
      <c r="A5309" s="576"/>
    </row>
    <row r="5310" spans="1:1">
      <c r="A5310" s="576"/>
    </row>
    <row r="5311" spans="1:1">
      <c r="A5311" s="576"/>
    </row>
    <row r="5312" spans="1:1">
      <c r="A5312" s="576"/>
    </row>
    <row r="5313" spans="1:1">
      <c r="A5313" s="576"/>
    </row>
    <row r="5314" spans="1:1">
      <c r="A5314" s="576"/>
    </row>
    <row r="5315" spans="1:1">
      <c r="A5315" s="576"/>
    </row>
    <row r="5316" spans="1:1">
      <c r="A5316" s="576"/>
    </row>
    <row r="5317" spans="1:1">
      <c r="A5317" s="576"/>
    </row>
    <row r="5318" spans="1:1">
      <c r="A5318" s="576"/>
    </row>
    <row r="5319" spans="1:1">
      <c r="A5319" s="576"/>
    </row>
    <row r="5320" spans="1:1">
      <c r="A5320" s="576"/>
    </row>
    <row r="5321" spans="1:1">
      <c r="A5321" s="576"/>
    </row>
    <row r="5322" spans="1:1">
      <c r="A5322" s="576"/>
    </row>
    <row r="5323" spans="1:1">
      <c r="A5323" s="576"/>
    </row>
    <row r="5324" spans="1:1">
      <c r="A5324" s="576"/>
    </row>
    <row r="5325" spans="1:1">
      <c r="A5325" s="576"/>
    </row>
    <row r="5326" spans="1:1">
      <c r="A5326" s="576"/>
    </row>
    <row r="5327" spans="1:1">
      <c r="A5327" s="576"/>
    </row>
    <row r="5328" spans="1:1">
      <c r="A5328" s="576"/>
    </row>
    <row r="5329" spans="1:1">
      <c r="A5329" s="576"/>
    </row>
    <row r="5330" spans="1:1">
      <c r="A5330" s="576"/>
    </row>
    <row r="5331" spans="1:1">
      <c r="A5331" s="576"/>
    </row>
    <row r="5332" spans="1:1">
      <c r="A5332" s="576"/>
    </row>
    <row r="5333" spans="1:1">
      <c r="A5333" s="576"/>
    </row>
    <row r="5334" spans="1:1">
      <c r="A5334" s="576"/>
    </row>
    <row r="5335" spans="1:1">
      <c r="A5335" s="576"/>
    </row>
    <row r="5336" spans="1:1">
      <c r="A5336" s="576"/>
    </row>
    <row r="5337" spans="1:1">
      <c r="A5337" s="576"/>
    </row>
    <row r="5338" spans="1:1">
      <c r="A5338" s="576"/>
    </row>
    <row r="5339" spans="1:1">
      <c r="A5339" s="576"/>
    </row>
    <row r="5340" spans="1:1">
      <c r="A5340" s="576"/>
    </row>
    <row r="5341" spans="1:1">
      <c r="A5341" s="576"/>
    </row>
    <row r="5342" spans="1:1">
      <c r="A5342" s="576"/>
    </row>
    <row r="5343" spans="1:1">
      <c r="A5343" s="576"/>
    </row>
    <row r="5344" spans="1:1">
      <c r="A5344" s="576"/>
    </row>
    <row r="5345" spans="1:1">
      <c r="A5345" s="576"/>
    </row>
    <row r="5346" spans="1:1">
      <c r="A5346" s="576"/>
    </row>
    <row r="5347" spans="1:1">
      <c r="A5347" s="576"/>
    </row>
    <row r="5348" spans="1:1">
      <c r="A5348" s="576"/>
    </row>
    <row r="5349" spans="1:1">
      <c r="A5349" s="576"/>
    </row>
    <row r="5350" spans="1:1">
      <c r="A5350" s="576"/>
    </row>
    <row r="5351" spans="1:1">
      <c r="A5351" s="576"/>
    </row>
    <row r="5352" spans="1:1">
      <c r="A5352" s="576"/>
    </row>
    <row r="5353" spans="1:1">
      <c r="A5353" s="576"/>
    </row>
    <row r="5354" spans="1:1">
      <c r="A5354" s="576"/>
    </row>
    <row r="5355" spans="1:1">
      <c r="A5355" s="576"/>
    </row>
    <row r="5356" spans="1:1">
      <c r="A5356" s="576"/>
    </row>
    <row r="5357" spans="1:1">
      <c r="A5357" s="576"/>
    </row>
    <row r="5358" spans="1:1">
      <c r="A5358" s="576"/>
    </row>
    <row r="5359" spans="1:1">
      <c r="A5359" s="576"/>
    </row>
    <row r="5360" spans="1:1">
      <c r="A5360" s="576"/>
    </row>
    <row r="5361" spans="1:1">
      <c r="A5361" s="576"/>
    </row>
    <row r="5362" spans="1:1">
      <c r="A5362" s="576"/>
    </row>
    <row r="5363" spans="1:1">
      <c r="A5363" s="576"/>
    </row>
    <row r="5364" spans="1:1">
      <c r="A5364" s="576"/>
    </row>
    <row r="5365" spans="1:1">
      <c r="A5365" s="576"/>
    </row>
    <row r="5366" spans="1:1">
      <c r="A5366" s="576"/>
    </row>
    <row r="5367" spans="1:1">
      <c r="A5367" s="576"/>
    </row>
    <row r="5368" spans="1:1">
      <c r="A5368" s="576"/>
    </row>
    <row r="5369" spans="1:1">
      <c r="A5369" s="576"/>
    </row>
    <row r="5370" spans="1:1">
      <c r="A5370" s="576"/>
    </row>
    <row r="5371" spans="1:1">
      <c r="A5371" s="576"/>
    </row>
    <row r="5372" spans="1:1">
      <c r="A5372" s="576"/>
    </row>
    <row r="5373" spans="1:1">
      <c r="A5373" s="576"/>
    </row>
    <row r="5374" spans="1:1">
      <c r="A5374" s="576"/>
    </row>
    <row r="5375" spans="1:1">
      <c r="A5375" s="576"/>
    </row>
    <row r="5376" spans="1:1">
      <c r="A5376" s="576"/>
    </row>
    <row r="5377" spans="1:1">
      <c r="A5377" s="576"/>
    </row>
    <row r="5378" spans="1:1">
      <c r="A5378" s="576"/>
    </row>
    <row r="5379" spans="1:1">
      <c r="A5379" s="576"/>
    </row>
    <row r="5380" spans="1:1">
      <c r="A5380" s="576"/>
    </row>
    <row r="5381" spans="1:1">
      <c r="A5381" s="576"/>
    </row>
    <row r="5382" spans="1:1">
      <c r="A5382" s="576"/>
    </row>
    <row r="5383" spans="1:1">
      <c r="A5383" s="576"/>
    </row>
    <row r="5384" spans="1:1">
      <c r="A5384" s="576"/>
    </row>
    <row r="5385" spans="1:1">
      <c r="A5385" s="576"/>
    </row>
    <row r="5386" spans="1:1">
      <c r="A5386" s="576"/>
    </row>
    <row r="5387" spans="1:1">
      <c r="A5387" s="576"/>
    </row>
    <row r="5388" spans="1:1">
      <c r="A5388" s="576"/>
    </row>
    <row r="5389" spans="1:1">
      <c r="A5389" s="576"/>
    </row>
    <row r="5390" spans="1:1">
      <c r="A5390" s="576"/>
    </row>
    <row r="5391" spans="1:1">
      <c r="A5391" s="576"/>
    </row>
    <row r="5392" spans="1:1">
      <c r="A5392" s="576"/>
    </row>
    <row r="5393" spans="1:1">
      <c r="A5393" s="576"/>
    </row>
    <row r="5394" spans="1:1">
      <c r="A5394" s="576"/>
    </row>
    <row r="5395" spans="1:1">
      <c r="A5395" s="576"/>
    </row>
    <row r="5396" spans="1:1">
      <c r="A5396" s="576"/>
    </row>
    <row r="5397" spans="1:1">
      <c r="A5397" s="576"/>
    </row>
    <row r="5398" spans="1:1">
      <c r="A5398" s="576"/>
    </row>
    <row r="5399" spans="1:1">
      <c r="A5399" s="576"/>
    </row>
    <row r="5400" spans="1:1">
      <c r="A5400" s="576"/>
    </row>
    <row r="5401" spans="1:1">
      <c r="A5401" s="576"/>
    </row>
    <row r="5402" spans="1:1">
      <c r="A5402" s="576"/>
    </row>
    <row r="5403" spans="1:1">
      <c r="A5403" s="576"/>
    </row>
    <row r="5404" spans="1:1">
      <c r="A5404" s="576"/>
    </row>
    <row r="5405" spans="1:1">
      <c r="A5405" s="576"/>
    </row>
    <row r="5406" spans="1:1">
      <c r="A5406" s="576"/>
    </row>
    <row r="5407" spans="1:1">
      <c r="A5407" s="576"/>
    </row>
    <row r="5408" spans="1:1">
      <c r="A5408" s="576"/>
    </row>
    <row r="5409" spans="1:1">
      <c r="A5409" s="576"/>
    </row>
    <row r="5410" spans="1:1">
      <c r="A5410" s="576"/>
    </row>
    <row r="5411" spans="1:1">
      <c r="A5411" s="576"/>
    </row>
    <row r="5412" spans="1:1">
      <c r="A5412" s="576"/>
    </row>
    <row r="5413" spans="1:1">
      <c r="A5413" s="576"/>
    </row>
    <row r="5414" spans="1:1">
      <c r="A5414" s="576"/>
    </row>
    <row r="5415" spans="1:1">
      <c r="A5415" s="576"/>
    </row>
    <row r="5416" spans="1:1">
      <c r="A5416" s="576"/>
    </row>
    <row r="5417" spans="1:1">
      <c r="A5417" s="576"/>
    </row>
    <row r="5418" spans="1:1">
      <c r="A5418" s="576"/>
    </row>
    <row r="5419" spans="1:1">
      <c r="A5419" s="576"/>
    </row>
    <row r="5420" spans="1:1">
      <c r="A5420" s="576"/>
    </row>
    <row r="5421" spans="1:1">
      <c r="A5421" s="576"/>
    </row>
    <row r="5422" spans="1:1">
      <c r="A5422" s="576"/>
    </row>
    <row r="5423" spans="1:1">
      <c r="A5423" s="576"/>
    </row>
    <row r="5424" spans="1:1">
      <c r="A5424" s="576"/>
    </row>
    <row r="5425" spans="1:1">
      <c r="A5425" s="576"/>
    </row>
    <row r="5426" spans="1:1">
      <c r="A5426" s="576"/>
    </row>
    <row r="5427" spans="1:1">
      <c r="A5427" s="576"/>
    </row>
    <row r="5428" spans="1:1">
      <c r="A5428" s="576"/>
    </row>
    <row r="5429" spans="1:1">
      <c r="A5429" s="576"/>
    </row>
    <row r="5430" spans="1:1">
      <c r="A5430" s="576"/>
    </row>
    <row r="5431" spans="1:1">
      <c r="A5431" s="576"/>
    </row>
    <row r="5432" spans="1:1">
      <c r="A5432" s="576"/>
    </row>
    <row r="5433" spans="1:1">
      <c r="A5433" s="576"/>
    </row>
    <row r="5434" spans="1:1">
      <c r="A5434" s="576"/>
    </row>
    <row r="5435" spans="1:1">
      <c r="A5435" s="576"/>
    </row>
    <row r="5436" spans="1:1">
      <c r="A5436" s="576"/>
    </row>
    <row r="5437" spans="1:1">
      <c r="A5437" s="576"/>
    </row>
    <row r="5438" spans="1:1">
      <c r="A5438" s="576"/>
    </row>
    <row r="5439" spans="1:1">
      <c r="A5439" s="576"/>
    </row>
    <row r="5440" spans="1:1">
      <c r="A5440" s="576"/>
    </row>
    <row r="5441" spans="1:1">
      <c r="A5441" s="576"/>
    </row>
    <row r="5442" spans="1:1">
      <c r="A5442" s="576"/>
    </row>
    <row r="5443" spans="1:1">
      <c r="A5443" s="576"/>
    </row>
    <row r="5444" spans="1:1">
      <c r="A5444" s="576"/>
    </row>
    <row r="5445" spans="1:1">
      <c r="A5445" s="576"/>
    </row>
    <row r="5446" spans="1:1">
      <c r="A5446" s="576"/>
    </row>
    <row r="5447" spans="1:1">
      <c r="A5447" s="576"/>
    </row>
    <row r="5448" spans="1:1">
      <c r="A5448" s="576"/>
    </row>
    <row r="5449" spans="1:1">
      <c r="A5449" s="576"/>
    </row>
    <row r="5450" spans="1:1">
      <c r="A5450" s="576"/>
    </row>
    <row r="5451" spans="1:1">
      <c r="A5451" s="576"/>
    </row>
    <row r="5452" spans="1:1">
      <c r="A5452" s="576"/>
    </row>
    <row r="5453" spans="1:1">
      <c r="A5453" s="576"/>
    </row>
    <row r="5454" spans="1:1">
      <c r="A5454" s="576"/>
    </row>
    <row r="5455" spans="1:1">
      <c r="A5455" s="576"/>
    </row>
    <row r="5456" spans="1:1">
      <c r="A5456" s="576"/>
    </row>
    <row r="5457" spans="1:1">
      <c r="A5457" s="576"/>
    </row>
    <row r="5458" spans="1:1">
      <c r="A5458" s="576"/>
    </row>
    <row r="5459" spans="1:1">
      <c r="A5459" s="576"/>
    </row>
    <row r="5460" spans="1:1">
      <c r="A5460" s="576"/>
    </row>
    <row r="5461" spans="1:1">
      <c r="A5461" s="576"/>
    </row>
    <row r="5462" spans="1:1">
      <c r="A5462" s="576"/>
    </row>
    <row r="5463" spans="1:1">
      <c r="A5463" s="576"/>
    </row>
    <row r="5464" spans="1:1">
      <c r="A5464" s="576"/>
    </row>
    <row r="5465" spans="1:1">
      <c r="A5465" s="576"/>
    </row>
    <row r="5466" spans="1:1">
      <c r="A5466" s="576"/>
    </row>
    <row r="5467" spans="1:1">
      <c r="A5467" s="576"/>
    </row>
    <row r="5468" spans="1:1">
      <c r="A5468" s="576"/>
    </row>
    <row r="5469" spans="1:1">
      <c r="A5469" s="576"/>
    </row>
    <row r="5470" spans="1:1">
      <c r="A5470" s="576"/>
    </row>
    <row r="5471" spans="1:1">
      <c r="A5471" s="576"/>
    </row>
    <row r="5472" spans="1:1">
      <c r="A5472" s="576"/>
    </row>
    <row r="5473" spans="1:1">
      <c r="A5473" s="576"/>
    </row>
    <row r="5474" spans="1:1">
      <c r="A5474" s="576"/>
    </row>
    <row r="5475" spans="1:1">
      <c r="A5475" s="576"/>
    </row>
    <row r="5476" spans="1:1">
      <c r="A5476" s="576"/>
    </row>
    <row r="5477" spans="1:1">
      <c r="A5477" s="576"/>
    </row>
    <row r="5478" spans="1:1">
      <c r="A5478" s="576"/>
    </row>
    <row r="5479" spans="1:1">
      <c r="A5479" s="576"/>
    </row>
    <row r="5480" spans="1:1">
      <c r="A5480" s="576"/>
    </row>
    <row r="5481" spans="1:1">
      <c r="A5481" s="576"/>
    </row>
    <row r="5482" spans="1:1">
      <c r="A5482" s="576"/>
    </row>
    <row r="5483" spans="1:1">
      <c r="A5483" s="576"/>
    </row>
    <row r="5484" spans="1:1">
      <c r="A5484" s="576"/>
    </row>
    <row r="5485" spans="1:1">
      <c r="A5485" s="576"/>
    </row>
    <row r="5486" spans="1:1">
      <c r="A5486" s="576"/>
    </row>
    <row r="5487" spans="1:1">
      <c r="A5487" s="576"/>
    </row>
    <row r="5488" spans="1:1">
      <c r="A5488" s="576"/>
    </row>
    <row r="5489" spans="1:1">
      <c r="A5489" s="576"/>
    </row>
    <row r="5490" spans="1:1">
      <c r="A5490" s="576"/>
    </row>
    <row r="5491" spans="1:1">
      <c r="A5491" s="576"/>
    </row>
    <row r="5492" spans="1:1">
      <c r="A5492" s="576"/>
    </row>
    <row r="5493" spans="1:1">
      <c r="A5493" s="576"/>
    </row>
    <row r="5494" spans="1:1">
      <c r="A5494" s="576"/>
    </row>
    <row r="5495" spans="1:1">
      <c r="A5495" s="576"/>
    </row>
    <row r="5496" spans="1:1">
      <c r="A5496" s="576"/>
    </row>
    <row r="5497" spans="1:1">
      <c r="A5497" s="576"/>
    </row>
    <row r="5498" spans="1:1">
      <c r="A5498" s="576"/>
    </row>
    <row r="5499" spans="1:1">
      <c r="A5499" s="576"/>
    </row>
    <row r="5500" spans="1:1">
      <c r="A5500" s="576"/>
    </row>
    <row r="5501" spans="1:1">
      <c r="A5501" s="576"/>
    </row>
    <row r="5502" spans="1:1">
      <c r="A5502" s="576"/>
    </row>
    <row r="5503" spans="1:1">
      <c r="A5503" s="576"/>
    </row>
    <row r="5504" spans="1:1">
      <c r="A5504" s="576"/>
    </row>
    <row r="5505" spans="1:1">
      <c r="A5505" s="576"/>
    </row>
    <row r="5506" spans="1:1">
      <c r="A5506" s="576"/>
    </row>
    <row r="5507" spans="1:1">
      <c r="A5507" s="576"/>
    </row>
    <row r="5508" spans="1:1">
      <c r="A5508" s="576"/>
    </row>
    <row r="5509" spans="1:1">
      <c r="A5509" s="576"/>
    </row>
    <row r="5510" spans="1:1">
      <c r="A5510" s="576"/>
    </row>
    <row r="5511" spans="1:1">
      <c r="A5511" s="576"/>
    </row>
    <row r="5512" spans="1:1">
      <c r="A5512" s="576"/>
    </row>
    <row r="5513" spans="1:1">
      <c r="A5513" s="576"/>
    </row>
    <row r="5514" spans="1:1">
      <c r="A5514" s="576"/>
    </row>
    <row r="5515" spans="1:1">
      <c r="A5515" s="576"/>
    </row>
    <row r="5516" spans="1:1">
      <c r="A5516" s="576"/>
    </row>
    <row r="5517" spans="1:1">
      <c r="A5517" s="576"/>
    </row>
    <row r="5518" spans="1:1">
      <c r="A5518" s="576"/>
    </row>
    <row r="5519" spans="1:1">
      <c r="A5519" s="576"/>
    </row>
    <row r="5520" spans="1:1">
      <c r="A5520" s="576"/>
    </row>
    <row r="5521" spans="1:1">
      <c r="A5521" s="576"/>
    </row>
    <row r="5522" spans="1:1">
      <c r="A5522" s="576"/>
    </row>
    <row r="5523" spans="1:1">
      <c r="A5523" s="576"/>
    </row>
    <row r="5524" spans="1:1">
      <c r="A5524" s="576"/>
    </row>
    <row r="5525" spans="1:1">
      <c r="A5525" s="576"/>
    </row>
    <row r="5526" spans="1:1">
      <c r="A5526" s="576"/>
    </row>
    <row r="5527" spans="1:1">
      <c r="A5527" s="576"/>
    </row>
    <row r="5528" spans="1:1">
      <c r="A5528" s="576"/>
    </row>
    <row r="5529" spans="1:1">
      <c r="A5529" s="576"/>
    </row>
    <row r="5530" spans="1:1">
      <c r="A5530" s="576"/>
    </row>
    <row r="5531" spans="1:1">
      <c r="A5531" s="576"/>
    </row>
    <row r="5532" spans="1:1">
      <c r="A5532" s="576"/>
    </row>
    <row r="5533" spans="1:1">
      <c r="A5533" s="576"/>
    </row>
    <row r="5534" spans="1:1">
      <c r="A5534" s="576"/>
    </row>
    <row r="5535" spans="1:1">
      <c r="A5535" s="576"/>
    </row>
    <row r="5536" spans="1:1">
      <c r="A5536" s="576"/>
    </row>
    <row r="5537" spans="1:1">
      <c r="A5537" s="576"/>
    </row>
    <row r="5538" spans="1:1">
      <c r="A5538" s="576"/>
    </row>
    <row r="5539" spans="1:1">
      <c r="A5539" s="576"/>
    </row>
    <row r="5540" spans="1:1">
      <c r="A5540" s="576"/>
    </row>
    <row r="5541" spans="1:1">
      <c r="A5541" s="576"/>
    </row>
    <row r="5542" spans="1:1">
      <c r="A5542" s="576"/>
    </row>
    <row r="5543" spans="1:1">
      <c r="A5543" s="576"/>
    </row>
    <row r="5544" spans="1:1">
      <c r="A5544" s="576"/>
    </row>
    <row r="5545" spans="1:1">
      <c r="A5545" s="576"/>
    </row>
    <row r="5546" spans="1:1">
      <c r="A5546" s="576"/>
    </row>
    <row r="5547" spans="1:1">
      <c r="A5547" s="576"/>
    </row>
    <row r="5548" spans="1:1">
      <c r="A5548" s="576"/>
    </row>
    <row r="5549" spans="1:1">
      <c r="A5549" s="576"/>
    </row>
    <row r="5550" spans="1:1">
      <c r="A5550" s="576"/>
    </row>
    <row r="5551" spans="1:1">
      <c r="A5551" s="576"/>
    </row>
    <row r="5552" spans="1:1">
      <c r="A5552" s="576"/>
    </row>
    <row r="5553" spans="1:1">
      <c r="A5553" s="576"/>
    </row>
    <row r="5554" spans="1:1">
      <c r="A5554" s="576"/>
    </row>
    <row r="5555" spans="1:1">
      <c r="A5555" s="576"/>
    </row>
    <row r="5556" spans="1:1">
      <c r="A5556" s="576"/>
    </row>
    <row r="5557" spans="1:1">
      <c r="A5557" s="576"/>
    </row>
    <row r="5558" spans="1:1">
      <c r="A5558" s="576"/>
    </row>
    <row r="5559" spans="1:1">
      <c r="A5559" s="576"/>
    </row>
    <row r="5560" spans="1:1">
      <c r="A5560" s="576"/>
    </row>
    <row r="5561" spans="1:1">
      <c r="A5561" s="576"/>
    </row>
    <row r="5562" spans="1:1">
      <c r="A5562" s="576"/>
    </row>
    <row r="5563" spans="1:1">
      <c r="A5563" s="576"/>
    </row>
    <row r="5564" spans="1:1">
      <c r="A5564" s="576"/>
    </row>
    <row r="5565" spans="1:1">
      <c r="A5565" s="576"/>
    </row>
    <row r="5566" spans="1:1">
      <c r="A5566" s="576"/>
    </row>
    <row r="5567" spans="1:1">
      <c r="A5567" s="576"/>
    </row>
    <row r="5568" spans="1:1">
      <c r="A5568" s="576"/>
    </row>
    <row r="5569" spans="1:1">
      <c r="A5569" s="576"/>
    </row>
    <row r="5570" spans="1:1">
      <c r="A5570" s="576"/>
    </row>
    <row r="5571" spans="1:1">
      <c r="A5571" s="576"/>
    </row>
    <row r="5572" spans="1:1">
      <c r="A5572" s="576"/>
    </row>
    <row r="5573" spans="1:1">
      <c r="A5573" s="576"/>
    </row>
    <row r="5574" spans="1:1">
      <c r="A5574" s="576"/>
    </row>
    <row r="5575" spans="1:1">
      <c r="A5575" s="576"/>
    </row>
    <row r="5576" spans="1:1">
      <c r="A5576" s="576"/>
    </row>
    <row r="5577" spans="1:1">
      <c r="A5577" s="576"/>
    </row>
    <row r="5578" spans="1:1">
      <c r="A5578" s="576"/>
    </row>
    <row r="5579" spans="1:1">
      <c r="A5579" s="576"/>
    </row>
    <row r="5580" spans="1:1">
      <c r="A5580" s="576"/>
    </row>
    <row r="5581" spans="1:1">
      <c r="A5581" s="576"/>
    </row>
    <row r="5582" spans="1:1">
      <c r="A5582" s="576"/>
    </row>
    <row r="5583" spans="1:1">
      <c r="A5583" s="576"/>
    </row>
    <row r="5584" spans="1:1">
      <c r="A5584" s="576"/>
    </row>
    <row r="5585" spans="1:1">
      <c r="A5585" s="576"/>
    </row>
    <row r="5586" spans="1:1">
      <c r="A5586" s="576"/>
    </row>
    <row r="5587" spans="1:1">
      <c r="A5587" s="576"/>
    </row>
    <row r="5588" spans="1:1">
      <c r="A5588" s="576"/>
    </row>
    <row r="5589" spans="1:1">
      <c r="A5589" s="576"/>
    </row>
    <row r="5590" spans="1:1">
      <c r="A5590" s="576"/>
    </row>
    <row r="5591" spans="1:1">
      <c r="A5591" s="576"/>
    </row>
    <row r="5592" spans="1:1">
      <c r="A5592" s="576"/>
    </row>
    <row r="5593" spans="1:1">
      <c r="A5593" s="576"/>
    </row>
    <row r="5594" spans="1:1">
      <c r="A5594" s="576"/>
    </row>
    <row r="5595" spans="1:1">
      <c r="A5595" s="576"/>
    </row>
    <row r="5596" spans="1:1">
      <c r="A5596" s="576"/>
    </row>
    <row r="5597" spans="1:1">
      <c r="A5597" s="576"/>
    </row>
    <row r="5598" spans="1:1">
      <c r="A5598" s="576"/>
    </row>
    <row r="5599" spans="1:1">
      <c r="A5599" s="576"/>
    </row>
    <row r="5600" spans="1:1">
      <c r="A5600" s="576"/>
    </row>
    <row r="5601" spans="1:1">
      <c r="A5601" s="576"/>
    </row>
    <row r="5602" spans="1:1">
      <c r="A5602" s="576"/>
    </row>
    <row r="5603" spans="1:1">
      <c r="A5603" s="576"/>
    </row>
    <row r="5604" spans="1:1">
      <c r="A5604" s="576"/>
    </row>
    <row r="5605" spans="1:1">
      <c r="A5605" s="576"/>
    </row>
    <row r="5606" spans="1:1">
      <c r="A5606" s="576"/>
    </row>
    <row r="5607" spans="1:1">
      <c r="A5607" s="576"/>
    </row>
    <row r="5608" spans="1:1">
      <c r="A5608" s="576"/>
    </row>
    <row r="5609" spans="1:1">
      <c r="A5609" s="576"/>
    </row>
    <row r="5610" spans="1:1">
      <c r="A5610" s="576"/>
    </row>
    <row r="5611" spans="1:1">
      <c r="A5611" s="576"/>
    </row>
    <row r="5612" spans="1:1">
      <c r="A5612" s="576"/>
    </row>
    <row r="5613" spans="1:1">
      <c r="A5613" s="576"/>
    </row>
    <row r="5614" spans="1:1">
      <c r="A5614" s="576"/>
    </row>
    <row r="5615" spans="1:1">
      <c r="A5615" s="576"/>
    </row>
    <row r="5616" spans="1:1">
      <c r="A5616" s="576"/>
    </row>
    <row r="5617" spans="1:1">
      <c r="A5617" s="576"/>
    </row>
    <row r="5618" spans="1:1">
      <c r="A5618" s="576"/>
    </row>
    <row r="5619" spans="1:1">
      <c r="A5619" s="576"/>
    </row>
    <row r="5620" spans="1:1">
      <c r="A5620" s="576"/>
    </row>
    <row r="5621" spans="1:1">
      <c r="A5621" s="576"/>
    </row>
    <row r="5622" spans="1:1">
      <c r="A5622" s="576"/>
    </row>
    <row r="5623" spans="1:1">
      <c r="A5623" s="576"/>
    </row>
    <row r="5624" spans="1:1">
      <c r="A5624" s="576"/>
    </row>
    <row r="5625" spans="1:1">
      <c r="A5625" s="576"/>
    </row>
    <row r="5626" spans="1:1">
      <c r="A5626" s="576"/>
    </row>
    <row r="5627" spans="1:1">
      <c r="A5627" s="576"/>
    </row>
    <row r="5628" spans="1:1">
      <c r="A5628" s="576"/>
    </row>
    <row r="5629" spans="1:1">
      <c r="A5629" s="576"/>
    </row>
    <row r="5630" spans="1:1">
      <c r="A5630" s="576"/>
    </row>
    <row r="5631" spans="1:1">
      <c r="A5631" s="576"/>
    </row>
    <row r="5632" spans="1:1">
      <c r="A5632" s="576"/>
    </row>
    <row r="5633" spans="1:1">
      <c r="A5633" s="576"/>
    </row>
    <row r="5634" spans="1:1">
      <c r="A5634" s="576"/>
    </row>
    <row r="5635" spans="1:1">
      <c r="A5635" s="576"/>
    </row>
    <row r="5636" spans="1:1">
      <c r="A5636" s="576"/>
    </row>
    <row r="5637" spans="1:1">
      <c r="A5637" s="576"/>
    </row>
    <row r="5638" spans="1:1">
      <c r="A5638" s="576"/>
    </row>
    <row r="5639" spans="1:1">
      <c r="A5639" s="576"/>
    </row>
    <row r="5640" spans="1:1">
      <c r="A5640" s="576"/>
    </row>
    <row r="5641" spans="1:1">
      <c r="A5641" s="576"/>
    </row>
    <row r="5642" spans="1:1">
      <c r="A5642" s="576"/>
    </row>
    <row r="5643" spans="1:1">
      <c r="A5643" s="576"/>
    </row>
    <row r="5644" spans="1:1">
      <c r="A5644" s="576"/>
    </row>
    <row r="5645" spans="1:1">
      <c r="A5645" s="576"/>
    </row>
    <row r="5646" spans="1:1">
      <c r="A5646" s="576"/>
    </row>
    <row r="5647" spans="1:1">
      <c r="A5647" s="576"/>
    </row>
    <row r="5648" spans="1:1">
      <c r="A5648" s="576"/>
    </row>
    <row r="5649" spans="1:1">
      <c r="A5649" s="576"/>
    </row>
    <row r="5650" spans="1:1">
      <c r="A5650" s="576"/>
    </row>
    <row r="5651" spans="1:1">
      <c r="A5651" s="576"/>
    </row>
    <row r="5652" spans="1:1">
      <c r="A5652" s="576"/>
    </row>
    <row r="5653" spans="1:1">
      <c r="A5653" s="576"/>
    </row>
    <row r="5654" spans="1:1">
      <c r="A5654" s="576"/>
    </row>
    <row r="5655" spans="1:1">
      <c r="A5655" s="576"/>
    </row>
    <row r="5656" spans="1:1">
      <c r="A5656" s="576"/>
    </row>
    <row r="5657" spans="1:1">
      <c r="A5657" s="576"/>
    </row>
    <row r="5658" spans="1:1">
      <c r="A5658" s="576"/>
    </row>
    <row r="5659" spans="1:1">
      <c r="A5659" s="576"/>
    </row>
    <row r="5660" spans="1:1">
      <c r="A5660" s="576"/>
    </row>
    <row r="5661" spans="1:1">
      <c r="A5661" s="576"/>
    </row>
    <row r="5662" spans="1:1">
      <c r="A5662" s="576"/>
    </row>
    <row r="5663" spans="1:1">
      <c r="A5663" s="576"/>
    </row>
    <row r="5664" spans="1:1">
      <c r="A5664" s="576"/>
    </row>
    <row r="5665" spans="1:1">
      <c r="A5665" s="576"/>
    </row>
    <row r="5666" spans="1:1">
      <c r="A5666" s="576"/>
    </row>
    <row r="5667" spans="1:1">
      <c r="A5667" s="576"/>
    </row>
    <row r="5668" spans="1:1">
      <c r="A5668" s="576"/>
    </row>
    <row r="5669" spans="1:1">
      <c r="A5669" s="576"/>
    </row>
    <row r="5670" spans="1:1">
      <c r="A5670" s="576"/>
    </row>
    <row r="5671" spans="1:1">
      <c r="A5671" s="576"/>
    </row>
    <row r="5672" spans="1:1">
      <c r="A5672" s="576"/>
    </row>
    <row r="5673" spans="1:1">
      <c r="A5673" s="576"/>
    </row>
    <row r="5674" spans="1:1">
      <c r="A5674" s="576"/>
    </row>
    <row r="5675" spans="1:1">
      <c r="A5675" s="576"/>
    </row>
    <row r="5676" spans="1:1">
      <c r="A5676" s="576"/>
    </row>
    <row r="5677" spans="1:1">
      <c r="A5677" s="576"/>
    </row>
    <row r="5678" spans="1:1">
      <c r="A5678" s="576"/>
    </row>
    <row r="5679" spans="1:1">
      <c r="A5679" s="576"/>
    </row>
    <row r="5680" spans="1:1">
      <c r="A5680" s="576"/>
    </row>
    <row r="5681" spans="1:1">
      <c r="A5681" s="576"/>
    </row>
    <row r="5682" spans="1:1">
      <c r="A5682" s="576"/>
    </row>
    <row r="5683" spans="1:1">
      <c r="A5683" s="576"/>
    </row>
    <row r="5684" spans="1:1">
      <c r="A5684" s="576"/>
    </row>
    <row r="5685" spans="1:1">
      <c r="A5685" s="576"/>
    </row>
    <row r="5686" spans="1:1">
      <c r="A5686" s="576"/>
    </row>
    <row r="5687" spans="1:1">
      <c r="A5687" s="576"/>
    </row>
    <row r="5688" spans="1:1">
      <c r="A5688" s="576"/>
    </row>
    <row r="5689" spans="1:1">
      <c r="A5689" s="576"/>
    </row>
    <row r="5690" spans="1:1">
      <c r="A5690" s="576"/>
    </row>
    <row r="5691" spans="1:1">
      <c r="A5691" s="576"/>
    </row>
    <row r="5692" spans="1:1">
      <c r="A5692" s="576"/>
    </row>
    <row r="5693" spans="1:1">
      <c r="A5693" s="576"/>
    </row>
    <row r="5694" spans="1:1">
      <c r="A5694" s="576"/>
    </row>
    <row r="5695" spans="1:1">
      <c r="A5695" s="576"/>
    </row>
    <row r="5696" spans="1:1">
      <c r="A5696" s="576"/>
    </row>
    <row r="5697" spans="1:1">
      <c r="A5697" s="576"/>
    </row>
    <row r="5698" spans="1:1">
      <c r="A5698" s="576"/>
    </row>
    <row r="5699" spans="1:1">
      <c r="A5699" s="576"/>
    </row>
    <row r="5700" spans="1:1">
      <c r="A5700" s="576"/>
    </row>
    <row r="5701" spans="1:1">
      <c r="A5701" s="576"/>
    </row>
    <row r="5702" spans="1:1">
      <c r="A5702" s="576"/>
    </row>
    <row r="5703" spans="1:1">
      <c r="A5703" s="576"/>
    </row>
    <row r="5704" spans="1:1">
      <c r="A5704" s="576"/>
    </row>
    <row r="5705" spans="1:1">
      <c r="A5705" s="576"/>
    </row>
    <row r="5706" spans="1:1">
      <c r="A5706" s="576"/>
    </row>
    <row r="5707" spans="1:1">
      <c r="A5707" s="576"/>
    </row>
    <row r="5708" spans="1:1">
      <c r="A5708" s="576"/>
    </row>
    <row r="5709" spans="1:1">
      <c r="A5709" s="576"/>
    </row>
    <row r="5710" spans="1:1">
      <c r="A5710" s="576"/>
    </row>
    <row r="5711" spans="1:1">
      <c r="A5711" s="576"/>
    </row>
    <row r="5712" spans="1:1">
      <c r="A5712" s="576"/>
    </row>
    <row r="5713" spans="1:1">
      <c r="A5713" s="576"/>
    </row>
    <row r="5714" spans="1:1">
      <c r="A5714" s="576"/>
    </row>
    <row r="5715" spans="1:1">
      <c r="A5715" s="576"/>
    </row>
    <row r="5716" spans="1:1">
      <c r="A5716" s="576"/>
    </row>
    <row r="5717" spans="1:1">
      <c r="A5717" s="576"/>
    </row>
    <row r="5718" spans="1:1">
      <c r="A5718" s="576"/>
    </row>
    <row r="5719" spans="1:1">
      <c r="A5719" s="576"/>
    </row>
    <row r="5720" spans="1:1">
      <c r="A5720" s="576"/>
    </row>
    <row r="5721" spans="1:1">
      <c r="A5721" s="576"/>
    </row>
    <row r="5722" spans="1:1">
      <c r="A5722" s="576"/>
    </row>
    <row r="5723" spans="1:1">
      <c r="A5723" s="576"/>
    </row>
    <row r="5724" spans="1:1">
      <c r="A5724" s="576"/>
    </row>
    <row r="5725" spans="1:1">
      <c r="A5725" s="576"/>
    </row>
    <row r="5726" spans="1:1">
      <c r="A5726" s="576"/>
    </row>
    <row r="5727" spans="1:1">
      <c r="A5727" s="576"/>
    </row>
    <row r="5728" spans="1:1">
      <c r="A5728" s="576"/>
    </row>
    <row r="5729" spans="1:1">
      <c r="A5729" s="576"/>
    </row>
    <row r="5730" spans="1:1">
      <c r="A5730" s="576"/>
    </row>
    <row r="5731" spans="1:1">
      <c r="A5731" s="576"/>
    </row>
    <row r="5732" spans="1:1">
      <c r="A5732" s="576"/>
    </row>
    <row r="5733" spans="1:1">
      <c r="A5733" s="576"/>
    </row>
    <row r="5734" spans="1:1">
      <c r="A5734" s="576"/>
    </row>
    <row r="5735" spans="1:1">
      <c r="A5735" s="576"/>
    </row>
    <row r="5736" spans="1:1">
      <c r="A5736" s="576"/>
    </row>
    <row r="5737" spans="1:1">
      <c r="A5737" s="576"/>
    </row>
    <row r="5738" spans="1:1">
      <c r="A5738" s="576"/>
    </row>
    <row r="5739" spans="1:1">
      <c r="A5739" s="576"/>
    </row>
    <row r="5740" spans="1:1">
      <c r="A5740" s="576"/>
    </row>
    <row r="5741" spans="1:1">
      <c r="A5741" s="576"/>
    </row>
    <row r="5742" spans="1:1">
      <c r="A5742" s="576"/>
    </row>
    <row r="5743" spans="1:1">
      <c r="A5743" s="576"/>
    </row>
    <row r="5744" spans="1:1">
      <c r="A5744" s="576"/>
    </row>
    <row r="5745" spans="1:1">
      <c r="A5745" s="576"/>
    </row>
    <row r="5746" spans="1:1">
      <c r="A5746" s="576"/>
    </row>
    <row r="5747" spans="1:1">
      <c r="A5747" s="576"/>
    </row>
    <row r="5748" spans="1:1">
      <c r="A5748" s="576"/>
    </row>
    <row r="5749" spans="1:1">
      <c r="A5749" s="576"/>
    </row>
    <row r="5750" spans="1:1">
      <c r="A5750" s="576"/>
    </row>
    <row r="5751" spans="1:1">
      <c r="A5751" s="576"/>
    </row>
    <row r="5752" spans="1:1">
      <c r="A5752" s="576"/>
    </row>
    <row r="5753" spans="1:1">
      <c r="A5753" s="576"/>
    </row>
    <row r="5754" spans="1:1">
      <c r="A5754" s="576"/>
    </row>
    <row r="5755" spans="1:1">
      <c r="A5755" s="576"/>
    </row>
    <row r="5756" spans="1:1">
      <c r="A5756" s="576"/>
    </row>
    <row r="5757" spans="1:1">
      <c r="A5757" s="576"/>
    </row>
    <row r="5758" spans="1:1">
      <c r="A5758" s="576"/>
    </row>
    <row r="5759" spans="1:1">
      <c r="A5759" s="576"/>
    </row>
    <row r="5760" spans="1:1">
      <c r="A5760" s="576"/>
    </row>
    <row r="5761" spans="1:1">
      <c r="A5761" s="576"/>
    </row>
    <row r="5762" spans="1:1">
      <c r="A5762" s="576"/>
    </row>
    <row r="5763" spans="1:1">
      <c r="A5763" s="576"/>
    </row>
    <row r="5764" spans="1:1">
      <c r="A5764" s="576"/>
    </row>
    <row r="5765" spans="1:1">
      <c r="A5765" s="576"/>
    </row>
    <row r="5766" spans="1:1">
      <c r="A5766" s="576"/>
    </row>
    <row r="5767" spans="1:1">
      <c r="A5767" s="576"/>
    </row>
    <row r="5768" spans="1:1">
      <c r="A5768" s="576"/>
    </row>
    <row r="5769" spans="1:1">
      <c r="A5769" s="576"/>
    </row>
    <row r="5770" spans="1:1">
      <c r="A5770" s="576"/>
    </row>
    <row r="5771" spans="1:1">
      <c r="A5771" s="576"/>
    </row>
    <row r="5772" spans="1:1">
      <c r="A5772" s="576"/>
    </row>
    <row r="5773" spans="1:1">
      <c r="A5773" s="576"/>
    </row>
    <row r="5774" spans="1:1">
      <c r="A5774" s="576"/>
    </row>
    <row r="5775" spans="1:1">
      <c r="A5775" s="576"/>
    </row>
    <row r="5776" spans="1:1">
      <c r="A5776" s="576"/>
    </row>
    <row r="5777" spans="1:1">
      <c r="A5777" s="576"/>
    </row>
    <row r="5778" spans="1:1">
      <c r="A5778" s="576"/>
    </row>
    <row r="5779" spans="1:1">
      <c r="A5779" s="576"/>
    </row>
    <row r="5780" spans="1:1">
      <c r="A5780" s="576"/>
    </row>
    <row r="5781" spans="1:1">
      <c r="A5781" s="576"/>
    </row>
    <row r="5782" spans="1:1">
      <c r="A5782" s="576"/>
    </row>
    <row r="5783" spans="1:1">
      <c r="A5783" s="576"/>
    </row>
    <row r="5784" spans="1:1">
      <c r="A5784" s="576"/>
    </row>
    <row r="5785" spans="1:1">
      <c r="A5785" s="576"/>
    </row>
    <row r="5786" spans="1:1">
      <c r="A5786" s="576"/>
    </row>
    <row r="5787" spans="1:1">
      <c r="A5787" s="576"/>
    </row>
    <row r="5788" spans="1:1">
      <c r="A5788" s="576"/>
    </row>
    <row r="5789" spans="1:1">
      <c r="A5789" s="576"/>
    </row>
    <row r="5790" spans="1:1">
      <c r="A5790" s="576"/>
    </row>
    <row r="5791" spans="1:1">
      <c r="A5791" s="576"/>
    </row>
    <row r="5792" spans="1:1">
      <c r="A5792" s="576"/>
    </row>
    <row r="5793" spans="1:1">
      <c r="A5793" s="576"/>
    </row>
    <row r="5794" spans="1:1">
      <c r="A5794" s="576"/>
    </row>
    <row r="5795" spans="1:1">
      <c r="A5795" s="576"/>
    </row>
    <row r="5796" spans="1:1">
      <c r="A5796" s="576"/>
    </row>
    <row r="5797" spans="1:1">
      <c r="A5797" s="576"/>
    </row>
    <row r="5798" spans="1:1">
      <c r="A5798" s="576"/>
    </row>
    <row r="5799" spans="1:1">
      <c r="A5799" s="576"/>
    </row>
    <row r="5800" spans="1:1">
      <c r="A5800" s="576"/>
    </row>
    <row r="5801" spans="1:1">
      <c r="A5801" s="576"/>
    </row>
    <row r="5802" spans="1:1">
      <c r="A5802" s="576"/>
    </row>
    <row r="5803" spans="1:1">
      <c r="A5803" s="576"/>
    </row>
    <row r="5804" spans="1:1">
      <c r="A5804" s="576"/>
    </row>
    <row r="5805" spans="1:1">
      <c r="A5805" s="576"/>
    </row>
    <row r="5806" spans="1:1">
      <c r="A5806" s="576"/>
    </row>
    <row r="5807" spans="1:1">
      <c r="A5807" s="576"/>
    </row>
    <row r="5808" spans="1:1">
      <c r="A5808" s="576"/>
    </row>
    <row r="5809" spans="1:1">
      <c r="A5809" s="576"/>
    </row>
    <row r="5810" spans="1:1">
      <c r="A5810" s="576"/>
    </row>
    <row r="5811" spans="1:1">
      <c r="A5811" s="576"/>
    </row>
    <row r="5812" spans="1:1">
      <c r="A5812" s="576"/>
    </row>
    <row r="5813" spans="1:1">
      <c r="A5813" s="576"/>
    </row>
    <row r="5814" spans="1:1">
      <c r="A5814" s="576"/>
    </row>
    <row r="5815" spans="1:1">
      <c r="A5815" s="576"/>
    </row>
    <row r="5816" spans="1:1">
      <c r="A5816" s="576"/>
    </row>
    <row r="5817" spans="1:1">
      <c r="A5817" s="576"/>
    </row>
    <row r="5818" spans="1:1">
      <c r="A5818" s="576"/>
    </row>
    <row r="5819" spans="1:1">
      <c r="A5819" s="576"/>
    </row>
    <row r="5820" spans="1:1">
      <c r="A5820" s="576"/>
    </row>
    <row r="5821" spans="1:1">
      <c r="A5821" s="576"/>
    </row>
    <row r="5822" spans="1:1">
      <c r="A5822" s="576"/>
    </row>
    <row r="5823" spans="1:1">
      <c r="A5823" s="576"/>
    </row>
    <row r="5824" spans="1:1">
      <c r="A5824" s="576"/>
    </row>
    <row r="5825" spans="1:1">
      <c r="A5825" s="576"/>
    </row>
    <row r="5826" spans="1:1">
      <c r="A5826" s="576"/>
    </row>
    <row r="5827" spans="1:1">
      <c r="A5827" s="576"/>
    </row>
    <row r="5828" spans="1:1">
      <c r="A5828" s="576"/>
    </row>
    <row r="5829" spans="1:1">
      <c r="A5829" s="576"/>
    </row>
    <row r="5830" spans="1:1">
      <c r="A5830" s="576"/>
    </row>
    <row r="5831" spans="1:1">
      <c r="A5831" s="576"/>
    </row>
    <row r="5832" spans="1:1">
      <c r="A5832" s="576"/>
    </row>
    <row r="5833" spans="1:1">
      <c r="A5833" s="576"/>
    </row>
    <row r="5834" spans="1:1">
      <c r="A5834" s="576"/>
    </row>
    <row r="5835" spans="1:1">
      <c r="A5835" s="576"/>
    </row>
    <row r="5836" spans="1:1">
      <c r="A5836" s="576"/>
    </row>
    <row r="5837" spans="1:1">
      <c r="A5837" s="576"/>
    </row>
    <row r="5838" spans="1:1">
      <c r="A5838" s="576"/>
    </row>
    <row r="5839" spans="1:1">
      <c r="A5839" s="576"/>
    </row>
    <row r="5840" spans="1:1">
      <c r="A5840" s="576"/>
    </row>
    <row r="5841" spans="1:1">
      <c r="A5841" s="576"/>
    </row>
    <row r="5842" spans="1:1">
      <c r="A5842" s="576"/>
    </row>
    <row r="5843" spans="1:1">
      <c r="A5843" s="576"/>
    </row>
    <row r="5844" spans="1:1">
      <c r="A5844" s="576"/>
    </row>
    <row r="5845" spans="1:1">
      <c r="A5845" s="576"/>
    </row>
    <row r="5846" spans="1:1">
      <c r="A5846" s="576"/>
    </row>
    <row r="5847" spans="1:1">
      <c r="A5847" s="576"/>
    </row>
    <row r="5848" spans="1:1">
      <c r="A5848" s="576"/>
    </row>
    <row r="5849" spans="1:1">
      <c r="A5849" s="576"/>
    </row>
    <row r="5850" spans="1:1">
      <c r="A5850" s="576"/>
    </row>
    <row r="5851" spans="1:1">
      <c r="A5851" s="576"/>
    </row>
    <row r="5852" spans="1:1">
      <c r="A5852" s="576"/>
    </row>
    <row r="5853" spans="1:1">
      <c r="A5853" s="576"/>
    </row>
    <row r="5854" spans="1:1">
      <c r="A5854" s="576"/>
    </row>
    <row r="5855" spans="1:1">
      <c r="A5855" s="576"/>
    </row>
    <row r="5856" spans="1:1">
      <c r="A5856" s="576"/>
    </row>
    <row r="5857" spans="1:1">
      <c r="A5857" s="576"/>
    </row>
    <row r="5858" spans="1:1">
      <c r="A5858" s="576"/>
    </row>
    <row r="5859" spans="1:1">
      <c r="A5859" s="576"/>
    </row>
    <row r="5860" spans="1:1">
      <c r="A5860" s="576"/>
    </row>
    <row r="5861" spans="1:1">
      <c r="A5861" s="576"/>
    </row>
    <row r="5862" spans="1:1">
      <c r="A5862" s="576"/>
    </row>
    <row r="5863" spans="1:1">
      <c r="A5863" s="576"/>
    </row>
    <row r="5864" spans="1:1">
      <c r="A5864" s="576"/>
    </row>
    <row r="5865" spans="1:1">
      <c r="A5865" s="576"/>
    </row>
    <row r="5866" spans="1:1">
      <c r="A5866" s="576"/>
    </row>
    <row r="5867" spans="1:1">
      <c r="A5867" s="576"/>
    </row>
    <row r="5868" spans="1:1">
      <c r="A5868" s="576"/>
    </row>
    <row r="5869" spans="1:1">
      <c r="A5869" s="576"/>
    </row>
    <row r="5870" spans="1:1">
      <c r="A5870" s="576"/>
    </row>
    <row r="5871" spans="1:1">
      <c r="A5871" s="576"/>
    </row>
    <row r="5872" spans="1:1">
      <c r="A5872" s="576"/>
    </row>
    <row r="5873" spans="1:1">
      <c r="A5873" s="576"/>
    </row>
    <row r="5874" spans="1:1">
      <c r="A5874" s="576"/>
    </row>
    <row r="5875" spans="1:1">
      <c r="A5875" s="576"/>
    </row>
    <row r="5876" spans="1:1">
      <c r="A5876" s="576"/>
    </row>
    <row r="5877" spans="1:1">
      <c r="A5877" s="576"/>
    </row>
    <row r="5878" spans="1:1">
      <c r="A5878" s="576"/>
    </row>
    <row r="5879" spans="1:1">
      <c r="A5879" s="576"/>
    </row>
    <row r="5880" spans="1:1">
      <c r="A5880" s="576"/>
    </row>
    <row r="5881" spans="1:1">
      <c r="A5881" s="576"/>
    </row>
    <row r="5882" spans="1:1">
      <c r="A5882" s="576"/>
    </row>
    <row r="5883" spans="1:1">
      <c r="A5883" s="576"/>
    </row>
    <row r="5884" spans="1:1">
      <c r="A5884" s="576"/>
    </row>
    <row r="5885" spans="1:1">
      <c r="A5885" s="576"/>
    </row>
    <row r="5886" spans="1:1">
      <c r="A5886" s="576"/>
    </row>
    <row r="5887" spans="1:1">
      <c r="A5887" s="576"/>
    </row>
    <row r="5888" spans="1:1">
      <c r="A5888" s="576"/>
    </row>
    <row r="5889" spans="1:1">
      <c r="A5889" s="576"/>
    </row>
    <row r="5890" spans="1:1">
      <c r="A5890" s="576"/>
    </row>
    <row r="5891" spans="1:1">
      <c r="A5891" s="576"/>
    </row>
    <row r="5892" spans="1:1">
      <c r="A5892" s="576"/>
    </row>
    <row r="5893" spans="1:1">
      <c r="A5893" s="576"/>
    </row>
    <row r="5894" spans="1:1">
      <c r="A5894" s="576"/>
    </row>
    <row r="5895" spans="1:1">
      <c r="A5895" s="576"/>
    </row>
    <row r="5896" spans="1:1">
      <c r="A5896" s="576"/>
    </row>
    <row r="5897" spans="1:1">
      <c r="A5897" s="576"/>
    </row>
    <row r="5898" spans="1:1">
      <c r="A5898" s="576"/>
    </row>
    <row r="5899" spans="1:1">
      <c r="A5899" s="576"/>
    </row>
    <row r="5900" spans="1:1">
      <c r="A5900" s="576"/>
    </row>
    <row r="5901" spans="1:1">
      <c r="A5901" s="576"/>
    </row>
    <row r="5902" spans="1:1">
      <c r="A5902" s="576"/>
    </row>
    <row r="5903" spans="1:1">
      <c r="A5903" s="576"/>
    </row>
    <row r="5904" spans="1:1">
      <c r="A5904" s="576"/>
    </row>
    <row r="5905" spans="1:1">
      <c r="A5905" s="576"/>
    </row>
    <row r="5906" spans="1:1">
      <c r="A5906" s="576"/>
    </row>
    <row r="5907" spans="1:1">
      <c r="A5907" s="576"/>
    </row>
    <row r="5908" spans="1:1">
      <c r="A5908" s="576"/>
    </row>
    <row r="5909" spans="1:1">
      <c r="A5909" s="576"/>
    </row>
    <row r="5910" spans="1:1">
      <c r="A5910" s="576"/>
    </row>
    <row r="5911" spans="1:1">
      <c r="A5911" s="576"/>
    </row>
    <row r="5912" spans="1:1">
      <c r="A5912" s="576"/>
    </row>
    <row r="5913" spans="1:1">
      <c r="A5913" s="576"/>
    </row>
    <row r="5914" spans="1:1">
      <c r="A5914" s="576"/>
    </row>
    <row r="5915" spans="1:1">
      <c r="A5915" s="576"/>
    </row>
    <row r="5916" spans="1:1">
      <c r="A5916" s="576"/>
    </row>
    <row r="5917" spans="1:1">
      <c r="A5917" s="576"/>
    </row>
    <row r="5918" spans="1:1">
      <c r="A5918" s="576"/>
    </row>
    <row r="5919" spans="1:1">
      <c r="A5919" s="576"/>
    </row>
    <row r="5920" spans="1:1">
      <c r="A5920" s="576"/>
    </row>
    <row r="5921" spans="1:1">
      <c r="A5921" s="576"/>
    </row>
    <row r="5922" spans="1:1">
      <c r="A5922" s="576"/>
    </row>
    <row r="5923" spans="1:1">
      <c r="A5923" s="576"/>
    </row>
    <row r="5924" spans="1:1">
      <c r="A5924" s="576"/>
    </row>
    <row r="5925" spans="1:1">
      <c r="A5925" s="576"/>
    </row>
    <row r="5926" spans="1:1">
      <c r="A5926" s="576"/>
    </row>
    <row r="5927" spans="1:1">
      <c r="A5927" s="576"/>
    </row>
    <row r="5928" spans="1:1">
      <c r="A5928" s="576"/>
    </row>
    <row r="5929" spans="1:1">
      <c r="A5929" s="576"/>
    </row>
    <row r="5930" spans="1:1">
      <c r="A5930" s="576"/>
    </row>
    <row r="5931" spans="1:1">
      <c r="A5931" s="576"/>
    </row>
    <row r="5932" spans="1:1">
      <c r="A5932" s="576"/>
    </row>
    <row r="5933" spans="1:1">
      <c r="A5933" s="576"/>
    </row>
    <row r="5934" spans="1:1">
      <c r="A5934" s="576"/>
    </row>
    <row r="5935" spans="1:1">
      <c r="A5935" s="576"/>
    </row>
    <row r="5936" spans="1:1">
      <c r="A5936" s="576"/>
    </row>
    <row r="5937" spans="1:1">
      <c r="A5937" s="576"/>
    </row>
    <row r="5938" spans="1:1">
      <c r="A5938" s="576"/>
    </row>
    <row r="5939" spans="1:1">
      <c r="A5939" s="576"/>
    </row>
    <row r="5940" spans="1:1">
      <c r="A5940" s="576"/>
    </row>
    <row r="5941" spans="1:1">
      <c r="A5941" s="576"/>
    </row>
    <row r="5942" spans="1:1">
      <c r="A5942" s="576"/>
    </row>
    <row r="5943" spans="1:1">
      <c r="A5943" s="576"/>
    </row>
    <row r="5944" spans="1:1">
      <c r="A5944" s="576"/>
    </row>
    <row r="5945" spans="1:1">
      <c r="A5945" s="576"/>
    </row>
    <row r="5946" spans="1:1">
      <c r="A5946" s="576"/>
    </row>
    <row r="5947" spans="1:1">
      <c r="A5947" s="576"/>
    </row>
    <row r="5948" spans="1:1">
      <c r="A5948" s="576"/>
    </row>
    <row r="5949" spans="1:1">
      <c r="A5949" s="576"/>
    </row>
    <row r="5950" spans="1:1">
      <c r="A5950" s="576"/>
    </row>
    <row r="5951" spans="1:1">
      <c r="A5951" s="576"/>
    </row>
    <row r="5952" spans="1:1">
      <c r="A5952" s="576"/>
    </row>
    <row r="5953" spans="1:1">
      <c r="A5953" s="576"/>
    </row>
    <row r="5954" spans="1:1">
      <c r="A5954" s="576"/>
    </row>
    <row r="5955" spans="1:1">
      <c r="A5955" s="576"/>
    </row>
    <row r="5956" spans="1:1">
      <c r="A5956" s="576"/>
    </row>
    <row r="5957" spans="1:1">
      <c r="A5957" s="576"/>
    </row>
    <row r="5958" spans="1:1">
      <c r="A5958" s="576"/>
    </row>
    <row r="5959" spans="1:1">
      <c r="A5959" s="576"/>
    </row>
    <row r="5960" spans="1:1">
      <c r="A5960" s="576"/>
    </row>
    <row r="5961" spans="1:1">
      <c r="A5961" s="576"/>
    </row>
    <row r="5962" spans="1:1">
      <c r="A5962" s="576"/>
    </row>
    <row r="5963" spans="1:1">
      <c r="A5963" s="576"/>
    </row>
    <row r="5964" spans="1:1">
      <c r="A5964" s="576"/>
    </row>
    <row r="5965" spans="1:1">
      <c r="A5965" s="576"/>
    </row>
    <row r="5966" spans="1:1">
      <c r="A5966" s="576"/>
    </row>
    <row r="5967" spans="1:1">
      <c r="A5967" s="576"/>
    </row>
    <row r="5968" spans="1:1">
      <c r="A5968" s="576"/>
    </row>
    <row r="5969" spans="1:1">
      <c r="A5969" s="576"/>
    </row>
    <row r="5970" spans="1:1">
      <c r="A5970" s="576"/>
    </row>
    <row r="5971" spans="1:1">
      <c r="A5971" s="576"/>
    </row>
    <row r="5972" spans="1:1">
      <c r="A5972" s="576"/>
    </row>
    <row r="5973" spans="1:1">
      <c r="A5973" s="576"/>
    </row>
    <row r="5974" spans="1:1">
      <c r="A5974" s="576"/>
    </row>
    <row r="5975" spans="1:1">
      <c r="A5975" s="576"/>
    </row>
    <row r="5976" spans="1:1">
      <c r="A5976" s="576"/>
    </row>
    <row r="5977" spans="1:1">
      <c r="A5977" s="576"/>
    </row>
    <row r="5978" spans="1:1">
      <c r="A5978" s="576"/>
    </row>
    <row r="5979" spans="1:1">
      <c r="A5979" s="576"/>
    </row>
    <row r="5980" spans="1:1">
      <c r="A5980" s="576"/>
    </row>
    <row r="5981" spans="1:1">
      <c r="A5981" s="576"/>
    </row>
    <row r="5982" spans="1:1">
      <c r="A5982" s="576"/>
    </row>
    <row r="5983" spans="1:1">
      <c r="A5983" s="576"/>
    </row>
    <row r="5984" spans="1:1">
      <c r="A5984" s="576"/>
    </row>
    <row r="5985" spans="1:1">
      <c r="A5985" s="576"/>
    </row>
    <row r="5986" spans="1:1">
      <c r="A5986" s="576"/>
    </row>
    <row r="5987" spans="1:1">
      <c r="A5987" s="576"/>
    </row>
    <row r="5988" spans="1:1">
      <c r="A5988" s="576"/>
    </row>
    <row r="5989" spans="1:1">
      <c r="A5989" s="576"/>
    </row>
    <row r="5990" spans="1:1">
      <c r="A5990" s="576"/>
    </row>
    <row r="5991" spans="1:1">
      <c r="A5991" s="576"/>
    </row>
    <row r="5992" spans="1:1">
      <c r="A5992" s="576"/>
    </row>
    <row r="5993" spans="1:1">
      <c r="A5993" s="576"/>
    </row>
    <row r="5994" spans="1:1">
      <c r="A5994" s="576"/>
    </row>
    <row r="5995" spans="1:1">
      <c r="A5995" s="576"/>
    </row>
    <row r="5996" spans="1:1">
      <c r="A5996" s="576"/>
    </row>
    <row r="5997" spans="1:1">
      <c r="A5997" s="576"/>
    </row>
    <row r="5998" spans="1:1">
      <c r="A5998" s="576"/>
    </row>
    <row r="5999" spans="1:1">
      <c r="A5999" s="576"/>
    </row>
    <row r="6000" spans="1:1">
      <c r="A6000" s="576"/>
    </row>
    <row r="6001" spans="1:1">
      <c r="A6001" s="576"/>
    </row>
    <row r="6002" spans="1:1">
      <c r="A6002" s="576"/>
    </row>
    <row r="6003" spans="1:1">
      <c r="A6003" s="576"/>
    </row>
    <row r="6004" spans="1:1">
      <c r="A6004" s="576"/>
    </row>
    <row r="6005" spans="1:1">
      <c r="A6005" s="576"/>
    </row>
    <row r="6006" spans="1:1">
      <c r="A6006" s="576"/>
    </row>
    <row r="6007" spans="1:1">
      <c r="A6007" s="576"/>
    </row>
    <row r="6008" spans="1:1">
      <c r="A6008" s="576"/>
    </row>
    <row r="6009" spans="1:1">
      <c r="A6009" s="576"/>
    </row>
    <row r="6010" spans="1:1">
      <c r="A6010" s="576"/>
    </row>
    <row r="6011" spans="1:1">
      <c r="A6011" s="576"/>
    </row>
    <row r="6012" spans="1:1">
      <c r="A6012" s="576"/>
    </row>
    <row r="6013" spans="1:1">
      <c r="A6013" s="576"/>
    </row>
    <row r="6014" spans="1:1">
      <c r="A6014" s="576"/>
    </row>
    <row r="6015" spans="1:1">
      <c r="A6015" s="576"/>
    </row>
    <row r="6016" spans="1:1">
      <c r="A6016" s="576"/>
    </row>
    <row r="6017" spans="1:1">
      <c r="A6017" s="576"/>
    </row>
    <row r="6018" spans="1:1">
      <c r="A6018" s="576"/>
    </row>
    <row r="6019" spans="1:1">
      <c r="A6019" s="576"/>
    </row>
    <row r="6020" spans="1:1">
      <c r="A6020" s="576"/>
    </row>
    <row r="6021" spans="1:1">
      <c r="A6021" s="576"/>
    </row>
    <row r="6022" spans="1:1">
      <c r="A6022" s="576"/>
    </row>
    <row r="6023" spans="1:1">
      <c r="A6023" s="576"/>
    </row>
    <row r="6024" spans="1:1">
      <c r="A6024" s="576"/>
    </row>
    <row r="6025" spans="1:1">
      <c r="A6025" s="576"/>
    </row>
    <row r="6026" spans="1:1">
      <c r="A6026" s="576"/>
    </row>
    <row r="6027" spans="1:1">
      <c r="A6027" s="576"/>
    </row>
    <row r="6028" spans="1:1">
      <c r="A6028" s="576"/>
    </row>
    <row r="6029" spans="1:1">
      <c r="A6029" s="576"/>
    </row>
    <row r="6030" spans="1:1">
      <c r="A6030" s="576"/>
    </row>
    <row r="6031" spans="1:1">
      <c r="A6031" s="576"/>
    </row>
    <row r="6032" spans="1:1">
      <c r="A6032" s="576"/>
    </row>
    <row r="6033" spans="1:1">
      <c r="A6033" s="576"/>
    </row>
    <row r="6034" spans="1:1">
      <c r="A6034" s="576"/>
    </row>
    <row r="6035" spans="1:1">
      <c r="A6035" s="576"/>
    </row>
    <row r="6036" spans="1:1">
      <c r="A6036" s="576"/>
    </row>
    <row r="6037" spans="1:1">
      <c r="A6037" s="576"/>
    </row>
    <row r="6038" spans="1:1">
      <c r="A6038" s="576"/>
    </row>
    <row r="6039" spans="1:1">
      <c r="A6039" s="576"/>
    </row>
    <row r="6040" spans="1:1">
      <c r="A6040" s="576"/>
    </row>
    <row r="6041" spans="1:1">
      <c r="A6041" s="576"/>
    </row>
    <row r="6042" spans="1:1">
      <c r="A6042" s="576"/>
    </row>
    <row r="6043" spans="1:1">
      <c r="A6043" s="576"/>
    </row>
    <row r="6044" spans="1:1">
      <c r="A6044" s="576"/>
    </row>
    <row r="6045" spans="1:1">
      <c r="A6045" s="576"/>
    </row>
    <row r="6046" spans="1:1">
      <c r="A6046" s="576"/>
    </row>
    <row r="6047" spans="1:1">
      <c r="A6047" s="576"/>
    </row>
    <row r="6048" spans="1:1">
      <c r="A6048" s="576"/>
    </row>
    <row r="6049" spans="1:1">
      <c r="A6049" s="576"/>
    </row>
    <row r="6050" spans="1:1">
      <c r="A6050" s="576"/>
    </row>
    <row r="6051" spans="1:1">
      <c r="A6051" s="576"/>
    </row>
    <row r="6052" spans="1:1">
      <c r="A6052" s="576"/>
    </row>
    <row r="6053" spans="1:1">
      <c r="A6053" s="576"/>
    </row>
    <row r="6054" spans="1:1">
      <c r="A6054" s="576"/>
    </row>
    <row r="6055" spans="1:1">
      <c r="A6055" s="576"/>
    </row>
    <row r="6056" spans="1:1">
      <c r="A6056" s="576"/>
    </row>
    <row r="6057" spans="1:1">
      <c r="A6057" s="576"/>
    </row>
    <row r="6058" spans="1:1">
      <c r="A6058" s="576"/>
    </row>
    <row r="6059" spans="1:1">
      <c r="A6059" s="576"/>
    </row>
    <row r="6060" spans="1:1">
      <c r="A6060" s="576"/>
    </row>
    <row r="6061" spans="1:1">
      <c r="A6061" s="576"/>
    </row>
    <row r="6062" spans="1:1">
      <c r="A6062" s="576"/>
    </row>
    <row r="6063" spans="1:1">
      <c r="A6063" s="576"/>
    </row>
    <row r="6064" spans="1:1">
      <c r="A6064" s="576"/>
    </row>
    <row r="6065" spans="1:1">
      <c r="A6065" s="576"/>
    </row>
    <row r="6066" spans="1:1">
      <c r="A6066" s="576"/>
    </row>
    <row r="6067" spans="1:1">
      <c r="A6067" s="576"/>
    </row>
    <row r="6068" spans="1:1">
      <c r="A6068" s="576"/>
    </row>
    <row r="6069" spans="1:1">
      <c r="A6069" s="576"/>
    </row>
    <row r="6070" spans="1:1">
      <c r="A6070" s="576"/>
    </row>
    <row r="6071" spans="1:1">
      <c r="A6071" s="576"/>
    </row>
    <row r="6072" spans="1:1">
      <c r="A6072" s="576"/>
    </row>
    <row r="6073" spans="1:1">
      <c r="A6073" s="576"/>
    </row>
    <row r="6074" spans="1:1">
      <c r="A6074" s="576"/>
    </row>
    <row r="6075" spans="1:1">
      <c r="A6075" s="576"/>
    </row>
    <row r="6076" spans="1:1">
      <c r="A6076" s="576"/>
    </row>
    <row r="6077" spans="1:1">
      <c r="A6077" s="576"/>
    </row>
    <row r="6078" spans="1:1">
      <c r="A6078" s="576"/>
    </row>
    <row r="6079" spans="1:1">
      <c r="A6079" s="576"/>
    </row>
    <row r="6080" spans="1:1">
      <c r="A6080" s="576"/>
    </row>
    <row r="6081" spans="1:1">
      <c r="A6081" s="576"/>
    </row>
    <row r="6082" spans="1:1">
      <c r="A6082" s="576"/>
    </row>
    <row r="6083" spans="1:1">
      <c r="A6083" s="576"/>
    </row>
    <row r="6084" spans="1:1">
      <c r="A6084" s="576"/>
    </row>
    <row r="6085" spans="1:1">
      <c r="A6085" s="576"/>
    </row>
    <row r="6086" spans="1:1">
      <c r="A6086" s="576"/>
    </row>
    <row r="6087" spans="1:1">
      <c r="A6087" s="576"/>
    </row>
    <row r="6088" spans="1:1">
      <c r="A6088" s="576"/>
    </row>
    <row r="6089" spans="1:1">
      <c r="A6089" s="576"/>
    </row>
    <row r="6090" spans="1:1">
      <c r="A6090" s="576"/>
    </row>
    <row r="6091" spans="1:1">
      <c r="A6091" s="576"/>
    </row>
    <row r="6092" spans="1:1">
      <c r="A6092" s="576"/>
    </row>
    <row r="6093" spans="1:1">
      <c r="A6093" s="576"/>
    </row>
    <row r="6094" spans="1:1">
      <c r="A6094" s="576"/>
    </row>
    <row r="6095" spans="1:1">
      <c r="A6095" s="576"/>
    </row>
    <row r="6096" spans="1:1">
      <c r="A6096" s="576"/>
    </row>
    <row r="6097" spans="1:1">
      <c r="A6097" s="576"/>
    </row>
    <row r="6098" spans="1:1">
      <c r="A6098" s="576"/>
    </row>
    <row r="6099" spans="1:1">
      <c r="A6099" s="576"/>
    </row>
    <row r="6100" spans="1:1">
      <c r="A6100" s="576"/>
    </row>
    <row r="6101" spans="1:1">
      <c r="A6101" s="576"/>
    </row>
    <row r="6102" spans="1:1">
      <c r="A6102" s="576"/>
    </row>
    <row r="6103" spans="1:1">
      <c r="A6103" s="576"/>
    </row>
    <row r="6104" spans="1:1">
      <c r="A6104" s="576"/>
    </row>
    <row r="6105" spans="1:1">
      <c r="A6105" s="576"/>
    </row>
    <row r="6106" spans="1:1">
      <c r="A6106" s="576"/>
    </row>
    <row r="6107" spans="1:1">
      <c r="A6107" s="576"/>
    </row>
    <row r="6108" spans="1:1">
      <c r="A6108" s="576"/>
    </row>
    <row r="6109" spans="1:1">
      <c r="A6109" s="576"/>
    </row>
    <row r="6110" spans="1:1">
      <c r="A6110" s="576"/>
    </row>
    <row r="6111" spans="1:1">
      <c r="A6111" s="576"/>
    </row>
    <row r="6112" spans="1:1">
      <c r="A6112" s="576"/>
    </row>
    <row r="6113" spans="1:1">
      <c r="A6113" s="576"/>
    </row>
    <row r="6114" spans="1:1">
      <c r="A6114" s="576"/>
    </row>
    <row r="6115" spans="1:1">
      <c r="A6115" s="576"/>
    </row>
    <row r="6116" spans="1:1">
      <c r="A6116" s="576"/>
    </row>
    <row r="6117" spans="1:1">
      <c r="A6117" s="576"/>
    </row>
    <row r="6118" spans="1:1">
      <c r="A6118" s="576"/>
    </row>
    <row r="6119" spans="1:1">
      <c r="A6119" s="576"/>
    </row>
    <row r="6120" spans="1:1">
      <c r="A6120" s="576"/>
    </row>
    <row r="6121" spans="1:1">
      <c r="A6121" s="576"/>
    </row>
    <row r="6122" spans="1:1">
      <c r="A6122" s="576"/>
    </row>
    <row r="6123" spans="1:1">
      <c r="A6123" s="576"/>
    </row>
    <row r="6124" spans="1:1">
      <c r="A6124" s="576"/>
    </row>
    <row r="6125" spans="1:1">
      <c r="A6125" s="576"/>
    </row>
    <row r="6126" spans="1:1">
      <c r="A6126" s="576"/>
    </row>
    <row r="6127" spans="1:1">
      <c r="A6127" s="576"/>
    </row>
    <row r="6128" spans="1:1">
      <c r="A6128" s="576"/>
    </row>
    <row r="6129" spans="1:1">
      <c r="A6129" s="576"/>
    </row>
    <row r="6130" spans="1:1">
      <c r="A6130" s="576"/>
    </row>
    <row r="6131" spans="1:1">
      <c r="A6131" s="576"/>
    </row>
    <row r="6132" spans="1:1">
      <c r="A6132" s="576"/>
    </row>
    <row r="6133" spans="1:1">
      <c r="A6133" s="576"/>
    </row>
    <row r="6134" spans="1:1">
      <c r="A6134" s="576"/>
    </row>
    <row r="6135" spans="1:1">
      <c r="A6135" s="576"/>
    </row>
    <row r="6136" spans="1:1">
      <c r="A6136" s="576"/>
    </row>
    <row r="6137" spans="1:1">
      <c r="A6137" s="576"/>
    </row>
    <row r="6138" spans="1:1">
      <c r="A6138" s="576"/>
    </row>
    <row r="6139" spans="1:1">
      <c r="A6139" s="576"/>
    </row>
    <row r="6140" spans="1:1">
      <c r="A6140" s="576"/>
    </row>
    <row r="6141" spans="1:1">
      <c r="A6141" s="576"/>
    </row>
    <row r="6142" spans="1:1">
      <c r="A6142" s="576"/>
    </row>
    <row r="6143" spans="1:1">
      <c r="A6143" s="576"/>
    </row>
    <row r="6144" spans="1:1">
      <c r="A6144" s="576"/>
    </row>
    <row r="6145" spans="1:1">
      <c r="A6145" s="576"/>
    </row>
    <row r="6146" spans="1:1">
      <c r="A6146" s="576"/>
    </row>
    <row r="6147" spans="1:1">
      <c r="A6147" s="576"/>
    </row>
    <row r="6148" spans="1:1">
      <c r="A6148" s="576"/>
    </row>
    <row r="6149" spans="1:1">
      <c r="A6149" s="576"/>
    </row>
    <row r="6150" spans="1:1">
      <c r="A6150" s="576"/>
    </row>
    <row r="6151" spans="1:1">
      <c r="A6151" s="576"/>
    </row>
    <row r="6152" spans="1:1">
      <c r="A6152" s="576"/>
    </row>
    <row r="6153" spans="1:1">
      <c r="A6153" s="576"/>
    </row>
    <row r="6154" spans="1:1">
      <c r="A6154" s="576"/>
    </row>
    <row r="6155" spans="1:1">
      <c r="A6155" s="576"/>
    </row>
    <row r="6156" spans="1:1">
      <c r="A6156" s="576"/>
    </row>
    <row r="6157" spans="1:1">
      <c r="A6157" s="576"/>
    </row>
    <row r="6158" spans="1:1">
      <c r="A6158" s="576"/>
    </row>
    <row r="6159" spans="1:1">
      <c r="A6159" s="576"/>
    </row>
    <row r="6160" spans="1:1">
      <c r="A6160" s="576"/>
    </row>
    <row r="6161" spans="1:1">
      <c r="A6161" s="576"/>
    </row>
    <row r="6162" spans="1:1">
      <c r="A6162" s="576"/>
    </row>
    <row r="6163" spans="1:1">
      <c r="A6163" s="576"/>
    </row>
    <row r="6164" spans="1:1">
      <c r="A6164" s="576"/>
    </row>
    <row r="6165" spans="1:1">
      <c r="A6165" s="576"/>
    </row>
    <row r="6166" spans="1:1">
      <c r="A6166" s="576"/>
    </row>
    <row r="6167" spans="1:1">
      <c r="A6167" s="576"/>
    </row>
    <row r="6168" spans="1:1">
      <c r="A6168" s="576"/>
    </row>
    <row r="6169" spans="1:1">
      <c r="A6169" s="576"/>
    </row>
    <row r="6170" spans="1:1">
      <c r="A6170" s="576"/>
    </row>
    <row r="6171" spans="1:1">
      <c r="A6171" s="576"/>
    </row>
    <row r="6172" spans="1:1">
      <c r="A6172" s="576"/>
    </row>
    <row r="6173" spans="1:1">
      <c r="A6173" s="576"/>
    </row>
    <row r="6174" spans="1:1">
      <c r="A6174" s="576"/>
    </row>
    <row r="6175" spans="1:1">
      <c r="A6175" s="576"/>
    </row>
    <row r="6176" spans="1:1">
      <c r="A6176" s="576"/>
    </row>
    <row r="6177" spans="1:1">
      <c r="A6177" s="576"/>
    </row>
    <row r="6178" spans="1:1">
      <c r="A6178" s="576"/>
    </row>
    <row r="6179" spans="1:1">
      <c r="A6179" s="576"/>
    </row>
    <row r="6180" spans="1:1">
      <c r="A6180" s="576"/>
    </row>
    <row r="6181" spans="1:1">
      <c r="A6181" s="576"/>
    </row>
    <row r="6182" spans="1:1">
      <c r="A6182" s="576"/>
    </row>
    <row r="6183" spans="1:1">
      <c r="A6183" s="576"/>
    </row>
    <row r="6184" spans="1:1">
      <c r="A6184" s="576"/>
    </row>
    <row r="6185" spans="1:1">
      <c r="A6185" s="576"/>
    </row>
    <row r="6186" spans="1:1">
      <c r="A6186" s="576"/>
    </row>
    <row r="6187" spans="1:1">
      <c r="A6187" s="576"/>
    </row>
    <row r="6188" spans="1:1">
      <c r="A6188" s="576"/>
    </row>
    <row r="6189" spans="1:1">
      <c r="A6189" s="576"/>
    </row>
    <row r="6190" spans="1:1">
      <c r="A6190" s="576"/>
    </row>
    <row r="6191" spans="1:1">
      <c r="A6191" s="576"/>
    </row>
    <row r="6192" spans="1:1">
      <c r="A6192" s="576"/>
    </row>
    <row r="6193" spans="1:1">
      <c r="A6193" s="576"/>
    </row>
    <row r="6194" spans="1:1">
      <c r="A6194" s="576"/>
    </row>
    <row r="6195" spans="1:1">
      <c r="A6195" s="576"/>
    </row>
    <row r="6196" spans="1:1">
      <c r="A6196" s="576"/>
    </row>
    <row r="6197" spans="1:1">
      <c r="A6197" s="576"/>
    </row>
    <row r="6198" spans="1:1">
      <c r="A6198" s="576"/>
    </row>
    <row r="6199" spans="1:1">
      <c r="A6199" s="576"/>
    </row>
    <row r="6200" spans="1:1">
      <c r="A6200" s="576"/>
    </row>
    <row r="6201" spans="1:1">
      <c r="A6201" s="576"/>
    </row>
    <row r="6202" spans="1:1">
      <c r="A6202" s="576"/>
    </row>
    <row r="6203" spans="1:1">
      <c r="A6203" s="576"/>
    </row>
    <row r="6204" spans="1:1">
      <c r="A6204" s="576"/>
    </row>
    <row r="6205" spans="1:1">
      <c r="A6205" s="576"/>
    </row>
    <row r="6206" spans="1:1">
      <c r="A6206" s="576"/>
    </row>
    <row r="6207" spans="1:1">
      <c r="A6207" s="576"/>
    </row>
    <row r="6208" spans="1:1">
      <c r="A6208" s="576"/>
    </row>
    <row r="6209" spans="1:1">
      <c r="A6209" s="576"/>
    </row>
    <row r="6210" spans="1:1">
      <c r="A6210" s="576"/>
    </row>
    <row r="6211" spans="1:1">
      <c r="A6211" s="576"/>
    </row>
    <row r="6212" spans="1:1">
      <c r="A6212" s="576"/>
    </row>
    <row r="6213" spans="1:1">
      <c r="A6213" s="576"/>
    </row>
    <row r="6214" spans="1:1">
      <c r="A6214" s="576"/>
    </row>
    <row r="6215" spans="1:1">
      <c r="A6215" s="576"/>
    </row>
    <row r="6216" spans="1:1">
      <c r="A6216" s="576"/>
    </row>
    <row r="6217" spans="1:1">
      <c r="A6217" s="576"/>
    </row>
    <row r="6218" spans="1:1">
      <c r="A6218" s="576"/>
    </row>
    <row r="6219" spans="1:1">
      <c r="A6219" s="576"/>
    </row>
    <row r="6220" spans="1:1">
      <c r="A6220" s="576"/>
    </row>
    <row r="6221" spans="1:1">
      <c r="A6221" s="576"/>
    </row>
    <row r="6222" spans="1:1">
      <c r="A6222" s="576"/>
    </row>
    <row r="6223" spans="1:1">
      <c r="A6223" s="576"/>
    </row>
    <row r="6224" spans="1:1">
      <c r="A6224" s="576"/>
    </row>
    <row r="6225" spans="1:1">
      <c r="A6225" s="576"/>
    </row>
    <row r="6226" spans="1:1">
      <c r="A6226" s="576"/>
    </row>
    <row r="6227" spans="1:1">
      <c r="A6227" s="576"/>
    </row>
    <row r="6228" spans="1:1">
      <c r="A6228" s="576"/>
    </row>
    <row r="6229" spans="1:1">
      <c r="A6229" s="576"/>
    </row>
    <row r="6230" spans="1:1">
      <c r="A6230" s="576"/>
    </row>
    <row r="6231" spans="1:1">
      <c r="A6231" s="576"/>
    </row>
    <row r="6232" spans="1:1">
      <c r="A6232" s="576"/>
    </row>
    <row r="6233" spans="1:1">
      <c r="A6233" s="576"/>
    </row>
    <row r="6234" spans="1:1">
      <c r="A6234" s="576"/>
    </row>
    <row r="6235" spans="1:1">
      <c r="A6235" s="576"/>
    </row>
    <row r="6236" spans="1:1">
      <c r="A6236" s="576"/>
    </row>
    <row r="6237" spans="1:1">
      <c r="A6237" s="576"/>
    </row>
    <row r="6238" spans="1:1">
      <c r="A6238" s="576"/>
    </row>
    <row r="6239" spans="1:1">
      <c r="A6239" s="576"/>
    </row>
    <row r="6240" spans="1:1">
      <c r="A6240" s="576"/>
    </row>
    <row r="6241" spans="1:1">
      <c r="A6241" s="576"/>
    </row>
    <row r="6242" spans="1:1">
      <c r="A6242" s="576"/>
    </row>
    <row r="6243" spans="1:1">
      <c r="A6243" s="576"/>
    </row>
    <row r="6244" spans="1:1">
      <c r="A6244" s="576"/>
    </row>
    <row r="6245" spans="1:1">
      <c r="A6245" s="576"/>
    </row>
    <row r="6246" spans="1:1">
      <c r="A6246" s="576"/>
    </row>
    <row r="6247" spans="1:1">
      <c r="A6247" s="576"/>
    </row>
    <row r="6248" spans="1:1">
      <c r="A6248" s="576"/>
    </row>
    <row r="6249" spans="1:1">
      <c r="A6249" s="576"/>
    </row>
    <row r="6250" spans="1:1">
      <c r="A6250" s="576"/>
    </row>
    <row r="6251" spans="1:1">
      <c r="A6251" s="576"/>
    </row>
    <row r="6252" spans="1:1">
      <c r="A6252" s="576"/>
    </row>
    <row r="6253" spans="1:1">
      <c r="A6253" s="576"/>
    </row>
    <row r="6254" spans="1:1">
      <c r="A6254" s="576"/>
    </row>
    <row r="6255" spans="1:1">
      <c r="A6255" s="576"/>
    </row>
    <row r="6256" spans="1:1">
      <c r="A6256" s="576"/>
    </row>
    <row r="6257" spans="1:1">
      <c r="A6257" s="576"/>
    </row>
    <row r="6258" spans="1:1">
      <c r="A6258" s="576"/>
    </row>
    <row r="6259" spans="1:1">
      <c r="A6259" s="576"/>
    </row>
    <row r="6260" spans="1:1">
      <c r="A6260" s="576"/>
    </row>
    <row r="6261" spans="1:1">
      <c r="A6261" s="576"/>
    </row>
    <row r="6262" spans="1:1">
      <c r="A6262" s="576"/>
    </row>
    <row r="6263" spans="1:1">
      <c r="A6263" s="576"/>
    </row>
    <row r="6264" spans="1:1">
      <c r="A6264" s="576"/>
    </row>
    <row r="6265" spans="1:1">
      <c r="A6265" s="576"/>
    </row>
    <row r="6266" spans="1:1">
      <c r="A6266" s="576"/>
    </row>
    <row r="6267" spans="1:1">
      <c r="A6267" s="576"/>
    </row>
    <row r="6268" spans="1:1">
      <c r="A6268" s="576"/>
    </row>
    <row r="6269" spans="1:1">
      <c r="A6269" s="576"/>
    </row>
    <row r="6270" spans="1:1">
      <c r="A6270" s="576"/>
    </row>
    <row r="6271" spans="1:1">
      <c r="A6271" s="576"/>
    </row>
    <row r="6272" spans="1:1">
      <c r="A6272" s="576"/>
    </row>
    <row r="6273" spans="1:1">
      <c r="A6273" s="576"/>
    </row>
    <row r="6274" spans="1:1">
      <c r="A6274" s="576"/>
    </row>
    <row r="6275" spans="1:1">
      <c r="A6275" s="576"/>
    </row>
    <row r="6276" spans="1:1">
      <c r="A6276" s="576"/>
    </row>
    <row r="6277" spans="1:1">
      <c r="A6277" s="576"/>
    </row>
    <row r="6278" spans="1:1">
      <c r="A6278" s="576"/>
    </row>
    <row r="6279" spans="1:1">
      <c r="A6279" s="576"/>
    </row>
    <row r="6280" spans="1:1">
      <c r="A6280" s="576"/>
    </row>
    <row r="6281" spans="1:1">
      <c r="A6281" s="576"/>
    </row>
    <row r="6282" spans="1:1">
      <c r="A6282" s="576"/>
    </row>
    <row r="6283" spans="1:1">
      <c r="A6283" s="576"/>
    </row>
    <row r="6284" spans="1:1">
      <c r="A6284" s="576"/>
    </row>
    <row r="6285" spans="1:1">
      <c r="A6285" s="576"/>
    </row>
    <row r="6286" spans="1:1">
      <c r="A6286" s="576"/>
    </row>
    <row r="6287" spans="1:1">
      <c r="A6287" s="576"/>
    </row>
    <row r="6288" spans="1:1">
      <c r="A6288" s="576"/>
    </row>
    <row r="6289" spans="1:1">
      <c r="A6289" s="576"/>
    </row>
    <row r="6290" spans="1:1">
      <c r="A6290" s="576"/>
    </row>
    <row r="6291" spans="1:1">
      <c r="A6291" s="576"/>
    </row>
    <row r="6292" spans="1:1">
      <c r="A6292" s="576"/>
    </row>
    <row r="6293" spans="1:1">
      <c r="A6293" s="576"/>
    </row>
    <row r="6294" spans="1:1">
      <c r="A6294" s="576"/>
    </row>
    <row r="6295" spans="1:1">
      <c r="A6295" s="576"/>
    </row>
    <row r="6296" spans="1:1">
      <c r="A6296" s="576"/>
    </row>
    <row r="6297" spans="1:1">
      <c r="A6297" s="576"/>
    </row>
    <row r="6298" spans="1:1">
      <c r="A6298" s="576"/>
    </row>
    <row r="6299" spans="1:1">
      <c r="A6299" s="576"/>
    </row>
    <row r="6300" spans="1:1">
      <c r="A6300" s="576"/>
    </row>
    <row r="6301" spans="1:1">
      <c r="A6301" s="576"/>
    </row>
    <row r="6302" spans="1:1">
      <c r="A6302" s="576"/>
    </row>
    <row r="6303" spans="1:1">
      <c r="A6303" s="576"/>
    </row>
    <row r="6304" spans="1:1">
      <c r="A6304" s="576"/>
    </row>
    <row r="6305" spans="1:1">
      <c r="A6305" s="576"/>
    </row>
    <row r="6306" spans="1:1">
      <c r="A6306" s="576"/>
    </row>
    <row r="6307" spans="1:1">
      <c r="A6307" s="576"/>
    </row>
    <row r="6308" spans="1:1">
      <c r="A6308" s="576"/>
    </row>
    <row r="6309" spans="1:1">
      <c r="A6309" s="576"/>
    </row>
    <row r="6310" spans="1:1">
      <c r="A6310" s="576"/>
    </row>
    <row r="6311" spans="1:1">
      <c r="A6311" s="576"/>
    </row>
    <row r="6312" spans="1:1">
      <c r="A6312" s="576"/>
    </row>
    <row r="6313" spans="1:1">
      <c r="A6313" s="576"/>
    </row>
    <row r="6314" spans="1:1">
      <c r="A6314" s="576"/>
    </row>
    <row r="6315" spans="1:1">
      <c r="A6315" s="576"/>
    </row>
    <row r="6316" spans="1:1">
      <c r="A6316" s="576"/>
    </row>
    <row r="6317" spans="1:1">
      <c r="A6317" s="576"/>
    </row>
    <row r="6318" spans="1:1">
      <c r="A6318" s="576"/>
    </row>
    <row r="6319" spans="1:1">
      <c r="A6319" s="576"/>
    </row>
    <row r="6320" spans="1:1">
      <c r="A6320" s="576"/>
    </row>
    <row r="6321" spans="1:1">
      <c r="A6321" s="576"/>
    </row>
    <row r="6322" spans="1:1">
      <c r="A6322" s="576"/>
    </row>
    <row r="6323" spans="1:1">
      <c r="A6323" s="576"/>
    </row>
    <row r="6324" spans="1:1">
      <c r="A6324" s="576"/>
    </row>
    <row r="6325" spans="1:1">
      <c r="A6325" s="576"/>
    </row>
    <row r="6326" spans="1:1">
      <c r="A6326" s="576"/>
    </row>
    <row r="6327" spans="1:1">
      <c r="A6327" s="576"/>
    </row>
    <row r="6328" spans="1:1">
      <c r="A6328" s="576"/>
    </row>
    <row r="6329" spans="1:1">
      <c r="A6329" s="576"/>
    </row>
    <row r="6330" spans="1:1">
      <c r="A6330" s="576"/>
    </row>
    <row r="6331" spans="1:1">
      <c r="A6331" s="576"/>
    </row>
    <row r="6332" spans="1:1">
      <c r="A6332" s="576"/>
    </row>
    <row r="6333" spans="1:1">
      <c r="A6333" s="576"/>
    </row>
    <row r="6334" spans="1:1">
      <c r="A6334" s="576"/>
    </row>
    <row r="6335" spans="1:1">
      <c r="A6335" s="576"/>
    </row>
    <row r="6336" spans="1:1">
      <c r="A6336" s="576"/>
    </row>
    <row r="6337" spans="1:1">
      <c r="A6337" s="576"/>
    </row>
    <row r="6338" spans="1:1">
      <c r="A6338" s="576"/>
    </row>
    <row r="6339" spans="1:1">
      <c r="A6339" s="576"/>
    </row>
    <row r="6340" spans="1:1">
      <c r="A6340" s="576"/>
    </row>
    <row r="6341" spans="1:1">
      <c r="A6341" s="576"/>
    </row>
    <row r="6342" spans="1:1">
      <c r="A6342" s="576"/>
    </row>
    <row r="6343" spans="1:1">
      <c r="A6343" s="576"/>
    </row>
    <row r="6344" spans="1:1">
      <c r="A6344" s="576"/>
    </row>
    <row r="6345" spans="1:1">
      <c r="A6345" s="576"/>
    </row>
    <row r="6346" spans="1:1">
      <c r="A6346" s="576"/>
    </row>
    <row r="6347" spans="1:1">
      <c r="A6347" s="576"/>
    </row>
    <row r="6348" spans="1:1">
      <c r="A6348" s="576"/>
    </row>
    <row r="6349" spans="1:1">
      <c r="A6349" s="576"/>
    </row>
    <row r="6350" spans="1:1">
      <c r="A6350" s="576"/>
    </row>
    <row r="6351" spans="1:1">
      <c r="A6351" s="576"/>
    </row>
    <row r="6352" spans="1:1">
      <c r="A6352" s="576"/>
    </row>
    <row r="6353" spans="1:1">
      <c r="A6353" s="576"/>
    </row>
    <row r="6354" spans="1:1">
      <c r="A6354" s="576"/>
    </row>
    <row r="6355" spans="1:1">
      <c r="A6355" s="576"/>
    </row>
    <row r="6356" spans="1:1">
      <c r="A6356" s="576"/>
    </row>
    <row r="6357" spans="1:1">
      <c r="A6357" s="576"/>
    </row>
    <row r="6358" spans="1:1">
      <c r="A6358" s="576"/>
    </row>
    <row r="6359" spans="1:1">
      <c r="A6359" s="576"/>
    </row>
    <row r="6360" spans="1:1">
      <c r="A6360" s="576"/>
    </row>
    <row r="6361" spans="1:1">
      <c r="A6361" s="576"/>
    </row>
    <row r="6362" spans="1:1">
      <c r="A6362" s="576"/>
    </row>
    <row r="6363" spans="1:1">
      <c r="A6363" s="576"/>
    </row>
    <row r="6364" spans="1:1">
      <c r="A6364" s="576"/>
    </row>
    <row r="6365" spans="1:1">
      <c r="A6365" s="576"/>
    </row>
    <row r="6366" spans="1:1">
      <c r="A6366" s="576"/>
    </row>
    <row r="6367" spans="1:1">
      <c r="A6367" s="576"/>
    </row>
    <row r="6368" spans="1:1">
      <c r="A6368" s="576"/>
    </row>
    <row r="6369" spans="1:1">
      <c r="A6369" s="576"/>
    </row>
    <row r="6370" spans="1:1">
      <c r="A6370" s="576"/>
    </row>
    <row r="6371" spans="1:1">
      <c r="A6371" s="576"/>
    </row>
    <row r="6372" spans="1:1">
      <c r="A6372" s="576"/>
    </row>
    <row r="6373" spans="1:1">
      <c r="A6373" s="576"/>
    </row>
    <row r="6374" spans="1:1">
      <c r="A6374" s="576"/>
    </row>
    <row r="6375" spans="1:1">
      <c r="A6375" s="576"/>
    </row>
    <row r="6376" spans="1:1">
      <c r="A6376" s="576"/>
    </row>
    <row r="6377" spans="1:1">
      <c r="A6377" s="576"/>
    </row>
    <row r="6378" spans="1:1">
      <c r="A6378" s="576"/>
    </row>
    <row r="6379" spans="1:1">
      <c r="A6379" s="576"/>
    </row>
    <row r="6380" spans="1:1">
      <c r="A6380" s="576"/>
    </row>
    <row r="6381" spans="1:1">
      <c r="A6381" s="576"/>
    </row>
    <row r="6382" spans="1:1">
      <c r="A6382" s="576"/>
    </row>
    <row r="6383" spans="1:1">
      <c r="A6383" s="576"/>
    </row>
    <row r="6384" spans="1:1">
      <c r="A6384" s="576"/>
    </row>
    <row r="6385" spans="1:1">
      <c r="A6385" s="576"/>
    </row>
    <row r="6386" spans="1:1">
      <c r="A6386" s="576"/>
    </row>
    <row r="6387" spans="1:1">
      <c r="A6387" s="576"/>
    </row>
    <row r="6388" spans="1:1">
      <c r="A6388" s="576"/>
    </row>
    <row r="6389" spans="1:1">
      <c r="A6389" s="576"/>
    </row>
    <row r="6390" spans="1:1">
      <c r="A6390" s="576"/>
    </row>
    <row r="6391" spans="1:1">
      <c r="A6391" s="576"/>
    </row>
    <row r="6392" spans="1:1">
      <c r="A6392" s="576"/>
    </row>
    <row r="6393" spans="1:1">
      <c r="A6393" s="576"/>
    </row>
    <row r="6394" spans="1:1">
      <c r="A6394" s="576"/>
    </row>
    <row r="6395" spans="1:1">
      <c r="A6395" s="576"/>
    </row>
    <row r="6396" spans="1:1">
      <c r="A6396" s="576"/>
    </row>
    <row r="6397" spans="1:1">
      <c r="A6397" s="576"/>
    </row>
    <row r="6398" spans="1:1">
      <c r="A6398" s="576"/>
    </row>
    <row r="6399" spans="1:1">
      <c r="A6399" s="576"/>
    </row>
    <row r="6400" spans="1:1">
      <c r="A6400" s="576"/>
    </row>
    <row r="6401" spans="1:1">
      <c r="A6401" s="576"/>
    </row>
    <row r="6402" spans="1:1">
      <c r="A6402" s="576"/>
    </row>
    <row r="6403" spans="1:1">
      <c r="A6403" s="576"/>
    </row>
    <row r="6404" spans="1:1">
      <c r="A6404" s="576"/>
    </row>
    <row r="6405" spans="1:1">
      <c r="A6405" s="576"/>
    </row>
    <row r="6406" spans="1:1">
      <c r="A6406" s="576"/>
    </row>
    <row r="6407" spans="1:1">
      <c r="A6407" s="576"/>
    </row>
    <row r="6408" spans="1:1">
      <c r="A6408" s="576"/>
    </row>
    <row r="6409" spans="1:1">
      <c r="A6409" s="576"/>
    </row>
    <row r="6410" spans="1:1">
      <c r="A6410" s="576"/>
    </row>
    <row r="6411" spans="1:1">
      <c r="A6411" s="576"/>
    </row>
    <row r="6412" spans="1:1">
      <c r="A6412" s="576"/>
    </row>
    <row r="6413" spans="1:1">
      <c r="A6413" s="576"/>
    </row>
    <row r="6414" spans="1:1">
      <c r="A6414" s="576"/>
    </row>
    <row r="6415" spans="1:1">
      <c r="A6415" s="576"/>
    </row>
    <row r="6416" spans="1:1">
      <c r="A6416" s="576"/>
    </row>
    <row r="6417" spans="1:1">
      <c r="A6417" s="576"/>
    </row>
    <row r="6418" spans="1:1">
      <c r="A6418" s="576"/>
    </row>
    <row r="6419" spans="1:1">
      <c r="A6419" s="576"/>
    </row>
    <row r="6420" spans="1:1">
      <c r="A6420" s="576"/>
    </row>
    <row r="6421" spans="1:1">
      <c r="A6421" s="576"/>
    </row>
    <row r="6422" spans="1:1">
      <c r="A6422" s="576"/>
    </row>
    <row r="6423" spans="1:1">
      <c r="A6423" s="576"/>
    </row>
    <row r="6424" spans="1:1">
      <c r="A6424" s="576"/>
    </row>
    <row r="6425" spans="1:1">
      <c r="A6425" s="576"/>
    </row>
    <row r="6426" spans="1:1">
      <c r="A6426" s="576"/>
    </row>
    <row r="6427" spans="1:1">
      <c r="A6427" s="576"/>
    </row>
    <row r="6428" spans="1:1">
      <c r="A6428" s="576"/>
    </row>
    <row r="6429" spans="1:1">
      <c r="A6429" s="576"/>
    </row>
    <row r="6430" spans="1:1">
      <c r="A6430" s="576"/>
    </row>
    <row r="6431" spans="1:1">
      <c r="A6431" s="576"/>
    </row>
    <row r="6432" spans="1:1">
      <c r="A6432" s="576"/>
    </row>
    <row r="6433" spans="1:1">
      <c r="A6433" s="576"/>
    </row>
    <row r="6434" spans="1:1">
      <c r="A6434" s="576"/>
    </row>
    <row r="6435" spans="1:1">
      <c r="A6435" s="576"/>
    </row>
    <row r="6436" spans="1:1">
      <c r="A6436" s="576"/>
    </row>
    <row r="6437" spans="1:1">
      <c r="A6437" s="576"/>
    </row>
    <row r="6438" spans="1:1">
      <c r="A6438" s="576"/>
    </row>
    <row r="6439" spans="1:1">
      <c r="A6439" s="576"/>
    </row>
    <row r="6440" spans="1:1">
      <c r="A6440" s="576"/>
    </row>
    <row r="6441" spans="1:1">
      <c r="A6441" s="576"/>
    </row>
    <row r="6442" spans="1:1">
      <c r="A6442" s="576"/>
    </row>
    <row r="6443" spans="1:1">
      <c r="A6443" s="576"/>
    </row>
    <row r="6444" spans="1:1">
      <c r="A6444" s="576"/>
    </row>
    <row r="6445" spans="1:1">
      <c r="A6445" s="576"/>
    </row>
    <row r="6446" spans="1:1">
      <c r="A6446" s="576"/>
    </row>
    <row r="6447" spans="1:1">
      <c r="A6447" s="576"/>
    </row>
    <row r="6448" spans="1:1">
      <c r="A6448" s="576"/>
    </row>
    <row r="6449" spans="1:1">
      <c r="A6449" s="576"/>
    </row>
    <row r="6450" spans="1:1">
      <c r="A6450" s="576"/>
    </row>
    <row r="6451" spans="1:1">
      <c r="A6451" s="576"/>
    </row>
    <row r="6452" spans="1:1">
      <c r="A6452" s="576"/>
    </row>
    <row r="6453" spans="1:1">
      <c r="A6453" s="576"/>
    </row>
    <row r="6454" spans="1:1">
      <c r="A6454" s="576"/>
    </row>
    <row r="6455" spans="1:1">
      <c r="A6455" s="576"/>
    </row>
    <row r="6456" spans="1:1">
      <c r="A6456" s="576"/>
    </row>
    <row r="6457" spans="1:1">
      <c r="A6457" s="576"/>
    </row>
    <row r="6458" spans="1:1">
      <c r="A6458" s="576"/>
    </row>
    <row r="6459" spans="1:1">
      <c r="A6459" s="576"/>
    </row>
    <row r="6460" spans="1:1">
      <c r="A6460" s="576"/>
    </row>
    <row r="6461" spans="1:1">
      <c r="A6461" s="576"/>
    </row>
    <row r="6462" spans="1:1">
      <c r="A6462" s="576"/>
    </row>
    <row r="6463" spans="1:1">
      <c r="A6463" s="576"/>
    </row>
    <row r="6464" spans="1:1">
      <c r="A6464" s="576"/>
    </row>
    <row r="6465" spans="1:1">
      <c r="A6465" s="576"/>
    </row>
    <row r="6466" spans="1:1">
      <c r="A6466" s="576"/>
    </row>
    <row r="6467" spans="1:1">
      <c r="A6467" s="576"/>
    </row>
    <row r="6468" spans="1:1">
      <c r="A6468" s="576"/>
    </row>
    <row r="6469" spans="1:1">
      <c r="A6469" s="576"/>
    </row>
    <row r="6470" spans="1:1">
      <c r="A6470" s="576"/>
    </row>
    <row r="6471" spans="1:1">
      <c r="A6471" s="576"/>
    </row>
    <row r="6472" spans="1:1">
      <c r="A6472" s="576"/>
    </row>
    <row r="6473" spans="1:1">
      <c r="A6473" s="576"/>
    </row>
    <row r="6474" spans="1:1">
      <c r="A6474" s="576"/>
    </row>
    <row r="6475" spans="1:1">
      <c r="A6475" s="576"/>
    </row>
    <row r="6476" spans="1:1">
      <c r="A6476" s="576"/>
    </row>
    <row r="6477" spans="1:1">
      <c r="A6477" s="576"/>
    </row>
    <row r="6478" spans="1:1">
      <c r="A6478" s="576"/>
    </row>
    <row r="6479" spans="1:1">
      <c r="A6479" s="576"/>
    </row>
    <row r="6480" spans="1:1">
      <c r="A6480" s="576"/>
    </row>
    <row r="6481" spans="1:1">
      <c r="A6481" s="576"/>
    </row>
    <row r="6482" spans="1:1">
      <c r="A6482" s="576"/>
    </row>
    <row r="6483" spans="1:1">
      <c r="A6483" s="576"/>
    </row>
    <row r="6484" spans="1:1">
      <c r="A6484" s="576"/>
    </row>
    <row r="6485" spans="1:1">
      <c r="A6485" s="576"/>
    </row>
    <row r="6486" spans="1:1">
      <c r="A6486" s="576"/>
    </row>
    <row r="6487" spans="1:1">
      <c r="A6487" s="576"/>
    </row>
    <row r="6488" spans="1:1">
      <c r="A6488" s="576"/>
    </row>
    <row r="6489" spans="1:1">
      <c r="A6489" s="576"/>
    </row>
    <row r="6490" spans="1:1">
      <c r="A6490" s="576"/>
    </row>
    <row r="6491" spans="1:1">
      <c r="A6491" s="576"/>
    </row>
    <row r="6492" spans="1:1">
      <c r="A6492" s="576"/>
    </row>
    <row r="6493" spans="1:1">
      <c r="A6493" s="576"/>
    </row>
    <row r="6494" spans="1:1">
      <c r="A6494" s="576"/>
    </row>
    <row r="6495" spans="1:1">
      <c r="A6495" s="576"/>
    </row>
    <row r="6496" spans="1:1">
      <c r="A6496" s="576"/>
    </row>
    <row r="6497" spans="1:1">
      <c r="A6497" s="576"/>
    </row>
    <row r="6498" spans="1:1">
      <c r="A6498" s="576"/>
    </row>
    <row r="6499" spans="1:1">
      <c r="A6499" s="576"/>
    </row>
    <row r="6500" spans="1:1">
      <c r="A6500" s="576"/>
    </row>
    <row r="6501" spans="1:1">
      <c r="A6501" s="576"/>
    </row>
    <row r="6502" spans="1:1">
      <c r="A6502" s="576"/>
    </row>
    <row r="6503" spans="1:1">
      <c r="A6503" s="576"/>
    </row>
    <row r="6504" spans="1:1">
      <c r="A6504" s="576"/>
    </row>
    <row r="6505" spans="1:1">
      <c r="A6505" s="576"/>
    </row>
    <row r="6506" spans="1:1">
      <c r="A6506" s="576"/>
    </row>
    <row r="6507" spans="1:1">
      <c r="A6507" s="576"/>
    </row>
    <row r="6508" spans="1:1">
      <c r="A6508" s="576"/>
    </row>
    <row r="6509" spans="1:1">
      <c r="A6509" s="576"/>
    </row>
    <row r="6510" spans="1:1">
      <c r="A6510" s="576"/>
    </row>
    <row r="6511" spans="1:1">
      <c r="A6511" s="576"/>
    </row>
    <row r="6512" spans="1:1">
      <c r="A6512" s="576"/>
    </row>
    <row r="6513" spans="1:1">
      <c r="A6513" s="576"/>
    </row>
    <row r="6514" spans="1:1">
      <c r="A6514" s="576"/>
    </row>
    <row r="6515" spans="1:1">
      <c r="A6515" s="576"/>
    </row>
    <row r="6516" spans="1:1">
      <c r="A6516" s="576"/>
    </row>
    <row r="6517" spans="1:1">
      <c r="A6517" s="576"/>
    </row>
    <row r="6518" spans="1:1">
      <c r="A6518" s="576"/>
    </row>
    <row r="6519" spans="1:1">
      <c r="A6519" s="576"/>
    </row>
    <row r="6520" spans="1:1">
      <c r="A6520" s="576"/>
    </row>
    <row r="6521" spans="1:1">
      <c r="A6521" s="576"/>
    </row>
    <row r="6522" spans="1:1">
      <c r="A6522" s="576"/>
    </row>
    <row r="6523" spans="1:1">
      <c r="A6523" s="576"/>
    </row>
    <row r="6524" spans="1:1">
      <c r="A6524" s="576"/>
    </row>
    <row r="6525" spans="1:1">
      <c r="A6525" s="576"/>
    </row>
    <row r="6526" spans="1:1">
      <c r="A6526" s="576"/>
    </row>
    <row r="6527" spans="1:1">
      <c r="A6527" s="576"/>
    </row>
    <row r="6528" spans="1:1">
      <c r="A6528" s="576"/>
    </row>
    <row r="6529" spans="1:1">
      <c r="A6529" s="576"/>
    </row>
    <row r="6530" spans="1:1">
      <c r="A6530" s="576"/>
    </row>
    <row r="6531" spans="1:1">
      <c r="A6531" s="576"/>
    </row>
    <row r="6532" spans="1:1">
      <c r="A6532" s="576"/>
    </row>
    <row r="6533" spans="1:1">
      <c r="A6533" s="576"/>
    </row>
    <row r="6534" spans="1:1">
      <c r="A6534" s="576"/>
    </row>
    <row r="6535" spans="1:1">
      <c r="A6535" s="576"/>
    </row>
    <row r="6536" spans="1:1">
      <c r="A6536" s="576"/>
    </row>
    <row r="6537" spans="1:1">
      <c r="A6537" s="576"/>
    </row>
    <row r="6538" spans="1:1">
      <c r="A6538" s="576"/>
    </row>
    <row r="6539" spans="1:1">
      <c r="A6539" s="576"/>
    </row>
    <row r="6540" spans="1:1">
      <c r="A6540" s="576"/>
    </row>
    <row r="6541" spans="1:1">
      <c r="A6541" s="576"/>
    </row>
    <row r="6542" spans="1:1">
      <c r="A6542" s="576"/>
    </row>
    <row r="6543" spans="1:1">
      <c r="A6543" s="576"/>
    </row>
    <row r="6544" spans="1:1">
      <c r="A6544" s="576"/>
    </row>
    <row r="6545" spans="1:1">
      <c r="A6545" s="576"/>
    </row>
    <row r="6546" spans="1:1">
      <c r="A6546" s="576"/>
    </row>
    <row r="6547" spans="1:1">
      <c r="A6547" s="576"/>
    </row>
    <row r="6548" spans="1:1">
      <c r="A6548" s="576"/>
    </row>
    <row r="6549" spans="1:1">
      <c r="A6549" s="576"/>
    </row>
    <row r="6550" spans="1:1">
      <c r="A6550" s="576"/>
    </row>
    <row r="6551" spans="1:1">
      <c r="A6551" s="576"/>
    </row>
    <row r="6552" spans="1:1">
      <c r="A6552" s="576"/>
    </row>
    <row r="6553" spans="1:1">
      <c r="A6553" s="576"/>
    </row>
    <row r="6554" spans="1:1">
      <c r="A6554" s="576"/>
    </row>
    <row r="6555" spans="1:1">
      <c r="A6555" s="576"/>
    </row>
    <row r="6556" spans="1:1">
      <c r="A6556" s="576"/>
    </row>
    <row r="6557" spans="1:1">
      <c r="A6557" s="576"/>
    </row>
    <row r="6558" spans="1:1">
      <c r="A6558" s="576"/>
    </row>
    <row r="6559" spans="1:1">
      <c r="A6559" s="576"/>
    </row>
    <row r="6560" spans="1:1">
      <c r="A6560" s="576"/>
    </row>
    <row r="6561" spans="1:1">
      <c r="A6561" s="576"/>
    </row>
    <row r="6562" spans="1:1">
      <c r="A6562" s="576"/>
    </row>
    <row r="6563" spans="1:1">
      <c r="A6563" s="576"/>
    </row>
    <row r="6564" spans="1:1">
      <c r="A6564" s="576"/>
    </row>
    <row r="6565" spans="1:1">
      <c r="A6565" s="576"/>
    </row>
    <row r="6566" spans="1:1">
      <c r="A6566" s="576"/>
    </row>
    <row r="6567" spans="1:1">
      <c r="A6567" s="576"/>
    </row>
    <row r="6568" spans="1:1">
      <c r="A6568" s="576"/>
    </row>
    <row r="6569" spans="1:1">
      <c r="A6569" s="576"/>
    </row>
    <row r="6570" spans="1:1">
      <c r="A6570" s="576"/>
    </row>
    <row r="6571" spans="1:1">
      <c r="A6571" s="576"/>
    </row>
    <row r="6572" spans="1:1">
      <c r="A6572" s="576"/>
    </row>
    <row r="6573" spans="1:1">
      <c r="A6573" s="576"/>
    </row>
    <row r="6574" spans="1:1">
      <c r="A6574" s="576"/>
    </row>
    <row r="6575" spans="1:1">
      <c r="A6575" s="576"/>
    </row>
    <row r="6576" spans="1:1">
      <c r="A6576" s="576"/>
    </row>
    <row r="6577" spans="1:1">
      <c r="A6577" s="576"/>
    </row>
    <row r="6578" spans="1:1">
      <c r="A6578" s="576"/>
    </row>
    <row r="6579" spans="1:1">
      <c r="A6579" s="576"/>
    </row>
    <row r="6580" spans="1:1">
      <c r="A6580" s="576"/>
    </row>
    <row r="6581" spans="1:1">
      <c r="A6581" s="576"/>
    </row>
    <row r="6582" spans="1:1">
      <c r="A6582" s="576"/>
    </row>
    <row r="6583" spans="1:1">
      <c r="A6583" s="576"/>
    </row>
    <row r="6584" spans="1:1">
      <c r="A6584" s="576"/>
    </row>
    <row r="6585" spans="1:1">
      <c r="A6585" s="576"/>
    </row>
    <row r="6586" spans="1:1">
      <c r="A6586" s="576"/>
    </row>
    <row r="6587" spans="1:1">
      <c r="A6587" s="576"/>
    </row>
    <row r="6588" spans="1:1">
      <c r="A6588" s="576"/>
    </row>
    <row r="6589" spans="1:1">
      <c r="A6589" s="576"/>
    </row>
    <row r="6590" spans="1:1">
      <c r="A6590" s="576"/>
    </row>
    <row r="6591" spans="1:1">
      <c r="A6591" s="576"/>
    </row>
    <row r="6592" spans="1:1">
      <c r="A6592" s="576"/>
    </row>
    <row r="6593" spans="1:1">
      <c r="A6593" s="576"/>
    </row>
    <row r="6594" spans="1:1">
      <c r="A6594" s="576"/>
    </row>
    <row r="6595" spans="1:1">
      <c r="A6595" s="576"/>
    </row>
    <row r="6596" spans="1:1">
      <c r="A6596" s="576"/>
    </row>
    <row r="6597" spans="1:1">
      <c r="A6597" s="576"/>
    </row>
    <row r="6598" spans="1:1">
      <c r="A6598" s="576"/>
    </row>
    <row r="6599" spans="1:1">
      <c r="A6599" s="576"/>
    </row>
    <row r="6600" spans="1:1">
      <c r="A6600" s="576"/>
    </row>
    <row r="6601" spans="1:1">
      <c r="A6601" s="576"/>
    </row>
    <row r="6602" spans="1:1">
      <c r="A6602" s="576"/>
    </row>
    <row r="6603" spans="1:1">
      <c r="A6603" s="576"/>
    </row>
    <row r="6604" spans="1:1">
      <c r="A6604" s="576"/>
    </row>
    <row r="6605" spans="1:1">
      <c r="A6605" s="576"/>
    </row>
    <row r="6606" spans="1:1">
      <c r="A6606" s="576"/>
    </row>
    <row r="6607" spans="1:1">
      <c r="A6607" s="576"/>
    </row>
    <row r="6608" spans="1:1">
      <c r="A6608" s="576"/>
    </row>
    <row r="6609" spans="1:1">
      <c r="A6609" s="576"/>
    </row>
    <row r="6610" spans="1:1">
      <c r="A6610" s="576"/>
    </row>
    <row r="6611" spans="1:1">
      <c r="A6611" s="576"/>
    </row>
    <row r="6612" spans="1:1">
      <c r="A6612" s="576"/>
    </row>
    <row r="6613" spans="1:1">
      <c r="A6613" s="576"/>
    </row>
    <row r="6614" spans="1:1">
      <c r="A6614" s="576"/>
    </row>
    <row r="6615" spans="1:1">
      <c r="A6615" s="576"/>
    </row>
    <row r="6616" spans="1:1">
      <c r="A6616" s="576"/>
    </row>
    <row r="6617" spans="1:1">
      <c r="A6617" s="576"/>
    </row>
    <row r="6618" spans="1:1">
      <c r="A6618" s="576"/>
    </row>
    <row r="6619" spans="1:1">
      <c r="A6619" s="576"/>
    </row>
    <row r="6620" spans="1:1">
      <c r="A6620" s="576"/>
    </row>
    <row r="6621" spans="1:1">
      <c r="A6621" s="576"/>
    </row>
    <row r="6622" spans="1:1">
      <c r="A6622" s="576"/>
    </row>
    <row r="6623" spans="1:1">
      <c r="A6623" s="576"/>
    </row>
    <row r="6624" spans="1:1">
      <c r="A6624" s="576"/>
    </row>
    <row r="6625" spans="1:1">
      <c r="A6625" s="576"/>
    </row>
    <row r="6626" spans="1:1">
      <c r="A6626" s="576"/>
    </row>
    <row r="6627" spans="1:1">
      <c r="A6627" s="576"/>
    </row>
    <row r="6628" spans="1:1">
      <c r="A6628" s="576"/>
    </row>
    <row r="6629" spans="1:1">
      <c r="A6629" s="576"/>
    </row>
    <row r="6630" spans="1:1">
      <c r="A6630" s="576"/>
    </row>
    <row r="6631" spans="1:1">
      <c r="A6631" s="576"/>
    </row>
    <row r="6632" spans="1:1">
      <c r="A6632" s="576"/>
    </row>
    <row r="6633" spans="1:1">
      <c r="A6633" s="576"/>
    </row>
    <row r="6634" spans="1:1">
      <c r="A6634" s="576"/>
    </row>
    <row r="6635" spans="1:1">
      <c r="A6635" s="576"/>
    </row>
    <row r="6636" spans="1:1">
      <c r="A6636" s="576"/>
    </row>
    <row r="6637" spans="1:1">
      <c r="A6637" s="576"/>
    </row>
    <row r="6638" spans="1:1">
      <c r="A6638" s="576"/>
    </row>
    <row r="6639" spans="1:1">
      <c r="A6639" s="576"/>
    </row>
    <row r="6640" spans="1:1">
      <c r="A6640" s="576"/>
    </row>
    <row r="6641" spans="1:1">
      <c r="A6641" s="576"/>
    </row>
    <row r="6642" spans="1:1">
      <c r="A6642" s="576"/>
    </row>
    <row r="6643" spans="1:1">
      <c r="A6643" s="576"/>
    </row>
    <row r="6644" spans="1:1">
      <c r="A6644" s="576"/>
    </row>
    <row r="6645" spans="1:1">
      <c r="A6645" s="576"/>
    </row>
    <row r="6646" spans="1:1">
      <c r="A6646" s="576"/>
    </row>
    <row r="6647" spans="1:1">
      <c r="A6647" s="576"/>
    </row>
    <row r="6648" spans="1:1">
      <c r="A6648" s="576"/>
    </row>
    <row r="6649" spans="1:1">
      <c r="A6649" s="576"/>
    </row>
    <row r="6650" spans="1:1">
      <c r="A6650" s="576"/>
    </row>
    <row r="6651" spans="1:1">
      <c r="A6651" s="576"/>
    </row>
    <row r="6652" spans="1:1">
      <c r="A6652" s="576"/>
    </row>
    <row r="6653" spans="1:1">
      <c r="A6653" s="576"/>
    </row>
    <row r="6654" spans="1:1">
      <c r="A6654" s="576"/>
    </row>
    <row r="6655" spans="1:1">
      <c r="A6655" s="576"/>
    </row>
    <row r="6656" spans="1:1">
      <c r="A6656" s="576"/>
    </row>
    <row r="6657" spans="1:1">
      <c r="A6657" s="576"/>
    </row>
    <row r="6658" spans="1:1">
      <c r="A6658" s="576"/>
    </row>
    <row r="6659" spans="1:1">
      <c r="A6659" s="576"/>
    </row>
    <row r="6660" spans="1:1">
      <c r="A6660" s="576"/>
    </row>
    <row r="6661" spans="1:1">
      <c r="A6661" s="576"/>
    </row>
    <row r="6662" spans="1:1">
      <c r="A6662" s="576"/>
    </row>
    <row r="6663" spans="1:1">
      <c r="A6663" s="576"/>
    </row>
    <row r="6664" spans="1:1">
      <c r="A6664" s="576"/>
    </row>
    <row r="6665" spans="1:1">
      <c r="A6665" s="576"/>
    </row>
    <row r="6666" spans="1:1">
      <c r="A6666" s="576"/>
    </row>
    <row r="6667" spans="1:1">
      <c r="A6667" s="576"/>
    </row>
    <row r="6668" spans="1:1">
      <c r="A6668" s="576"/>
    </row>
    <row r="6669" spans="1:1">
      <c r="A6669" s="576"/>
    </row>
    <row r="6670" spans="1:1">
      <c r="A6670" s="576"/>
    </row>
    <row r="6671" spans="1:1">
      <c r="A6671" s="576"/>
    </row>
    <row r="6672" spans="1:1">
      <c r="A6672" s="576"/>
    </row>
    <row r="6673" spans="1:1">
      <c r="A6673" s="576"/>
    </row>
    <row r="6674" spans="1:1">
      <c r="A6674" s="576"/>
    </row>
    <row r="6675" spans="1:1">
      <c r="A6675" s="576"/>
    </row>
    <row r="6676" spans="1:1">
      <c r="A6676" s="576"/>
    </row>
    <row r="6677" spans="1:1">
      <c r="A6677" s="576"/>
    </row>
    <row r="6678" spans="1:1">
      <c r="A6678" s="576"/>
    </row>
    <row r="6679" spans="1:1">
      <c r="A6679" s="576"/>
    </row>
    <row r="6680" spans="1:1">
      <c r="A6680" s="576"/>
    </row>
    <row r="6681" spans="1:1">
      <c r="A6681" s="576"/>
    </row>
    <row r="6682" spans="1:1">
      <c r="A6682" s="576"/>
    </row>
    <row r="6683" spans="1:1">
      <c r="A6683" s="576"/>
    </row>
    <row r="6684" spans="1:1">
      <c r="A6684" s="576"/>
    </row>
    <row r="6685" spans="1:1">
      <c r="A6685" s="576"/>
    </row>
    <row r="6686" spans="1:1">
      <c r="A6686" s="576"/>
    </row>
    <row r="6687" spans="1:1">
      <c r="A6687" s="576"/>
    </row>
    <row r="6688" spans="1:1">
      <c r="A6688" s="576"/>
    </row>
    <row r="6689" spans="1:1">
      <c r="A6689" s="576"/>
    </row>
    <row r="6690" spans="1:1">
      <c r="A6690" s="576"/>
    </row>
    <row r="6691" spans="1:1">
      <c r="A6691" s="576"/>
    </row>
    <row r="6692" spans="1:1">
      <c r="A6692" s="576"/>
    </row>
    <row r="6693" spans="1:1">
      <c r="A6693" s="576"/>
    </row>
    <row r="6694" spans="1:1">
      <c r="A6694" s="576"/>
    </row>
    <row r="6695" spans="1:1">
      <c r="A6695" s="576"/>
    </row>
    <row r="6696" spans="1:1">
      <c r="A6696" s="576"/>
    </row>
    <row r="6697" spans="1:1">
      <c r="A6697" s="576"/>
    </row>
    <row r="6698" spans="1:1">
      <c r="A6698" s="576"/>
    </row>
    <row r="6699" spans="1:1">
      <c r="A6699" s="576"/>
    </row>
    <row r="6700" spans="1:1">
      <c r="A6700" s="576"/>
    </row>
    <row r="6701" spans="1:1">
      <c r="A6701" s="576"/>
    </row>
    <row r="6702" spans="1:1">
      <c r="A6702" s="576"/>
    </row>
    <row r="6703" spans="1:1">
      <c r="A6703" s="576"/>
    </row>
    <row r="6704" spans="1:1">
      <c r="A6704" s="576"/>
    </row>
    <row r="6705" spans="1:1">
      <c r="A6705" s="576"/>
    </row>
    <row r="6706" spans="1:1">
      <c r="A6706" s="576"/>
    </row>
    <row r="6707" spans="1:1">
      <c r="A6707" s="576"/>
    </row>
    <row r="6708" spans="1:1">
      <c r="A6708" s="576"/>
    </row>
    <row r="6709" spans="1:1">
      <c r="A6709" s="576"/>
    </row>
    <row r="6710" spans="1:1">
      <c r="A6710" s="576"/>
    </row>
    <row r="6711" spans="1:1">
      <c r="A6711" s="576"/>
    </row>
    <row r="6712" spans="1:1">
      <c r="A6712" s="576"/>
    </row>
    <row r="6713" spans="1:1">
      <c r="A6713" s="576"/>
    </row>
    <row r="6714" spans="1:1">
      <c r="A6714" s="576"/>
    </row>
    <row r="6715" spans="1:1">
      <c r="A6715" s="576"/>
    </row>
    <row r="6716" spans="1:1">
      <c r="A6716" s="576"/>
    </row>
    <row r="6717" spans="1:1">
      <c r="A6717" s="576"/>
    </row>
    <row r="6718" spans="1:1">
      <c r="A6718" s="576"/>
    </row>
    <row r="6719" spans="1:1">
      <c r="A6719" s="576"/>
    </row>
    <row r="6720" spans="1:1">
      <c r="A6720" s="576"/>
    </row>
    <row r="6721" spans="1:1">
      <c r="A6721" s="576"/>
    </row>
    <row r="6722" spans="1:1">
      <c r="A6722" s="576"/>
    </row>
    <row r="6723" spans="1:1">
      <c r="A6723" s="576"/>
    </row>
    <row r="6724" spans="1:1">
      <c r="A6724" s="576"/>
    </row>
    <row r="6725" spans="1:1">
      <c r="A6725" s="576"/>
    </row>
    <row r="6726" spans="1:1">
      <c r="A6726" s="576"/>
    </row>
    <row r="6727" spans="1:1">
      <c r="A6727" s="576"/>
    </row>
    <row r="6728" spans="1:1">
      <c r="A6728" s="576"/>
    </row>
    <row r="6729" spans="1:1">
      <c r="A6729" s="576"/>
    </row>
    <row r="6730" spans="1:1">
      <c r="A6730" s="576"/>
    </row>
    <row r="6731" spans="1:1">
      <c r="A6731" s="576"/>
    </row>
    <row r="6732" spans="1:1">
      <c r="A6732" s="576"/>
    </row>
    <row r="6733" spans="1:1">
      <c r="A6733" s="576"/>
    </row>
    <row r="6734" spans="1:1">
      <c r="A6734" s="576"/>
    </row>
    <row r="6735" spans="1:1">
      <c r="A6735" s="576"/>
    </row>
    <row r="6736" spans="1:1">
      <c r="A6736" s="576"/>
    </row>
    <row r="6737" spans="1:1">
      <c r="A6737" s="576"/>
    </row>
    <row r="6738" spans="1:1">
      <c r="A6738" s="576"/>
    </row>
    <row r="6739" spans="1:1">
      <c r="A6739" s="576"/>
    </row>
    <row r="6740" spans="1:1">
      <c r="A6740" s="576"/>
    </row>
    <row r="6741" spans="1:1">
      <c r="A6741" s="576"/>
    </row>
    <row r="6742" spans="1:1">
      <c r="A6742" s="576"/>
    </row>
    <row r="6743" spans="1:1">
      <c r="A6743" s="576"/>
    </row>
    <row r="6744" spans="1:1">
      <c r="A6744" s="576"/>
    </row>
    <row r="6745" spans="1:1">
      <c r="A6745" s="576"/>
    </row>
    <row r="6746" spans="1:1">
      <c r="A6746" s="576"/>
    </row>
    <row r="6747" spans="1:1">
      <c r="A6747" s="576"/>
    </row>
    <row r="6748" spans="1:1">
      <c r="A6748" s="576"/>
    </row>
    <row r="6749" spans="1:1">
      <c r="A6749" s="576"/>
    </row>
    <row r="6750" spans="1:1">
      <c r="A6750" s="576"/>
    </row>
    <row r="6751" spans="1:1">
      <c r="A6751" s="576"/>
    </row>
    <row r="6752" spans="1:1">
      <c r="A6752" s="576"/>
    </row>
    <row r="6753" spans="1:1">
      <c r="A6753" s="576"/>
    </row>
    <row r="6754" spans="1:1">
      <c r="A6754" s="576"/>
    </row>
    <row r="6755" spans="1:1">
      <c r="A6755" s="576"/>
    </row>
    <row r="6756" spans="1:1">
      <c r="A6756" s="576"/>
    </row>
    <row r="6757" spans="1:1">
      <c r="A6757" s="576"/>
    </row>
    <row r="6758" spans="1:1">
      <c r="A6758" s="576"/>
    </row>
    <row r="6759" spans="1:1">
      <c r="A6759" s="576"/>
    </row>
    <row r="6760" spans="1:1">
      <c r="A6760" s="576"/>
    </row>
    <row r="6761" spans="1:1">
      <c r="A6761" s="576"/>
    </row>
    <row r="6762" spans="1:1">
      <c r="A6762" s="576"/>
    </row>
    <row r="6763" spans="1:1">
      <c r="A6763" s="576"/>
    </row>
    <row r="6764" spans="1:1">
      <c r="A6764" s="576"/>
    </row>
    <row r="6765" spans="1:1">
      <c r="A6765" s="576"/>
    </row>
    <row r="6766" spans="1:1">
      <c r="A6766" s="576"/>
    </row>
    <row r="6767" spans="1:1">
      <c r="A6767" s="576"/>
    </row>
    <row r="6768" spans="1:1">
      <c r="A6768" s="576"/>
    </row>
    <row r="6769" spans="1:1">
      <c r="A6769" s="576"/>
    </row>
    <row r="6770" spans="1:1">
      <c r="A6770" s="576"/>
    </row>
    <row r="6771" spans="1:1">
      <c r="A6771" s="576"/>
    </row>
    <row r="6772" spans="1:1">
      <c r="A6772" s="576"/>
    </row>
    <row r="6773" spans="1:1">
      <c r="A6773" s="576"/>
    </row>
    <row r="6774" spans="1:1">
      <c r="A6774" s="576"/>
    </row>
    <row r="6775" spans="1:1">
      <c r="A6775" s="576"/>
    </row>
    <row r="6776" spans="1:1">
      <c r="A6776" s="576"/>
    </row>
    <row r="6777" spans="1:1">
      <c r="A6777" s="576"/>
    </row>
    <row r="6778" spans="1:1">
      <c r="A6778" s="576"/>
    </row>
    <row r="6779" spans="1:1">
      <c r="A6779" s="576"/>
    </row>
    <row r="6780" spans="1:1">
      <c r="A6780" s="576"/>
    </row>
    <row r="6781" spans="1:1">
      <c r="A6781" s="576"/>
    </row>
    <row r="6782" spans="1:1">
      <c r="A6782" s="576"/>
    </row>
    <row r="6783" spans="1:1">
      <c r="A6783" s="576"/>
    </row>
    <row r="6784" spans="1:1">
      <c r="A6784" s="576"/>
    </row>
    <row r="6785" spans="1:1">
      <c r="A6785" s="576"/>
    </row>
    <row r="6786" spans="1:1">
      <c r="A6786" s="576"/>
    </row>
    <row r="6787" spans="1:1">
      <c r="A6787" s="576"/>
    </row>
    <row r="6788" spans="1:1">
      <c r="A6788" s="576"/>
    </row>
    <row r="6789" spans="1:1">
      <c r="A6789" s="576"/>
    </row>
    <row r="6790" spans="1:1">
      <c r="A6790" s="576"/>
    </row>
    <row r="6791" spans="1:1">
      <c r="A6791" s="576"/>
    </row>
    <row r="6792" spans="1:1">
      <c r="A6792" s="576"/>
    </row>
    <row r="6793" spans="1:1">
      <c r="A6793" s="576"/>
    </row>
    <row r="6794" spans="1:1">
      <c r="A6794" s="576"/>
    </row>
    <row r="6795" spans="1:1">
      <c r="A6795" s="576"/>
    </row>
    <row r="6796" spans="1:1">
      <c r="A6796" s="576"/>
    </row>
    <row r="6797" spans="1:1">
      <c r="A6797" s="576"/>
    </row>
    <row r="6798" spans="1:1">
      <c r="A6798" s="576"/>
    </row>
    <row r="6799" spans="1:1">
      <c r="A6799" s="576"/>
    </row>
    <row r="6800" spans="1:1">
      <c r="A6800" s="576"/>
    </row>
    <row r="6801" spans="1:1">
      <c r="A6801" s="576"/>
    </row>
    <row r="6802" spans="1:1">
      <c r="A6802" s="576"/>
    </row>
    <row r="6803" spans="1:1">
      <c r="A6803" s="576"/>
    </row>
    <row r="6804" spans="1:1">
      <c r="A6804" s="576"/>
    </row>
    <row r="6805" spans="1:1">
      <c r="A6805" s="576"/>
    </row>
    <row r="6806" spans="1:1">
      <c r="A6806" s="576"/>
    </row>
    <row r="6807" spans="1:1">
      <c r="A6807" s="576"/>
    </row>
    <row r="6808" spans="1:1">
      <c r="A6808" s="576"/>
    </row>
    <row r="6809" spans="1:1">
      <c r="A6809" s="576"/>
    </row>
    <row r="6810" spans="1:1">
      <c r="A6810" s="576"/>
    </row>
    <row r="6811" spans="1:1">
      <c r="A6811" s="576"/>
    </row>
    <row r="6812" spans="1:1">
      <c r="A6812" s="576"/>
    </row>
    <row r="6813" spans="1:1">
      <c r="A6813" s="576"/>
    </row>
    <row r="6814" spans="1:1">
      <c r="A6814" s="576"/>
    </row>
    <row r="6815" spans="1:1">
      <c r="A6815" s="576"/>
    </row>
    <row r="6816" spans="1:1">
      <c r="A6816" s="576"/>
    </row>
    <row r="6817" spans="1:1">
      <c r="A6817" s="576"/>
    </row>
    <row r="6818" spans="1:1">
      <c r="A6818" s="576"/>
    </row>
    <row r="6819" spans="1:1">
      <c r="A6819" s="576"/>
    </row>
    <row r="6820" spans="1:1">
      <c r="A6820" s="576"/>
    </row>
    <row r="6821" spans="1:1">
      <c r="A6821" s="576"/>
    </row>
    <row r="6822" spans="1:1">
      <c r="A6822" s="576"/>
    </row>
    <row r="6823" spans="1:1">
      <c r="A6823" s="576"/>
    </row>
    <row r="6824" spans="1:1">
      <c r="A6824" s="576"/>
    </row>
    <row r="6825" spans="1:1">
      <c r="A6825" s="576"/>
    </row>
    <row r="6826" spans="1:1">
      <c r="A6826" s="576"/>
    </row>
    <row r="6827" spans="1:1">
      <c r="A6827" s="576"/>
    </row>
    <row r="6828" spans="1:1">
      <c r="A6828" s="576"/>
    </row>
    <row r="6829" spans="1:1">
      <c r="A6829" s="576"/>
    </row>
    <row r="6830" spans="1:1">
      <c r="A6830" s="576"/>
    </row>
    <row r="6831" spans="1:1">
      <c r="A6831" s="576"/>
    </row>
    <row r="6832" spans="1:1">
      <c r="A6832" s="576"/>
    </row>
    <row r="6833" spans="1:1">
      <c r="A6833" s="576"/>
    </row>
    <row r="6834" spans="1:1">
      <c r="A6834" s="576"/>
    </row>
    <row r="6835" spans="1:1">
      <c r="A6835" s="576"/>
    </row>
    <row r="6836" spans="1:1">
      <c r="A6836" s="576"/>
    </row>
    <row r="6837" spans="1:1">
      <c r="A6837" s="576"/>
    </row>
    <row r="6838" spans="1:1">
      <c r="A6838" s="576"/>
    </row>
    <row r="6839" spans="1:1">
      <c r="A6839" s="576"/>
    </row>
    <row r="6840" spans="1:1">
      <c r="A6840" s="576"/>
    </row>
    <row r="6841" spans="1:1">
      <c r="A6841" s="576"/>
    </row>
    <row r="6842" spans="1:1">
      <c r="A6842" s="576"/>
    </row>
    <row r="6843" spans="1:1">
      <c r="A6843" s="576"/>
    </row>
    <row r="6844" spans="1:1">
      <c r="A6844" s="576"/>
    </row>
    <row r="6845" spans="1:1">
      <c r="A6845" s="576"/>
    </row>
    <row r="6846" spans="1:1">
      <c r="A6846" s="576"/>
    </row>
    <row r="6847" spans="1:1">
      <c r="A6847" s="576"/>
    </row>
    <row r="6848" spans="1:1">
      <c r="A6848" s="576"/>
    </row>
    <row r="6849" spans="1:1">
      <c r="A6849" s="576"/>
    </row>
    <row r="6850" spans="1:1">
      <c r="A6850" s="576"/>
    </row>
    <row r="6851" spans="1:1">
      <c r="A6851" s="576"/>
    </row>
    <row r="6852" spans="1:1">
      <c r="A6852" s="576"/>
    </row>
    <row r="6853" spans="1:1">
      <c r="A6853" s="576"/>
    </row>
    <row r="6854" spans="1:1">
      <c r="A6854" s="576"/>
    </row>
    <row r="6855" spans="1:1">
      <c r="A6855" s="576"/>
    </row>
    <row r="6856" spans="1:1">
      <c r="A6856" s="576"/>
    </row>
    <row r="6857" spans="1:1">
      <c r="A6857" s="576"/>
    </row>
    <row r="6858" spans="1:1">
      <c r="A6858" s="576"/>
    </row>
    <row r="6859" spans="1:1">
      <c r="A6859" s="576"/>
    </row>
    <row r="6860" spans="1:1">
      <c r="A6860" s="576"/>
    </row>
    <row r="6861" spans="1:1">
      <c r="A6861" s="576"/>
    </row>
    <row r="6862" spans="1:1">
      <c r="A6862" s="576"/>
    </row>
    <row r="6863" spans="1:1">
      <c r="A6863" s="576"/>
    </row>
    <row r="6864" spans="1:1">
      <c r="A6864" s="576"/>
    </row>
    <row r="6865" spans="1:1">
      <c r="A6865" s="576"/>
    </row>
    <row r="6866" spans="1:1">
      <c r="A6866" s="576"/>
    </row>
    <row r="6867" spans="1:1">
      <c r="A6867" s="576"/>
    </row>
    <row r="6868" spans="1:1">
      <c r="A6868" s="576"/>
    </row>
    <row r="6869" spans="1:1">
      <c r="A6869" s="576"/>
    </row>
    <row r="6870" spans="1:1">
      <c r="A6870" s="576"/>
    </row>
    <row r="6871" spans="1:1">
      <c r="A6871" s="576"/>
    </row>
    <row r="6872" spans="1:1">
      <c r="A6872" s="576"/>
    </row>
    <row r="6873" spans="1:1">
      <c r="A6873" s="576"/>
    </row>
    <row r="6874" spans="1:1">
      <c r="A6874" s="576"/>
    </row>
    <row r="6875" spans="1:1">
      <c r="A6875" s="576"/>
    </row>
    <row r="6876" spans="1:1">
      <c r="A6876" s="576"/>
    </row>
    <row r="6877" spans="1:1">
      <c r="A6877" s="576"/>
    </row>
    <row r="6878" spans="1:1">
      <c r="A6878" s="576"/>
    </row>
    <row r="6879" spans="1:1">
      <c r="A6879" s="576"/>
    </row>
    <row r="6880" spans="1:1">
      <c r="A6880" s="576"/>
    </row>
    <row r="6881" spans="1:1">
      <c r="A6881" s="576"/>
    </row>
    <row r="6882" spans="1:1">
      <c r="A6882" s="576"/>
    </row>
    <row r="6883" spans="1:1">
      <c r="A6883" s="576"/>
    </row>
    <row r="6884" spans="1:1">
      <c r="A6884" s="576"/>
    </row>
    <row r="6885" spans="1:1">
      <c r="A6885" s="576"/>
    </row>
    <row r="6886" spans="1:1">
      <c r="A6886" s="576"/>
    </row>
    <row r="6887" spans="1:1">
      <c r="A6887" s="576"/>
    </row>
    <row r="6888" spans="1:1">
      <c r="A6888" s="576"/>
    </row>
    <row r="6889" spans="1:1">
      <c r="A6889" s="576"/>
    </row>
    <row r="6890" spans="1:1">
      <c r="A6890" s="576"/>
    </row>
    <row r="6891" spans="1:1">
      <c r="A6891" s="576"/>
    </row>
    <row r="6892" spans="1:1">
      <c r="A6892" s="576"/>
    </row>
    <row r="6893" spans="1:1">
      <c r="A6893" s="576"/>
    </row>
    <row r="6894" spans="1:1">
      <c r="A6894" s="576"/>
    </row>
    <row r="6895" spans="1:1">
      <c r="A6895" s="576"/>
    </row>
    <row r="6896" spans="1:1">
      <c r="A6896" s="576"/>
    </row>
    <row r="6897" spans="1:1">
      <c r="A6897" s="576"/>
    </row>
    <row r="6898" spans="1:1">
      <c r="A6898" s="576"/>
    </row>
    <row r="6899" spans="1:1">
      <c r="A6899" s="576"/>
    </row>
    <row r="6900" spans="1:1">
      <c r="A6900" s="576"/>
    </row>
    <row r="6901" spans="1:1">
      <c r="A6901" s="576"/>
    </row>
    <row r="6902" spans="1:1">
      <c r="A6902" s="576"/>
    </row>
    <row r="6903" spans="1:1">
      <c r="A6903" s="576"/>
    </row>
    <row r="6904" spans="1:1">
      <c r="A6904" s="576"/>
    </row>
    <row r="6905" spans="1:1">
      <c r="A6905" s="576"/>
    </row>
    <row r="6906" spans="1:1">
      <c r="A6906" s="576"/>
    </row>
    <row r="6907" spans="1:1">
      <c r="A6907" s="576"/>
    </row>
    <row r="6908" spans="1:1">
      <c r="A6908" s="576"/>
    </row>
    <row r="6909" spans="1:1">
      <c r="A6909" s="576"/>
    </row>
    <row r="6910" spans="1:1">
      <c r="A6910" s="576"/>
    </row>
    <row r="6911" spans="1:1">
      <c r="A6911" s="576"/>
    </row>
    <row r="6912" spans="1:1">
      <c r="A6912" s="576"/>
    </row>
    <row r="6913" spans="1:1">
      <c r="A6913" s="576"/>
    </row>
    <row r="6914" spans="1:1">
      <c r="A6914" s="576"/>
    </row>
    <row r="6915" spans="1:1">
      <c r="A6915" s="576"/>
    </row>
    <row r="6916" spans="1:1">
      <c r="A6916" s="576"/>
    </row>
    <row r="6917" spans="1:1">
      <c r="A6917" s="576"/>
    </row>
    <row r="6918" spans="1:1">
      <c r="A6918" s="576"/>
    </row>
    <row r="6919" spans="1:1">
      <c r="A6919" s="576"/>
    </row>
    <row r="6920" spans="1:1">
      <c r="A6920" s="576"/>
    </row>
    <row r="6921" spans="1:1">
      <c r="A6921" s="576"/>
    </row>
    <row r="6922" spans="1:1">
      <c r="A6922" s="576"/>
    </row>
    <row r="6923" spans="1:1">
      <c r="A6923" s="576"/>
    </row>
    <row r="6924" spans="1:1">
      <c r="A6924" s="576"/>
    </row>
    <row r="6925" spans="1:1">
      <c r="A6925" s="576"/>
    </row>
    <row r="6926" spans="1:1">
      <c r="A6926" s="576"/>
    </row>
    <row r="6927" spans="1:1">
      <c r="A6927" s="576"/>
    </row>
    <row r="6928" spans="1:1">
      <c r="A6928" s="576"/>
    </row>
    <row r="6929" spans="1:1">
      <c r="A6929" s="576"/>
    </row>
    <row r="6930" spans="1:1">
      <c r="A6930" s="576"/>
    </row>
    <row r="6931" spans="1:1">
      <c r="A6931" s="576"/>
    </row>
    <row r="6932" spans="1:1">
      <c r="A6932" s="576"/>
    </row>
    <row r="6933" spans="1:1">
      <c r="A6933" s="576"/>
    </row>
    <row r="6934" spans="1:1">
      <c r="A6934" s="576"/>
    </row>
    <row r="6935" spans="1:1">
      <c r="A6935" s="576"/>
    </row>
    <row r="6936" spans="1:1">
      <c r="A6936" s="576"/>
    </row>
    <row r="6937" spans="1:1">
      <c r="A6937" s="576"/>
    </row>
    <row r="6938" spans="1:1">
      <c r="A6938" s="576"/>
    </row>
    <row r="6939" spans="1:1">
      <c r="A6939" s="576"/>
    </row>
    <row r="6940" spans="1:1">
      <c r="A6940" s="576"/>
    </row>
    <row r="6941" spans="1:1">
      <c r="A6941" s="576"/>
    </row>
    <row r="6942" spans="1:1">
      <c r="A6942" s="576"/>
    </row>
    <row r="6943" spans="1:1">
      <c r="A6943" s="576"/>
    </row>
    <row r="6944" spans="1:1">
      <c r="A6944" s="576"/>
    </row>
    <row r="6945" spans="1:1">
      <c r="A6945" s="576"/>
    </row>
    <row r="6946" spans="1:1">
      <c r="A6946" s="576"/>
    </row>
    <row r="6947" spans="1:1">
      <c r="A6947" s="576"/>
    </row>
    <row r="6948" spans="1:1">
      <c r="A6948" s="576"/>
    </row>
    <row r="6949" spans="1:1">
      <c r="A6949" s="576"/>
    </row>
    <row r="6950" spans="1:1">
      <c r="A6950" s="576"/>
    </row>
    <row r="6951" spans="1:1">
      <c r="A6951" s="576"/>
    </row>
    <row r="6952" spans="1:1">
      <c r="A6952" s="576"/>
    </row>
    <row r="6953" spans="1:1">
      <c r="A6953" s="576"/>
    </row>
    <row r="6954" spans="1:1">
      <c r="A6954" s="576"/>
    </row>
    <row r="6955" spans="1:1">
      <c r="A6955" s="576"/>
    </row>
    <row r="6956" spans="1:1">
      <c r="A6956" s="576"/>
    </row>
    <row r="6957" spans="1:1">
      <c r="A6957" s="576"/>
    </row>
    <row r="6958" spans="1:1">
      <c r="A6958" s="576"/>
    </row>
    <row r="6959" spans="1:1">
      <c r="A6959" s="576"/>
    </row>
    <row r="6960" spans="1:1">
      <c r="A6960" s="576"/>
    </row>
    <row r="6961" spans="1:1">
      <c r="A6961" s="576"/>
    </row>
    <row r="6962" spans="1:1">
      <c r="A6962" s="576"/>
    </row>
    <row r="6963" spans="1:1">
      <c r="A6963" s="576"/>
    </row>
    <row r="6964" spans="1:1">
      <c r="A6964" s="576"/>
    </row>
    <row r="6965" spans="1:1">
      <c r="A6965" s="576"/>
    </row>
    <row r="6966" spans="1:1">
      <c r="A6966" s="576"/>
    </row>
    <row r="6967" spans="1:1">
      <c r="A6967" s="576"/>
    </row>
    <row r="6968" spans="1:1">
      <c r="A6968" s="576"/>
    </row>
    <row r="6969" spans="1:1">
      <c r="A6969" s="576"/>
    </row>
    <row r="6970" spans="1:1">
      <c r="A6970" s="576"/>
    </row>
    <row r="6971" spans="1:1">
      <c r="A6971" s="576"/>
    </row>
    <row r="6972" spans="1:1">
      <c r="A6972" s="576"/>
    </row>
    <row r="6973" spans="1:1">
      <c r="A6973" s="576"/>
    </row>
    <row r="6974" spans="1:1">
      <c r="A6974" s="576"/>
    </row>
    <row r="6975" spans="1:1">
      <c r="A6975" s="576"/>
    </row>
    <row r="6976" spans="1:1">
      <c r="A6976" s="576"/>
    </row>
    <row r="6977" spans="1:1">
      <c r="A6977" s="576"/>
    </row>
    <row r="6978" spans="1:1">
      <c r="A6978" s="576"/>
    </row>
    <row r="6979" spans="1:1">
      <c r="A6979" s="576"/>
    </row>
    <row r="6980" spans="1:1">
      <c r="A6980" s="576"/>
    </row>
    <row r="6981" spans="1:1">
      <c r="A6981" s="576"/>
    </row>
    <row r="6982" spans="1:1">
      <c r="A6982" s="576"/>
    </row>
    <row r="6983" spans="1:1">
      <c r="A6983" s="576"/>
    </row>
    <row r="6984" spans="1:1">
      <c r="A6984" s="576"/>
    </row>
    <row r="6985" spans="1:1">
      <c r="A6985" s="576"/>
    </row>
    <row r="6986" spans="1:1">
      <c r="A6986" s="576"/>
    </row>
    <row r="6987" spans="1:1">
      <c r="A6987" s="576"/>
    </row>
    <row r="6988" spans="1:1">
      <c r="A6988" s="576"/>
    </row>
    <row r="6989" spans="1:1">
      <c r="A6989" s="576"/>
    </row>
    <row r="6990" spans="1:1">
      <c r="A6990" s="576"/>
    </row>
    <row r="6991" spans="1:1">
      <c r="A6991" s="576"/>
    </row>
    <row r="6992" spans="1:1">
      <c r="A6992" s="576"/>
    </row>
    <row r="6993" spans="1:1">
      <c r="A6993" s="576"/>
    </row>
    <row r="6994" spans="1:1">
      <c r="A6994" s="576"/>
    </row>
    <row r="6995" spans="1:1">
      <c r="A6995" s="576"/>
    </row>
    <row r="6996" spans="1:1">
      <c r="A6996" s="576"/>
    </row>
    <row r="6997" spans="1:1">
      <c r="A6997" s="576"/>
    </row>
    <row r="6998" spans="1:1">
      <c r="A6998" s="576"/>
    </row>
    <row r="6999" spans="1:1">
      <c r="A6999" s="576"/>
    </row>
    <row r="7000" spans="1:1">
      <c r="A7000" s="576"/>
    </row>
    <row r="7001" spans="1:1">
      <c r="A7001" s="576"/>
    </row>
    <row r="7002" spans="1:1">
      <c r="A7002" s="576"/>
    </row>
    <row r="7003" spans="1:1">
      <c r="A7003" s="576"/>
    </row>
    <row r="7004" spans="1:1">
      <c r="A7004" s="576"/>
    </row>
    <row r="7005" spans="1:1">
      <c r="A7005" s="576"/>
    </row>
    <row r="7006" spans="1:1">
      <c r="A7006" s="576"/>
    </row>
    <row r="7007" spans="1:1">
      <c r="A7007" s="576"/>
    </row>
    <row r="7008" spans="1:1">
      <c r="A7008" s="576"/>
    </row>
    <row r="7009" spans="1:1">
      <c r="A7009" s="576"/>
    </row>
    <row r="7010" spans="1:1">
      <c r="A7010" s="576"/>
    </row>
    <row r="7011" spans="1:1">
      <c r="A7011" s="576"/>
    </row>
    <row r="7012" spans="1:1">
      <c r="A7012" s="576"/>
    </row>
    <row r="7013" spans="1:1">
      <c r="A7013" s="576"/>
    </row>
    <row r="7014" spans="1:1">
      <c r="A7014" s="576"/>
    </row>
    <row r="7015" spans="1:1">
      <c r="A7015" s="576"/>
    </row>
    <row r="7016" spans="1:1">
      <c r="A7016" s="576"/>
    </row>
    <row r="7017" spans="1:1">
      <c r="A7017" s="576"/>
    </row>
    <row r="7018" spans="1:1">
      <c r="A7018" s="576"/>
    </row>
    <row r="7019" spans="1:1">
      <c r="A7019" s="576"/>
    </row>
    <row r="7020" spans="1:1">
      <c r="A7020" s="576"/>
    </row>
    <row r="7021" spans="1:1">
      <c r="A7021" s="576"/>
    </row>
    <row r="7022" spans="1:1">
      <c r="A7022" s="576"/>
    </row>
    <row r="7023" spans="1:1">
      <c r="A7023" s="576"/>
    </row>
    <row r="7024" spans="1:1">
      <c r="A7024" s="576"/>
    </row>
    <row r="7025" spans="1:1">
      <c r="A7025" s="576"/>
    </row>
    <row r="7026" spans="1:1">
      <c r="A7026" s="576"/>
    </row>
    <row r="7027" spans="1:1">
      <c r="A7027" s="576"/>
    </row>
    <row r="7028" spans="1:1">
      <c r="A7028" s="576"/>
    </row>
    <row r="7029" spans="1:1">
      <c r="A7029" s="576"/>
    </row>
    <row r="7030" spans="1:1">
      <c r="A7030" s="576"/>
    </row>
    <row r="7031" spans="1:1">
      <c r="A7031" s="576"/>
    </row>
    <row r="7032" spans="1:1">
      <c r="A7032" s="576"/>
    </row>
    <row r="7033" spans="1:1">
      <c r="A7033" s="576"/>
    </row>
    <row r="7034" spans="1:1">
      <c r="A7034" s="576"/>
    </row>
    <row r="7035" spans="1:1">
      <c r="A7035" s="576"/>
    </row>
    <row r="7036" spans="1:1">
      <c r="A7036" s="576"/>
    </row>
    <row r="7037" spans="1:1">
      <c r="A7037" s="576"/>
    </row>
    <row r="7038" spans="1:1">
      <c r="A7038" s="576"/>
    </row>
    <row r="7039" spans="1:1">
      <c r="A7039" s="576"/>
    </row>
    <row r="7040" spans="1:1">
      <c r="A7040" s="576"/>
    </row>
    <row r="7041" spans="1:1">
      <c r="A7041" s="576"/>
    </row>
    <row r="7042" spans="1:1">
      <c r="A7042" s="576"/>
    </row>
    <row r="7043" spans="1:1">
      <c r="A7043" s="576"/>
    </row>
    <row r="7044" spans="1:1">
      <c r="A7044" s="576"/>
    </row>
    <row r="7045" spans="1:1">
      <c r="A7045" s="576"/>
    </row>
    <row r="7046" spans="1:1">
      <c r="A7046" s="576"/>
    </row>
    <row r="7047" spans="1:1">
      <c r="A7047" s="576"/>
    </row>
    <row r="7048" spans="1:1">
      <c r="A7048" s="576"/>
    </row>
    <row r="7049" spans="1:1">
      <c r="A7049" s="576"/>
    </row>
    <row r="7050" spans="1:1">
      <c r="A7050" s="576"/>
    </row>
    <row r="7051" spans="1:1">
      <c r="A7051" s="576"/>
    </row>
    <row r="7052" spans="1:1">
      <c r="A7052" s="576"/>
    </row>
    <row r="7053" spans="1:1">
      <c r="A7053" s="576"/>
    </row>
    <row r="7054" spans="1:1">
      <c r="A7054" s="576"/>
    </row>
    <row r="7055" spans="1:1">
      <c r="A7055" s="576"/>
    </row>
    <row r="7056" spans="1:1">
      <c r="A7056" s="576"/>
    </row>
    <row r="7057" spans="1:1">
      <c r="A7057" s="576"/>
    </row>
    <row r="7058" spans="1:1">
      <c r="A7058" s="576"/>
    </row>
    <row r="7059" spans="1:1">
      <c r="A7059" s="576"/>
    </row>
    <row r="7060" spans="1:1">
      <c r="A7060" s="576"/>
    </row>
    <row r="7061" spans="1:1">
      <c r="A7061" s="576"/>
    </row>
    <row r="7062" spans="1:1">
      <c r="A7062" s="576"/>
    </row>
    <row r="7063" spans="1:1">
      <c r="A7063" s="576"/>
    </row>
    <row r="7064" spans="1:1">
      <c r="A7064" s="576"/>
    </row>
    <row r="7065" spans="1:1">
      <c r="A7065" s="576"/>
    </row>
    <row r="7066" spans="1:1">
      <c r="A7066" s="576"/>
    </row>
    <row r="7067" spans="1:1">
      <c r="A7067" s="576"/>
    </row>
    <row r="7068" spans="1:1">
      <c r="A7068" s="576"/>
    </row>
    <row r="7069" spans="1:1">
      <c r="A7069" s="576"/>
    </row>
    <row r="7070" spans="1:1">
      <c r="A7070" s="576"/>
    </row>
    <row r="7071" spans="1:1">
      <c r="A7071" s="576"/>
    </row>
    <row r="7072" spans="1:1">
      <c r="A7072" s="576"/>
    </row>
    <row r="7073" spans="1:1">
      <c r="A7073" s="576"/>
    </row>
    <row r="7074" spans="1:1">
      <c r="A7074" s="576"/>
    </row>
    <row r="7075" spans="1:1">
      <c r="A7075" s="576"/>
    </row>
    <row r="7076" spans="1:1">
      <c r="A7076" s="576"/>
    </row>
    <row r="7077" spans="1:1">
      <c r="A7077" s="576"/>
    </row>
    <row r="7078" spans="1:1">
      <c r="A7078" s="576"/>
    </row>
    <row r="7079" spans="1:1">
      <c r="A7079" s="576"/>
    </row>
    <row r="7080" spans="1:1">
      <c r="A7080" s="576"/>
    </row>
    <row r="7081" spans="1:1">
      <c r="A7081" s="576"/>
    </row>
    <row r="7082" spans="1:1">
      <c r="A7082" s="576"/>
    </row>
    <row r="7083" spans="1:1">
      <c r="A7083" s="576"/>
    </row>
    <row r="7084" spans="1:1">
      <c r="A7084" s="576"/>
    </row>
    <row r="7085" spans="1:1">
      <c r="A7085" s="576"/>
    </row>
    <row r="7086" spans="1:1">
      <c r="A7086" s="576"/>
    </row>
    <row r="7087" spans="1:1">
      <c r="A7087" s="576"/>
    </row>
    <row r="7088" spans="1:1">
      <c r="A7088" s="576"/>
    </row>
    <row r="7089" spans="1:1">
      <c r="A7089" s="576"/>
    </row>
    <row r="7090" spans="1:1">
      <c r="A7090" s="576"/>
    </row>
    <row r="7091" spans="1:1">
      <c r="A7091" s="576"/>
    </row>
    <row r="7092" spans="1:1">
      <c r="A7092" s="576"/>
    </row>
    <row r="7093" spans="1:1">
      <c r="A7093" s="576"/>
    </row>
    <row r="7094" spans="1:1">
      <c r="A7094" s="576"/>
    </row>
    <row r="7095" spans="1:1">
      <c r="A7095" s="576"/>
    </row>
    <row r="7096" spans="1:1">
      <c r="A7096" s="576"/>
    </row>
    <row r="7097" spans="1:1">
      <c r="A7097" s="576"/>
    </row>
    <row r="7098" spans="1:1">
      <c r="A7098" s="576"/>
    </row>
    <row r="7099" spans="1:1">
      <c r="A7099" s="576"/>
    </row>
    <row r="7100" spans="1:1">
      <c r="A7100" s="576"/>
    </row>
    <row r="7101" spans="1:1">
      <c r="A7101" s="576"/>
    </row>
    <row r="7102" spans="1:1">
      <c r="A7102" s="576"/>
    </row>
    <row r="7103" spans="1:1">
      <c r="A7103" s="576"/>
    </row>
    <row r="7104" spans="1:1">
      <c r="A7104" s="576"/>
    </row>
    <row r="7105" spans="1:1">
      <c r="A7105" s="576"/>
    </row>
    <row r="7106" spans="1:1">
      <c r="A7106" s="576"/>
    </row>
    <row r="7107" spans="1:1">
      <c r="A7107" s="576"/>
    </row>
    <row r="7108" spans="1:1">
      <c r="A7108" s="576"/>
    </row>
    <row r="7109" spans="1:1">
      <c r="A7109" s="576"/>
    </row>
    <row r="7110" spans="1:1">
      <c r="A7110" s="576"/>
    </row>
    <row r="7111" spans="1:1">
      <c r="A7111" s="576"/>
    </row>
    <row r="7112" spans="1:1">
      <c r="A7112" s="576"/>
    </row>
    <row r="7113" spans="1:1">
      <c r="A7113" s="576"/>
    </row>
    <row r="7114" spans="1:1">
      <c r="A7114" s="576"/>
    </row>
    <row r="7115" spans="1:1">
      <c r="A7115" s="576"/>
    </row>
    <row r="7116" spans="1:1">
      <c r="A7116" s="576"/>
    </row>
    <row r="7117" spans="1:1">
      <c r="A7117" s="576"/>
    </row>
    <row r="7118" spans="1:1">
      <c r="A7118" s="576"/>
    </row>
    <row r="7119" spans="1:1">
      <c r="A7119" s="576"/>
    </row>
    <row r="7120" spans="1:1">
      <c r="A7120" s="576"/>
    </row>
    <row r="7121" spans="1:1">
      <c r="A7121" s="576"/>
    </row>
    <row r="7122" spans="1:1">
      <c r="A7122" s="576"/>
    </row>
    <row r="7123" spans="1:1">
      <c r="A7123" s="576"/>
    </row>
    <row r="7124" spans="1:1">
      <c r="A7124" s="576"/>
    </row>
    <row r="7125" spans="1:1">
      <c r="A7125" s="576"/>
    </row>
    <row r="7126" spans="1:1">
      <c r="A7126" s="576"/>
    </row>
    <row r="7127" spans="1:1">
      <c r="A7127" s="576"/>
    </row>
    <row r="7128" spans="1:1">
      <c r="A7128" s="576"/>
    </row>
    <row r="7129" spans="1:1">
      <c r="A7129" s="576"/>
    </row>
    <row r="7130" spans="1:1">
      <c r="A7130" s="576"/>
    </row>
    <row r="7131" spans="1:1">
      <c r="A7131" s="576"/>
    </row>
    <row r="7132" spans="1:1">
      <c r="A7132" s="576"/>
    </row>
    <row r="7133" spans="1:1">
      <c r="A7133" s="576"/>
    </row>
    <row r="7134" spans="1:1">
      <c r="A7134" s="576"/>
    </row>
    <row r="7135" spans="1:1">
      <c r="A7135" s="576"/>
    </row>
    <row r="7136" spans="1:1">
      <c r="A7136" s="576"/>
    </row>
    <row r="7137" spans="1:1">
      <c r="A7137" s="576"/>
    </row>
    <row r="7138" spans="1:1">
      <c r="A7138" s="576"/>
    </row>
    <row r="7139" spans="1:1">
      <c r="A7139" s="576"/>
    </row>
    <row r="7140" spans="1:1">
      <c r="A7140" s="576"/>
    </row>
    <row r="7141" spans="1:1">
      <c r="A7141" s="576"/>
    </row>
    <row r="7142" spans="1:1">
      <c r="A7142" s="576"/>
    </row>
    <row r="7143" spans="1:1">
      <c r="A7143" s="576"/>
    </row>
    <row r="7144" spans="1:1">
      <c r="A7144" s="576"/>
    </row>
    <row r="7145" spans="1:1">
      <c r="A7145" s="576"/>
    </row>
    <row r="7146" spans="1:1">
      <c r="A7146" s="576"/>
    </row>
    <row r="7147" spans="1:1">
      <c r="A7147" s="576"/>
    </row>
    <row r="7148" spans="1:1">
      <c r="A7148" s="576"/>
    </row>
    <row r="7149" spans="1:1">
      <c r="A7149" s="576"/>
    </row>
    <row r="7150" spans="1:1">
      <c r="A7150" s="576"/>
    </row>
    <row r="7151" spans="1:1">
      <c r="A7151" s="576"/>
    </row>
    <row r="7152" spans="1:1">
      <c r="A7152" s="576"/>
    </row>
    <row r="7153" spans="1:1">
      <c r="A7153" s="576"/>
    </row>
    <row r="7154" spans="1:1">
      <c r="A7154" s="576"/>
    </row>
    <row r="7155" spans="1:1">
      <c r="A7155" s="576"/>
    </row>
    <row r="7156" spans="1:1">
      <c r="A7156" s="576"/>
    </row>
    <row r="7157" spans="1:1">
      <c r="A7157" s="576"/>
    </row>
    <row r="7158" spans="1:1">
      <c r="A7158" s="576"/>
    </row>
    <row r="7159" spans="1:1">
      <c r="A7159" s="576"/>
    </row>
    <row r="7160" spans="1:1">
      <c r="A7160" s="576"/>
    </row>
    <row r="7161" spans="1:1">
      <c r="A7161" s="576"/>
    </row>
    <row r="7162" spans="1:1">
      <c r="A7162" s="576"/>
    </row>
    <row r="7163" spans="1:1">
      <c r="A7163" s="576"/>
    </row>
    <row r="7164" spans="1:1">
      <c r="A7164" s="576"/>
    </row>
    <row r="7165" spans="1:1">
      <c r="A7165" s="576"/>
    </row>
    <row r="7166" spans="1:1">
      <c r="A7166" s="576"/>
    </row>
    <row r="7167" spans="1:1">
      <c r="A7167" s="576"/>
    </row>
    <row r="7168" spans="1:1">
      <c r="A7168" s="576"/>
    </row>
    <row r="7169" spans="1:1">
      <c r="A7169" s="576"/>
    </row>
    <row r="7170" spans="1:1">
      <c r="A7170" s="576"/>
    </row>
    <row r="7171" spans="1:1">
      <c r="A7171" s="576"/>
    </row>
    <row r="7172" spans="1:1">
      <c r="A7172" s="576"/>
    </row>
    <row r="7173" spans="1:1">
      <c r="A7173" s="576"/>
    </row>
    <row r="7174" spans="1:1">
      <c r="A7174" s="576"/>
    </row>
    <row r="7175" spans="1:1">
      <c r="A7175" s="576"/>
    </row>
    <row r="7176" spans="1:1">
      <c r="A7176" s="576"/>
    </row>
    <row r="7177" spans="1:1">
      <c r="A7177" s="576"/>
    </row>
    <row r="7178" spans="1:1">
      <c r="A7178" s="576"/>
    </row>
    <row r="7179" spans="1:1">
      <c r="A7179" s="576"/>
    </row>
    <row r="7180" spans="1:1">
      <c r="A7180" s="576"/>
    </row>
    <row r="7181" spans="1:1">
      <c r="A7181" s="576"/>
    </row>
    <row r="7182" spans="1:1">
      <c r="A7182" s="576"/>
    </row>
    <row r="7183" spans="1:1">
      <c r="A7183" s="576"/>
    </row>
    <row r="7184" spans="1:1">
      <c r="A7184" s="576"/>
    </row>
    <row r="7185" spans="1:1">
      <c r="A7185" s="576"/>
    </row>
    <row r="7186" spans="1:1">
      <c r="A7186" s="576"/>
    </row>
    <row r="7187" spans="1:1">
      <c r="A7187" s="576"/>
    </row>
    <row r="7188" spans="1:1">
      <c r="A7188" s="576"/>
    </row>
    <row r="7189" spans="1:1">
      <c r="A7189" s="576"/>
    </row>
    <row r="7190" spans="1:1">
      <c r="A7190" s="576"/>
    </row>
    <row r="7191" spans="1:1">
      <c r="A7191" s="576"/>
    </row>
    <row r="7192" spans="1:1">
      <c r="A7192" s="576"/>
    </row>
    <row r="7193" spans="1:1">
      <c r="A7193" s="576"/>
    </row>
    <row r="7194" spans="1:1">
      <c r="A7194" s="576"/>
    </row>
    <row r="7195" spans="1:1">
      <c r="A7195" s="576"/>
    </row>
    <row r="7196" spans="1:1">
      <c r="A7196" s="576"/>
    </row>
    <row r="7197" spans="1:1">
      <c r="A7197" s="576"/>
    </row>
    <row r="7198" spans="1:1">
      <c r="A7198" s="576"/>
    </row>
    <row r="7199" spans="1:1">
      <c r="A7199" s="576"/>
    </row>
    <row r="7200" spans="1:1">
      <c r="A7200" s="576"/>
    </row>
    <row r="7201" spans="1:1">
      <c r="A7201" s="576"/>
    </row>
    <row r="7202" spans="1:1">
      <c r="A7202" s="576"/>
    </row>
    <row r="7203" spans="1:1">
      <c r="A7203" s="576"/>
    </row>
    <row r="7204" spans="1:1">
      <c r="A7204" s="576"/>
    </row>
    <row r="7205" spans="1:1">
      <c r="A7205" s="576"/>
    </row>
    <row r="7206" spans="1:1">
      <c r="A7206" s="576"/>
    </row>
    <row r="7207" spans="1:1">
      <c r="A7207" s="576"/>
    </row>
    <row r="7208" spans="1:1">
      <c r="A7208" s="576"/>
    </row>
    <row r="7209" spans="1:1">
      <c r="A7209" s="576"/>
    </row>
    <row r="7210" spans="1:1">
      <c r="A7210" s="576"/>
    </row>
    <row r="7211" spans="1:1">
      <c r="A7211" s="576"/>
    </row>
    <row r="7212" spans="1:1">
      <c r="A7212" s="576"/>
    </row>
    <row r="7213" spans="1:1">
      <c r="A7213" s="576"/>
    </row>
    <row r="7214" spans="1:1">
      <c r="A7214" s="576"/>
    </row>
    <row r="7215" spans="1:1">
      <c r="A7215" s="576"/>
    </row>
    <row r="7216" spans="1:1">
      <c r="A7216" s="576"/>
    </row>
    <row r="7217" spans="1:1">
      <c r="A7217" s="576"/>
    </row>
    <row r="7218" spans="1:1">
      <c r="A7218" s="576"/>
    </row>
    <row r="7219" spans="1:1">
      <c r="A7219" s="576"/>
    </row>
    <row r="7220" spans="1:1">
      <c r="A7220" s="576"/>
    </row>
    <row r="7221" spans="1:1">
      <c r="A7221" s="576"/>
    </row>
    <row r="7222" spans="1:1">
      <c r="A7222" s="576"/>
    </row>
    <row r="7223" spans="1:1">
      <c r="A7223" s="576"/>
    </row>
    <row r="7224" spans="1:1">
      <c r="A7224" s="576"/>
    </row>
    <row r="7225" spans="1:1">
      <c r="A7225" s="576"/>
    </row>
    <row r="7226" spans="1:1">
      <c r="A7226" s="576"/>
    </row>
    <row r="7227" spans="1:1">
      <c r="A7227" s="576"/>
    </row>
    <row r="7228" spans="1:1">
      <c r="A7228" s="576"/>
    </row>
    <row r="7229" spans="1:1">
      <c r="A7229" s="576"/>
    </row>
    <row r="7230" spans="1:1">
      <c r="A7230" s="576"/>
    </row>
    <row r="7231" spans="1:1">
      <c r="A7231" s="576"/>
    </row>
    <row r="7232" spans="1:1">
      <c r="A7232" s="576"/>
    </row>
    <row r="7233" spans="1:1">
      <c r="A7233" s="576"/>
    </row>
    <row r="7234" spans="1:1">
      <c r="A7234" s="576"/>
    </row>
    <row r="7235" spans="1:1">
      <c r="A7235" s="576"/>
    </row>
    <row r="7236" spans="1:1">
      <c r="A7236" s="576"/>
    </row>
    <row r="7237" spans="1:1">
      <c r="A7237" s="576"/>
    </row>
    <row r="7238" spans="1:1">
      <c r="A7238" s="576"/>
    </row>
    <row r="7239" spans="1:1">
      <c r="A7239" s="576"/>
    </row>
    <row r="7240" spans="1:1">
      <c r="A7240" s="576"/>
    </row>
    <row r="7241" spans="1:1">
      <c r="A7241" s="576"/>
    </row>
    <row r="7242" spans="1:1">
      <c r="A7242" s="576"/>
    </row>
    <row r="7243" spans="1:1">
      <c r="A7243" s="576"/>
    </row>
    <row r="7244" spans="1:1">
      <c r="A7244" s="576"/>
    </row>
    <row r="7245" spans="1:1">
      <c r="A7245" s="576"/>
    </row>
    <row r="7246" spans="1:1">
      <c r="A7246" s="576"/>
    </row>
    <row r="7247" spans="1:1">
      <c r="A7247" s="576"/>
    </row>
    <row r="7248" spans="1:1">
      <c r="A7248" s="576"/>
    </row>
    <row r="7249" spans="1:1">
      <c r="A7249" s="576"/>
    </row>
    <row r="7250" spans="1:1">
      <c r="A7250" s="576"/>
    </row>
    <row r="7251" spans="1:1">
      <c r="A7251" s="576"/>
    </row>
    <row r="7252" spans="1:1">
      <c r="A7252" s="576"/>
    </row>
    <row r="7253" spans="1:1">
      <c r="A7253" s="576"/>
    </row>
    <row r="7254" spans="1:1">
      <c r="A7254" s="576"/>
    </row>
    <row r="7255" spans="1:1">
      <c r="A7255" s="576"/>
    </row>
    <row r="7256" spans="1:1">
      <c r="A7256" s="576"/>
    </row>
    <row r="7257" spans="1:1">
      <c r="A7257" s="576"/>
    </row>
    <row r="7258" spans="1:1">
      <c r="A7258" s="576"/>
    </row>
    <row r="7259" spans="1:1">
      <c r="A7259" s="576"/>
    </row>
    <row r="7260" spans="1:1">
      <c r="A7260" s="576"/>
    </row>
    <row r="7261" spans="1:1">
      <c r="A7261" s="576"/>
    </row>
    <row r="7262" spans="1:1">
      <c r="A7262" s="576"/>
    </row>
    <row r="7263" spans="1:1">
      <c r="A7263" s="576"/>
    </row>
    <row r="7264" spans="1:1">
      <c r="A7264" s="576"/>
    </row>
    <row r="7265" spans="1:1">
      <c r="A7265" s="576"/>
    </row>
    <row r="7266" spans="1:1">
      <c r="A7266" s="576"/>
    </row>
    <row r="7267" spans="1:1">
      <c r="A7267" s="576"/>
    </row>
    <row r="7268" spans="1:1">
      <c r="A7268" s="576"/>
    </row>
    <row r="7269" spans="1:1">
      <c r="A7269" s="576"/>
    </row>
    <row r="7270" spans="1:1">
      <c r="A7270" s="576"/>
    </row>
    <row r="7271" spans="1:1">
      <c r="A7271" s="576"/>
    </row>
    <row r="7272" spans="1:1">
      <c r="A7272" s="576"/>
    </row>
    <row r="7273" spans="1:1">
      <c r="A7273" s="576"/>
    </row>
    <row r="7274" spans="1:1">
      <c r="A7274" s="576"/>
    </row>
    <row r="7275" spans="1:1">
      <c r="A7275" s="576"/>
    </row>
    <row r="7276" spans="1:1">
      <c r="A7276" s="576"/>
    </row>
    <row r="7277" spans="1:1">
      <c r="A7277" s="576"/>
    </row>
    <row r="7278" spans="1:1">
      <c r="A7278" s="576"/>
    </row>
    <row r="7279" spans="1:1">
      <c r="A7279" s="576"/>
    </row>
    <row r="7280" spans="1:1">
      <c r="A7280" s="576"/>
    </row>
    <row r="7281" spans="1:1">
      <c r="A7281" s="576"/>
    </row>
    <row r="7282" spans="1:1">
      <c r="A7282" s="576"/>
    </row>
    <row r="7283" spans="1:1">
      <c r="A7283" s="576"/>
    </row>
    <row r="7284" spans="1:1">
      <c r="A7284" s="576"/>
    </row>
    <row r="7285" spans="1:1">
      <c r="A7285" s="576"/>
    </row>
    <row r="7286" spans="1:1">
      <c r="A7286" s="576"/>
    </row>
    <row r="7287" spans="1:1">
      <c r="A7287" s="576"/>
    </row>
    <row r="7288" spans="1:1">
      <c r="A7288" s="576"/>
    </row>
    <row r="7289" spans="1:1">
      <c r="A7289" s="576"/>
    </row>
    <row r="7290" spans="1:1">
      <c r="A7290" s="576"/>
    </row>
    <row r="7291" spans="1:1">
      <c r="A7291" s="576"/>
    </row>
    <row r="7292" spans="1:1">
      <c r="A7292" s="576"/>
    </row>
    <row r="7293" spans="1:1">
      <c r="A7293" s="576"/>
    </row>
    <row r="7294" spans="1:1">
      <c r="A7294" s="576"/>
    </row>
    <row r="7295" spans="1:1">
      <c r="A7295" s="576"/>
    </row>
    <row r="7296" spans="1:1">
      <c r="A7296" s="576"/>
    </row>
    <row r="7297" spans="1:1">
      <c r="A7297" s="576"/>
    </row>
    <row r="7298" spans="1:1">
      <c r="A7298" s="576"/>
    </row>
    <row r="7299" spans="1:1">
      <c r="A7299" s="576"/>
    </row>
    <row r="7300" spans="1:1">
      <c r="A7300" s="576"/>
    </row>
    <row r="7301" spans="1:1">
      <c r="A7301" s="576"/>
    </row>
    <row r="7302" spans="1:1">
      <c r="A7302" s="576"/>
    </row>
    <row r="7303" spans="1:1">
      <c r="A7303" s="576"/>
    </row>
    <row r="7304" spans="1:1">
      <c r="A7304" s="576"/>
    </row>
    <row r="7305" spans="1:1">
      <c r="A7305" s="576"/>
    </row>
    <row r="7306" spans="1:1">
      <c r="A7306" s="576"/>
    </row>
    <row r="7307" spans="1:1">
      <c r="A7307" s="576"/>
    </row>
    <row r="7308" spans="1:1">
      <c r="A7308" s="576"/>
    </row>
    <row r="7309" spans="1:1">
      <c r="A7309" s="576"/>
    </row>
    <row r="7310" spans="1:1">
      <c r="A7310" s="576"/>
    </row>
    <row r="7311" spans="1:1">
      <c r="A7311" s="576"/>
    </row>
    <row r="7312" spans="1:1">
      <c r="A7312" s="576"/>
    </row>
    <row r="7313" spans="1:1">
      <c r="A7313" s="576"/>
    </row>
    <row r="7314" spans="1:1">
      <c r="A7314" s="576"/>
    </row>
    <row r="7315" spans="1:1">
      <c r="A7315" s="576"/>
    </row>
    <row r="7316" spans="1:1">
      <c r="A7316" s="576"/>
    </row>
    <row r="7317" spans="1:1">
      <c r="A7317" s="576"/>
    </row>
    <row r="7318" spans="1:1">
      <c r="A7318" s="576"/>
    </row>
    <row r="7319" spans="1:1">
      <c r="A7319" s="576"/>
    </row>
    <row r="7320" spans="1:1">
      <c r="A7320" s="576"/>
    </row>
    <row r="7321" spans="1:1">
      <c r="A7321" s="576"/>
    </row>
    <row r="7322" spans="1:1">
      <c r="A7322" s="576"/>
    </row>
    <row r="7323" spans="1:1">
      <c r="A7323" s="576"/>
    </row>
    <row r="7324" spans="1:1">
      <c r="A7324" s="576"/>
    </row>
    <row r="7325" spans="1:1">
      <c r="A7325" s="576"/>
    </row>
    <row r="7326" spans="1:1">
      <c r="A7326" s="576"/>
    </row>
    <row r="7327" spans="1:1">
      <c r="A7327" s="576"/>
    </row>
    <row r="7328" spans="1:1">
      <c r="A7328" s="576"/>
    </row>
    <row r="7329" spans="1:1">
      <c r="A7329" s="576"/>
    </row>
    <row r="7330" spans="1:1">
      <c r="A7330" s="576"/>
    </row>
    <row r="7331" spans="1:1">
      <c r="A7331" s="576"/>
    </row>
    <row r="7332" spans="1:1">
      <c r="A7332" s="576"/>
    </row>
    <row r="7333" spans="1:1">
      <c r="A7333" s="576"/>
    </row>
    <row r="7334" spans="1:1">
      <c r="A7334" s="576"/>
    </row>
    <row r="7335" spans="1:1">
      <c r="A7335" s="576"/>
    </row>
    <row r="7336" spans="1:1">
      <c r="A7336" s="576"/>
    </row>
    <row r="7337" spans="1:1">
      <c r="A7337" s="576"/>
    </row>
    <row r="7338" spans="1:1">
      <c r="A7338" s="576"/>
    </row>
    <row r="7339" spans="1:1">
      <c r="A7339" s="576"/>
    </row>
    <row r="7340" spans="1:1">
      <c r="A7340" s="576"/>
    </row>
    <row r="7341" spans="1:1">
      <c r="A7341" s="576"/>
    </row>
    <row r="7342" spans="1:1">
      <c r="A7342" s="576"/>
    </row>
    <row r="7343" spans="1:1">
      <c r="A7343" s="576"/>
    </row>
    <row r="7344" spans="1:1">
      <c r="A7344" s="576"/>
    </row>
    <row r="7345" spans="1:1">
      <c r="A7345" s="576"/>
    </row>
    <row r="7346" spans="1:1">
      <c r="A7346" s="576"/>
    </row>
    <row r="7347" spans="1:1">
      <c r="A7347" s="576"/>
    </row>
    <row r="7348" spans="1:1">
      <c r="A7348" s="576"/>
    </row>
    <row r="7349" spans="1:1">
      <c r="A7349" s="576"/>
    </row>
    <row r="7350" spans="1:1">
      <c r="A7350" s="576"/>
    </row>
    <row r="7351" spans="1:1">
      <c r="A7351" s="576"/>
    </row>
    <row r="7352" spans="1:1">
      <c r="A7352" s="576"/>
    </row>
    <row r="7353" spans="1:1">
      <c r="A7353" s="576"/>
    </row>
    <row r="7354" spans="1:1">
      <c r="A7354" s="576"/>
    </row>
    <row r="7355" spans="1:1">
      <c r="A7355" s="576"/>
    </row>
    <row r="7356" spans="1:1">
      <c r="A7356" s="576"/>
    </row>
    <row r="7357" spans="1:1">
      <c r="A7357" s="576"/>
    </row>
    <row r="7358" spans="1:1">
      <c r="A7358" s="576"/>
    </row>
    <row r="7359" spans="1:1">
      <c r="A7359" s="576"/>
    </row>
    <row r="7360" spans="1:1">
      <c r="A7360" s="576"/>
    </row>
    <row r="7361" spans="1:1">
      <c r="A7361" s="576"/>
    </row>
    <row r="7362" spans="1:1">
      <c r="A7362" s="576"/>
    </row>
    <row r="7363" spans="1:1">
      <c r="A7363" s="576"/>
    </row>
    <row r="7364" spans="1:1">
      <c r="A7364" s="576"/>
    </row>
    <row r="7365" spans="1:1">
      <c r="A7365" s="576"/>
    </row>
    <row r="7366" spans="1:1">
      <c r="A7366" s="576"/>
    </row>
    <row r="7367" spans="1:1">
      <c r="A7367" s="576"/>
    </row>
    <row r="7368" spans="1:1">
      <c r="A7368" s="576"/>
    </row>
    <row r="7369" spans="1:1">
      <c r="A7369" s="576"/>
    </row>
    <row r="7370" spans="1:1">
      <c r="A7370" s="576"/>
    </row>
    <row r="7371" spans="1:1">
      <c r="A7371" s="576"/>
    </row>
    <row r="7372" spans="1:1">
      <c r="A7372" s="576"/>
    </row>
    <row r="7373" spans="1:1">
      <c r="A7373" s="576"/>
    </row>
    <row r="7374" spans="1:1">
      <c r="A7374" s="576"/>
    </row>
    <row r="7375" spans="1:1">
      <c r="A7375" s="576"/>
    </row>
    <row r="7376" spans="1:1">
      <c r="A7376" s="576"/>
    </row>
    <row r="7377" spans="1:1">
      <c r="A7377" s="576"/>
    </row>
    <row r="7378" spans="1:1">
      <c r="A7378" s="576"/>
    </row>
    <row r="7379" spans="1:1">
      <c r="A7379" s="576"/>
    </row>
    <row r="7380" spans="1:1">
      <c r="A7380" s="576"/>
    </row>
    <row r="7381" spans="1:1">
      <c r="A7381" s="576"/>
    </row>
    <row r="7382" spans="1:1">
      <c r="A7382" s="576"/>
    </row>
    <row r="7383" spans="1:1">
      <c r="A7383" s="576"/>
    </row>
    <row r="7384" spans="1:1">
      <c r="A7384" s="576"/>
    </row>
    <row r="7385" spans="1:1">
      <c r="A7385" s="576"/>
    </row>
    <row r="7386" spans="1:1">
      <c r="A7386" s="576"/>
    </row>
    <row r="7387" spans="1:1">
      <c r="A7387" s="576"/>
    </row>
    <row r="7388" spans="1:1">
      <c r="A7388" s="576"/>
    </row>
    <row r="7389" spans="1:1">
      <c r="A7389" s="576"/>
    </row>
    <row r="7390" spans="1:1">
      <c r="A7390" s="576"/>
    </row>
    <row r="7391" spans="1:1">
      <c r="A7391" s="576"/>
    </row>
    <row r="7392" spans="1:1">
      <c r="A7392" s="576"/>
    </row>
    <row r="7393" spans="1:1">
      <c r="A7393" s="576"/>
    </row>
    <row r="7394" spans="1:1">
      <c r="A7394" s="576"/>
    </row>
    <row r="7395" spans="1:1">
      <c r="A7395" s="576"/>
    </row>
    <row r="7396" spans="1:1">
      <c r="A7396" s="576"/>
    </row>
    <row r="7397" spans="1:1">
      <c r="A7397" s="576"/>
    </row>
    <row r="7398" spans="1:1">
      <c r="A7398" s="576"/>
    </row>
    <row r="7399" spans="1:1">
      <c r="A7399" s="576"/>
    </row>
    <row r="7400" spans="1:1">
      <c r="A7400" s="576"/>
    </row>
    <row r="7401" spans="1:1">
      <c r="A7401" s="576"/>
    </row>
    <row r="7402" spans="1:1">
      <c r="A7402" s="576"/>
    </row>
    <row r="7403" spans="1:1">
      <c r="A7403" s="576"/>
    </row>
    <row r="7404" spans="1:1">
      <c r="A7404" s="576"/>
    </row>
    <row r="7405" spans="1:1">
      <c r="A7405" s="576"/>
    </row>
    <row r="7406" spans="1:1">
      <c r="A7406" s="576"/>
    </row>
    <row r="7407" spans="1:1">
      <c r="A7407" s="576"/>
    </row>
    <row r="7408" spans="1:1">
      <c r="A7408" s="576"/>
    </row>
    <row r="7409" spans="1:1">
      <c r="A7409" s="576"/>
    </row>
    <row r="7410" spans="1:1">
      <c r="A7410" s="576"/>
    </row>
    <row r="7411" spans="1:1">
      <c r="A7411" s="576"/>
    </row>
    <row r="7412" spans="1:1">
      <c r="A7412" s="576"/>
    </row>
    <row r="7413" spans="1:1">
      <c r="A7413" s="576"/>
    </row>
    <row r="7414" spans="1:1">
      <c r="A7414" s="576"/>
    </row>
    <row r="7415" spans="1:1">
      <c r="A7415" s="576"/>
    </row>
    <row r="7416" spans="1:1">
      <c r="A7416" s="576"/>
    </row>
    <row r="7417" spans="1:1">
      <c r="A7417" s="576"/>
    </row>
    <row r="7418" spans="1:1">
      <c r="A7418" s="576"/>
    </row>
    <row r="7419" spans="1:1">
      <c r="A7419" s="576"/>
    </row>
    <row r="7420" spans="1:1">
      <c r="A7420" s="576"/>
    </row>
    <row r="7421" spans="1:1">
      <c r="A7421" s="576"/>
    </row>
    <row r="7422" spans="1:1">
      <c r="A7422" s="576"/>
    </row>
    <row r="7423" spans="1:1">
      <c r="A7423" s="576"/>
    </row>
    <row r="7424" spans="1:1">
      <c r="A7424" s="576"/>
    </row>
    <row r="7425" spans="1:1">
      <c r="A7425" s="576"/>
    </row>
    <row r="7426" spans="1:1">
      <c r="A7426" s="576"/>
    </row>
    <row r="7427" spans="1:1">
      <c r="A7427" s="576"/>
    </row>
    <row r="7428" spans="1:1">
      <c r="A7428" s="576"/>
    </row>
    <row r="7429" spans="1:1">
      <c r="A7429" s="576"/>
    </row>
    <row r="7430" spans="1:1">
      <c r="A7430" s="576"/>
    </row>
    <row r="7431" spans="1:1">
      <c r="A7431" s="576"/>
    </row>
    <row r="7432" spans="1:1">
      <c r="A7432" s="576"/>
    </row>
    <row r="7433" spans="1:1">
      <c r="A7433" s="576"/>
    </row>
    <row r="7434" spans="1:1">
      <c r="A7434" s="576"/>
    </row>
    <row r="7435" spans="1:1">
      <c r="A7435" s="576"/>
    </row>
    <row r="7436" spans="1:1">
      <c r="A7436" s="576"/>
    </row>
    <row r="7437" spans="1:1">
      <c r="A7437" s="576"/>
    </row>
    <row r="7438" spans="1:1">
      <c r="A7438" s="576"/>
    </row>
    <row r="7439" spans="1:1">
      <c r="A7439" s="576"/>
    </row>
    <row r="7440" spans="1:1">
      <c r="A7440" s="576"/>
    </row>
    <row r="7441" spans="1:1">
      <c r="A7441" s="576"/>
    </row>
    <row r="7442" spans="1:1">
      <c r="A7442" s="576"/>
    </row>
    <row r="7443" spans="1:1">
      <c r="A7443" s="576"/>
    </row>
    <row r="7444" spans="1:1">
      <c r="A7444" s="576"/>
    </row>
    <row r="7445" spans="1:1">
      <c r="A7445" s="576"/>
    </row>
    <row r="7446" spans="1:1">
      <c r="A7446" s="576"/>
    </row>
    <row r="7447" spans="1:1">
      <c r="A7447" s="576"/>
    </row>
    <row r="7448" spans="1:1">
      <c r="A7448" s="576"/>
    </row>
    <row r="7449" spans="1:1">
      <c r="A7449" s="576"/>
    </row>
    <row r="7450" spans="1:1">
      <c r="A7450" s="576"/>
    </row>
    <row r="7451" spans="1:1">
      <c r="A7451" s="576"/>
    </row>
    <row r="7452" spans="1:1">
      <c r="A7452" s="576"/>
    </row>
    <row r="7453" spans="1:1">
      <c r="A7453" s="576"/>
    </row>
    <row r="7454" spans="1:1">
      <c r="A7454" s="576"/>
    </row>
    <row r="7455" spans="1:1">
      <c r="A7455" s="576"/>
    </row>
    <row r="7456" spans="1:1">
      <c r="A7456" s="576"/>
    </row>
    <row r="7457" spans="1:1">
      <c r="A7457" s="576"/>
    </row>
    <row r="7458" spans="1:1">
      <c r="A7458" s="576"/>
    </row>
    <row r="7459" spans="1:1">
      <c r="A7459" s="576"/>
    </row>
    <row r="7460" spans="1:1">
      <c r="A7460" s="576"/>
    </row>
    <row r="7461" spans="1:1">
      <c r="A7461" s="576"/>
    </row>
    <row r="7462" spans="1:1">
      <c r="A7462" s="576"/>
    </row>
    <row r="7463" spans="1:1">
      <c r="A7463" s="576"/>
    </row>
    <row r="7464" spans="1:1">
      <c r="A7464" s="576"/>
    </row>
    <row r="7465" spans="1:1">
      <c r="A7465" s="576"/>
    </row>
    <row r="7466" spans="1:1">
      <c r="A7466" s="576"/>
    </row>
    <row r="7467" spans="1:1">
      <c r="A7467" s="576"/>
    </row>
    <row r="7468" spans="1:1">
      <c r="A7468" s="576"/>
    </row>
    <row r="7469" spans="1:1">
      <c r="A7469" s="576"/>
    </row>
    <row r="7470" spans="1:1">
      <c r="A7470" s="576"/>
    </row>
    <row r="7471" spans="1:1">
      <c r="A7471" s="576"/>
    </row>
    <row r="7472" spans="1:1">
      <c r="A7472" s="576"/>
    </row>
    <row r="7473" spans="1:1">
      <c r="A7473" s="576"/>
    </row>
    <row r="7474" spans="1:1">
      <c r="A7474" s="576"/>
    </row>
    <row r="7475" spans="1:1">
      <c r="A7475" s="576"/>
    </row>
    <row r="7476" spans="1:1">
      <c r="A7476" s="576"/>
    </row>
    <row r="7477" spans="1:1">
      <c r="A7477" s="576"/>
    </row>
    <row r="7478" spans="1:1">
      <c r="A7478" s="576"/>
    </row>
    <row r="7479" spans="1:1">
      <c r="A7479" s="576"/>
    </row>
    <row r="7480" spans="1:1">
      <c r="A7480" s="576"/>
    </row>
    <row r="7481" spans="1:1">
      <c r="A7481" s="576"/>
    </row>
    <row r="7482" spans="1:1">
      <c r="A7482" s="576"/>
    </row>
    <row r="7483" spans="1:1">
      <c r="A7483" s="576"/>
    </row>
    <row r="7484" spans="1:1">
      <c r="A7484" s="576"/>
    </row>
    <row r="7485" spans="1:1">
      <c r="A7485" s="576"/>
    </row>
    <row r="7486" spans="1:1">
      <c r="A7486" s="576"/>
    </row>
    <row r="7487" spans="1:1">
      <c r="A7487" s="576"/>
    </row>
    <row r="7488" spans="1:1">
      <c r="A7488" s="576"/>
    </row>
    <row r="7489" spans="1:1">
      <c r="A7489" s="576"/>
    </row>
    <row r="7490" spans="1:1">
      <c r="A7490" s="576"/>
    </row>
    <row r="7491" spans="1:1">
      <c r="A7491" s="576"/>
    </row>
    <row r="7492" spans="1:1">
      <c r="A7492" s="576"/>
    </row>
    <row r="7493" spans="1:1">
      <c r="A7493" s="576"/>
    </row>
    <row r="7494" spans="1:1">
      <c r="A7494" s="576"/>
    </row>
    <row r="7495" spans="1:1">
      <c r="A7495" s="576"/>
    </row>
    <row r="7496" spans="1:1">
      <c r="A7496" s="576"/>
    </row>
    <row r="7497" spans="1:1">
      <c r="A7497" s="576"/>
    </row>
    <row r="7498" spans="1:1">
      <c r="A7498" s="576"/>
    </row>
    <row r="7499" spans="1:1">
      <c r="A7499" s="576"/>
    </row>
    <row r="7500" spans="1:1">
      <c r="A7500" s="576"/>
    </row>
    <row r="7501" spans="1:1">
      <c r="A7501" s="576"/>
    </row>
    <row r="7502" spans="1:1">
      <c r="A7502" s="576"/>
    </row>
    <row r="7503" spans="1:1">
      <c r="A7503" s="576"/>
    </row>
    <row r="7504" spans="1:1">
      <c r="A7504" s="576"/>
    </row>
    <row r="7505" spans="1:1">
      <c r="A7505" s="576"/>
    </row>
    <row r="7506" spans="1:1">
      <c r="A7506" s="576"/>
    </row>
    <row r="7507" spans="1:1">
      <c r="A7507" s="576"/>
    </row>
    <row r="7508" spans="1:1">
      <c r="A7508" s="576"/>
    </row>
    <row r="7509" spans="1:1">
      <c r="A7509" s="576"/>
    </row>
    <row r="7510" spans="1:1">
      <c r="A7510" s="576"/>
    </row>
    <row r="7511" spans="1:1">
      <c r="A7511" s="576"/>
    </row>
    <row r="7512" spans="1:1">
      <c r="A7512" s="576"/>
    </row>
    <row r="7513" spans="1:1">
      <c r="A7513" s="576"/>
    </row>
    <row r="7514" spans="1:1">
      <c r="A7514" s="576"/>
    </row>
    <row r="7515" spans="1:1">
      <c r="A7515" s="576"/>
    </row>
    <row r="7516" spans="1:1">
      <c r="A7516" s="576"/>
    </row>
    <row r="7517" spans="1:1">
      <c r="A7517" s="576"/>
    </row>
    <row r="7518" spans="1:1">
      <c r="A7518" s="576"/>
    </row>
    <row r="7519" spans="1:1">
      <c r="A7519" s="576"/>
    </row>
    <row r="7520" spans="1:1">
      <c r="A7520" s="576"/>
    </row>
    <row r="7521" spans="1:1">
      <c r="A7521" s="576"/>
    </row>
    <row r="7522" spans="1:1">
      <c r="A7522" s="576"/>
    </row>
    <row r="7523" spans="1:1">
      <c r="A7523" s="576"/>
    </row>
    <row r="7524" spans="1:1">
      <c r="A7524" s="576"/>
    </row>
    <row r="7525" spans="1:1">
      <c r="A7525" s="576"/>
    </row>
    <row r="7526" spans="1:1">
      <c r="A7526" s="576"/>
    </row>
    <row r="7527" spans="1:1">
      <c r="A7527" s="576"/>
    </row>
    <row r="7528" spans="1:1">
      <c r="A7528" s="576"/>
    </row>
    <row r="7529" spans="1:1">
      <c r="A7529" s="576"/>
    </row>
    <row r="7530" spans="1:1">
      <c r="A7530" s="576"/>
    </row>
    <row r="7531" spans="1:1">
      <c r="A7531" s="576"/>
    </row>
    <row r="7532" spans="1:1">
      <c r="A7532" s="576"/>
    </row>
    <row r="7533" spans="1:1">
      <c r="A7533" s="576"/>
    </row>
    <row r="7534" spans="1:1">
      <c r="A7534" s="576"/>
    </row>
    <row r="7535" spans="1:1">
      <c r="A7535" s="576"/>
    </row>
    <row r="7536" spans="1:1">
      <c r="A7536" s="576"/>
    </row>
    <row r="7537" spans="1:1">
      <c r="A7537" s="576"/>
    </row>
    <row r="7538" spans="1:1">
      <c r="A7538" s="576"/>
    </row>
    <row r="7539" spans="1:1">
      <c r="A7539" s="576"/>
    </row>
    <row r="7540" spans="1:1">
      <c r="A7540" s="576"/>
    </row>
    <row r="7541" spans="1:1">
      <c r="A7541" s="576"/>
    </row>
    <row r="7542" spans="1:1">
      <c r="A7542" s="576"/>
    </row>
    <row r="7543" spans="1:1">
      <c r="A7543" s="576"/>
    </row>
    <row r="7544" spans="1:1">
      <c r="A7544" s="576"/>
    </row>
    <row r="7545" spans="1:1">
      <c r="A7545" s="576"/>
    </row>
    <row r="7546" spans="1:1">
      <c r="A7546" s="576"/>
    </row>
    <row r="7547" spans="1:1">
      <c r="A7547" s="576"/>
    </row>
    <row r="7548" spans="1:1">
      <c r="A7548" s="576"/>
    </row>
    <row r="7549" spans="1:1">
      <c r="A7549" s="576"/>
    </row>
    <row r="7550" spans="1:1">
      <c r="A7550" s="576"/>
    </row>
    <row r="7551" spans="1:1">
      <c r="A7551" s="576"/>
    </row>
    <row r="7552" spans="1:1">
      <c r="A7552" s="576"/>
    </row>
    <row r="7553" spans="1:1">
      <c r="A7553" s="576"/>
    </row>
    <row r="7554" spans="1:1">
      <c r="A7554" s="576"/>
    </row>
    <row r="7555" spans="1:1">
      <c r="A7555" s="576"/>
    </row>
    <row r="7556" spans="1:1">
      <c r="A7556" s="576"/>
    </row>
    <row r="7557" spans="1:1">
      <c r="A7557" s="576"/>
    </row>
    <row r="7558" spans="1:1">
      <c r="A7558" s="576"/>
    </row>
    <row r="7559" spans="1:1">
      <c r="A7559" s="576"/>
    </row>
    <row r="7560" spans="1:1">
      <c r="A7560" s="576"/>
    </row>
    <row r="7561" spans="1:1">
      <c r="A7561" s="576"/>
    </row>
    <row r="7562" spans="1:1">
      <c r="A7562" s="576"/>
    </row>
    <row r="7563" spans="1:1">
      <c r="A7563" s="576"/>
    </row>
    <row r="7564" spans="1:1">
      <c r="A7564" s="576"/>
    </row>
    <row r="7565" spans="1:1">
      <c r="A7565" s="576"/>
    </row>
    <row r="7566" spans="1:1">
      <c r="A7566" s="576"/>
    </row>
    <row r="7567" spans="1:1">
      <c r="A7567" s="576"/>
    </row>
    <row r="7568" spans="1:1">
      <c r="A7568" s="576"/>
    </row>
    <row r="7569" spans="1:1">
      <c r="A7569" s="576"/>
    </row>
    <row r="7570" spans="1:1">
      <c r="A7570" s="576"/>
    </row>
    <row r="7571" spans="1:1">
      <c r="A7571" s="576"/>
    </row>
    <row r="7572" spans="1:1">
      <c r="A7572" s="576"/>
    </row>
    <row r="7573" spans="1:1">
      <c r="A7573" s="576"/>
    </row>
    <row r="7574" spans="1:1">
      <c r="A7574" s="576"/>
    </row>
    <row r="7575" spans="1:1">
      <c r="A7575" s="576"/>
    </row>
    <row r="7576" spans="1:1">
      <c r="A7576" s="576"/>
    </row>
    <row r="7577" spans="1:1">
      <c r="A7577" s="576"/>
    </row>
    <row r="7578" spans="1:1">
      <c r="A7578" s="576"/>
    </row>
    <row r="7579" spans="1:1">
      <c r="A7579" s="576"/>
    </row>
    <row r="7580" spans="1:1">
      <c r="A7580" s="576"/>
    </row>
    <row r="7581" spans="1:1">
      <c r="A7581" s="576"/>
    </row>
    <row r="7582" spans="1:1">
      <c r="A7582" s="576"/>
    </row>
    <row r="7583" spans="1:1">
      <c r="A7583" s="576"/>
    </row>
    <row r="7584" spans="1:1">
      <c r="A7584" s="576"/>
    </row>
    <row r="7585" spans="1:1">
      <c r="A7585" s="576"/>
    </row>
    <row r="7586" spans="1:1">
      <c r="A7586" s="576"/>
    </row>
    <row r="7587" spans="1:1">
      <c r="A7587" s="576"/>
    </row>
    <row r="7588" spans="1:1">
      <c r="A7588" s="576"/>
    </row>
    <row r="7589" spans="1:1">
      <c r="A7589" s="576"/>
    </row>
    <row r="7590" spans="1:1">
      <c r="A7590" s="576"/>
    </row>
    <row r="7591" spans="1:1">
      <c r="A7591" s="576"/>
    </row>
    <row r="7592" spans="1:1">
      <c r="A7592" s="576"/>
    </row>
    <row r="7593" spans="1:1">
      <c r="A7593" s="576"/>
    </row>
    <row r="7594" spans="1:1">
      <c r="A7594" s="576"/>
    </row>
    <row r="7595" spans="1:1">
      <c r="A7595" s="576"/>
    </row>
    <row r="7596" spans="1:1">
      <c r="A7596" s="576"/>
    </row>
    <row r="7597" spans="1:1">
      <c r="A7597" s="576"/>
    </row>
    <row r="7598" spans="1:1">
      <c r="A7598" s="576"/>
    </row>
    <row r="7599" spans="1:1">
      <c r="A7599" s="576"/>
    </row>
    <row r="7600" spans="1:1">
      <c r="A7600" s="576"/>
    </row>
    <row r="7601" spans="1:1">
      <c r="A7601" s="576"/>
    </row>
    <row r="7602" spans="1:1">
      <c r="A7602" s="576"/>
    </row>
    <row r="7603" spans="1:1">
      <c r="A7603" s="576"/>
    </row>
    <row r="7604" spans="1:1">
      <c r="A7604" s="576"/>
    </row>
    <row r="7605" spans="1:1">
      <c r="A7605" s="576"/>
    </row>
    <row r="7606" spans="1:1">
      <c r="A7606" s="576"/>
    </row>
    <row r="7607" spans="1:1">
      <c r="A7607" s="576"/>
    </row>
    <row r="7608" spans="1:1">
      <c r="A7608" s="576"/>
    </row>
    <row r="7609" spans="1:1">
      <c r="A7609" s="576"/>
    </row>
    <row r="7610" spans="1:1">
      <c r="A7610" s="576"/>
    </row>
    <row r="7611" spans="1:1">
      <c r="A7611" s="576"/>
    </row>
    <row r="7612" spans="1:1">
      <c r="A7612" s="576"/>
    </row>
    <row r="7613" spans="1:1">
      <c r="A7613" s="576"/>
    </row>
    <row r="7614" spans="1:1">
      <c r="A7614" s="576"/>
    </row>
    <row r="7615" spans="1:1">
      <c r="A7615" s="576"/>
    </row>
    <row r="7616" spans="1:1">
      <c r="A7616" s="576"/>
    </row>
    <row r="7617" spans="1:1">
      <c r="A7617" s="576"/>
    </row>
    <row r="7618" spans="1:1">
      <c r="A7618" s="576"/>
    </row>
    <row r="7619" spans="1:1">
      <c r="A7619" s="576"/>
    </row>
    <row r="7620" spans="1:1">
      <c r="A7620" s="576"/>
    </row>
    <row r="7621" spans="1:1">
      <c r="A7621" s="576"/>
    </row>
    <row r="7622" spans="1:1">
      <c r="A7622" s="576"/>
    </row>
    <row r="7623" spans="1:1">
      <c r="A7623" s="576"/>
    </row>
    <row r="7624" spans="1:1">
      <c r="A7624" s="576"/>
    </row>
    <row r="7625" spans="1:1">
      <c r="A7625" s="576"/>
    </row>
    <row r="7626" spans="1:1">
      <c r="A7626" s="576"/>
    </row>
    <row r="7627" spans="1:1">
      <c r="A7627" s="576"/>
    </row>
    <row r="7628" spans="1:1">
      <c r="A7628" s="576"/>
    </row>
    <row r="7629" spans="1:1">
      <c r="A7629" s="576"/>
    </row>
    <row r="7630" spans="1:1">
      <c r="A7630" s="576"/>
    </row>
    <row r="7631" spans="1:1">
      <c r="A7631" s="576"/>
    </row>
    <row r="7632" spans="1:1">
      <c r="A7632" s="576"/>
    </row>
    <row r="7633" spans="1:1">
      <c r="A7633" s="576"/>
    </row>
    <row r="7634" spans="1:1">
      <c r="A7634" s="576"/>
    </row>
    <row r="7635" spans="1:1">
      <c r="A7635" s="576"/>
    </row>
    <row r="7636" spans="1:1">
      <c r="A7636" s="576"/>
    </row>
    <row r="7637" spans="1:1">
      <c r="A7637" s="576"/>
    </row>
    <row r="7638" spans="1:1">
      <c r="A7638" s="576"/>
    </row>
    <row r="7639" spans="1:1">
      <c r="A7639" s="576"/>
    </row>
    <row r="7640" spans="1:1">
      <c r="A7640" s="576"/>
    </row>
    <row r="7641" spans="1:1">
      <c r="A7641" s="576"/>
    </row>
    <row r="7642" spans="1:1">
      <c r="A7642" s="576"/>
    </row>
    <row r="7643" spans="1:1">
      <c r="A7643" s="576"/>
    </row>
    <row r="7644" spans="1:1">
      <c r="A7644" s="576"/>
    </row>
    <row r="7645" spans="1:1">
      <c r="A7645" s="576"/>
    </row>
    <row r="7646" spans="1:1">
      <c r="A7646" s="576"/>
    </row>
    <row r="7647" spans="1:1">
      <c r="A7647" s="576"/>
    </row>
    <row r="7648" spans="1:1">
      <c r="A7648" s="576"/>
    </row>
    <row r="7649" spans="1:1">
      <c r="A7649" s="576"/>
    </row>
    <row r="7650" spans="1:1">
      <c r="A7650" s="576"/>
    </row>
    <row r="7651" spans="1:1">
      <c r="A7651" s="576"/>
    </row>
    <row r="7652" spans="1:1">
      <c r="A7652" s="576"/>
    </row>
    <row r="7653" spans="1:1">
      <c r="A7653" s="576"/>
    </row>
    <row r="7654" spans="1:1">
      <c r="A7654" s="576"/>
    </row>
    <row r="7655" spans="1:1">
      <c r="A7655" s="576"/>
    </row>
    <row r="7656" spans="1:1">
      <c r="A7656" s="576"/>
    </row>
    <row r="7657" spans="1:1">
      <c r="A7657" s="576"/>
    </row>
    <row r="7658" spans="1:1">
      <c r="A7658" s="576"/>
    </row>
    <row r="7659" spans="1:1">
      <c r="A7659" s="576"/>
    </row>
    <row r="7660" spans="1:1">
      <c r="A7660" s="576"/>
    </row>
    <row r="7661" spans="1:1">
      <c r="A7661" s="576"/>
    </row>
    <row r="7662" spans="1:1">
      <c r="A7662" s="576"/>
    </row>
    <row r="7663" spans="1:1">
      <c r="A7663" s="576"/>
    </row>
    <row r="7664" spans="1:1">
      <c r="A7664" s="576"/>
    </row>
    <row r="7665" spans="1:1">
      <c r="A7665" s="576"/>
    </row>
    <row r="7666" spans="1:1">
      <c r="A7666" s="576"/>
    </row>
    <row r="7667" spans="1:1">
      <c r="A7667" s="576"/>
    </row>
    <row r="7668" spans="1:1">
      <c r="A7668" s="576"/>
    </row>
    <row r="7669" spans="1:1">
      <c r="A7669" s="576"/>
    </row>
    <row r="7670" spans="1:1">
      <c r="A7670" s="576"/>
    </row>
    <row r="7671" spans="1:1">
      <c r="A7671" s="576"/>
    </row>
    <row r="7672" spans="1:1">
      <c r="A7672" s="576"/>
    </row>
    <row r="7673" spans="1:1">
      <c r="A7673" s="576"/>
    </row>
    <row r="7674" spans="1:1">
      <c r="A7674" s="576"/>
    </row>
    <row r="7675" spans="1:1">
      <c r="A7675" s="576"/>
    </row>
    <row r="7676" spans="1:1">
      <c r="A7676" s="576"/>
    </row>
    <row r="7677" spans="1:1">
      <c r="A7677" s="576"/>
    </row>
    <row r="7678" spans="1:1">
      <c r="A7678" s="576"/>
    </row>
    <row r="7679" spans="1:1">
      <c r="A7679" s="576"/>
    </row>
    <row r="7680" spans="1:1">
      <c r="A7680" s="576"/>
    </row>
    <row r="7681" spans="1:1">
      <c r="A7681" s="576"/>
    </row>
    <row r="7682" spans="1:1">
      <c r="A7682" s="576"/>
    </row>
    <row r="7683" spans="1:1">
      <c r="A7683" s="576"/>
    </row>
    <row r="7684" spans="1:1">
      <c r="A7684" s="576"/>
    </row>
    <row r="7685" spans="1:1">
      <c r="A7685" s="576"/>
    </row>
    <row r="7686" spans="1:1">
      <c r="A7686" s="576"/>
    </row>
    <row r="7687" spans="1:1">
      <c r="A7687" s="576"/>
    </row>
    <row r="7688" spans="1:1">
      <c r="A7688" s="576"/>
    </row>
    <row r="7689" spans="1:1">
      <c r="A7689" s="576"/>
    </row>
    <row r="7690" spans="1:1">
      <c r="A7690" s="576"/>
    </row>
    <row r="7691" spans="1:1">
      <c r="A7691" s="576"/>
    </row>
    <row r="7692" spans="1:1">
      <c r="A7692" s="576"/>
    </row>
    <row r="7693" spans="1:1">
      <c r="A7693" s="576"/>
    </row>
    <row r="7694" spans="1:1">
      <c r="A7694" s="576"/>
    </row>
    <row r="7695" spans="1:1">
      <c r="A7695" s="576"/>
    </row>
    <row r="7696" spans="1:1">
      <c r="A7696" s="576"/>
    </row>
    <row r="7697" spans="1:1">
      <c r="A7697" s="576"/>
    </row>
    <row r="7698" spans="1:1">
      <c r="A7698" s="576"/>
    </row>
    <row r="7699" spans="1:1">
      <c r="A7699" s="576"/>
    </row>
    <row r="7700" spans="1:1">
      <c r="A7700" s="576"/>
    </row>
    <row r="7701" spans="1:1">
      <c r="A7701" s="576"/>
    </row>
    <row r="7702" spans="1:1">
      <c r="A7702" s="576"/>
    </row>
    <row r="7703" spans="1:1">
      <c r="A7703" s="576"/>
    </row>
    <row r="7704" spans="1:1">
      <c r="A7704" s="576"/>
    </row>
    <row r="7705" spans="1:1">
      <c r="A7705" s="576"/>
    </row>
    <row r="7706" spans="1:1">
      <c r="A7706" s="576"/>
    </row>
    <row r="7707" spans="1:1">
      <c r="A7707" s="576"/>
    </row>
    <row r="7708" spans="1:1">
      <c r="A7708" s="576"/>
    </row>
    <row r="7709" spans="1:1">
      <c r="A7709" s="576"/>
    </row>
    <row r="7710" spans="1:1">
      <c r="A7710" s="576"/>
    </row>
    <row r="7711" spans="1:1">
      <c r="A7711" s="576"/>
    </row>
    <row r="7712" spans="1:1">
      <c r="A7712" s="576"/>
    </row>
    <row r="7713" spans="1:1">
      <c r="A7713" s="576"/>
    </row>
    <row r="7714" spans="1:1">
      <c r="A7714" s="576"/>
    </row>
    <row r="7715" spans="1:1">
      <c r="A7715" s="576"/>
    </row>
    <row r="7716" spans="1:1">
      <c r="A7716" s="576"/>
    </row>
    <row r="7717" spans="1:1">
      <c r="A7717" s="576"/>
    </row>
    <row r="7718" spans="1:1">
      <c r="A7718" s="576"/>
    </row>
    <row r="7719" spans="1:1">
      <c r="A7719" s="576"/>
    </row>
    <row r="7720" spans="1:1">
      <c r="A7720" s="576"/>
    </row>
    <row r="7721" spans="1:1">
      <c r="A7721" s="576"/>
    </row>
    <row r="7722" spans="1:1">
      <c r="A7722" s="576"/>
    </row>
    <row r="7723" spans="1:1">
      <c r="A7723" s="576"/>
    </row>
    <row r="7724" spans="1:1">
      <c r="A7724" s="576"/>
    </row>
    <row r="7725" spans="1:1">
      <c r="A7725" s="576"/>
    </row>
    <row r="7726" spans="1:1">
      <c r="A7726" s="576"/>
    </row>
    <row r="7727" spans="1:1">
      <c r="A7727" s="576"/>
    </row>
    <row r="7728" spans="1:1">
      <c r="A7728" s="576"/>
    </row>
    <row r="7729" spans="1:1">
      <c r="A7729" s="576"/>
    </row>
    <row r="7730" spans="1:1">
      <c r="A7730" s="576"/>
    </row>
    <row r="7731" spans="1:1">
      <c r="A7731" s="576"/>
    </row>
    <row r="7732" spans="1:1">
      <c r="A7732" s="576"/>
    </row>
    <row r="7733" spans="1:1">
      <c r="A7733" s="576"/>
    </row>
    <row r="7734" spans="1:1">
      <c r="A7734" s="576"/>
    </row>
    <row r="7735" spans="1:1">
      <c r="A7735" s="576"/>
    </row>
    <row r="7736" spans="1:1">
      <c r="A7736" s="576"/>
    </row>
    <row r="7737" spans="1:1">
      <c r="A7737" s="576"/>
    </row>
    <row r="7738" spans="1:1">
      <c r="A7738" s="576"/>
    </row>
    <row r="7739" spans="1:1">
      <c r="A7739" s="576"/>
    </row>
    <row r="7740" spans="1:1">
      <c r="A7740" s="576"/>
    </row>
    <row r="7741" spans="1:1">
      <c r="A7741" s="576"/>
    </row>
    <row r="7742" spans="1:1">
      <c r="A7742" s="576"/>
    </row>
    <row r="7743" spans="1:1">
      <c r="A7743" s="576"/>
    </row>
    <row r="7744" spans="1:1">
      <c r="A7744" s="576"/>
    </row>
    <row r="7745" spans="1:1">
      <c r="A7745" s="576"/>
    </row>
    <row r="7746" spans="1:1">
      <c r="A7746" s="576"/>
    </row>
    <row r="7747" spans="1:1">
      <c r="A7747" s="576"/>
    </row>
    <row r="7748" spans="1:1">
      <c r="A7748" s="576"/>
    </row>
    <row r="7749" spans="1:1">
      <c r="A7749" s="576"/>
    </row>
    <row r="7750" spans="1:1">
      <c r="A7750" s="576"/>
    </row>
    <row r="7751" spans="1:1">
      <c r="A7751" s="576"/>
    </row>
    <row r="7752" spans="1:1">
      <c r="A7752" s="576"/>
    </row>
    <row r="7753" spans="1:1">
      <c r="A7753" s="576"/>
    </row>
    <row r="7754" spans="1:1">
      <c r="A7754" s="576"/>
    </row>
    <row r="7755" spans="1:1">
      <c r="A7755" s="576"/>
    </row>
    <row r="7756" spans="1:1">
      <c r="A7756" s="576"/>
    </row>
    <row r="7757" spans="1:1">
      <c r="A7757" s="576"/>
    </row>
    <row r="7758" spans="1:1">
      <c r="A7758" s="576"/>
    </row>
    <row r="7759" spans="1:1">
      <c r="A7759" s="576"/>
    </row>
    <row r="7760" spans="1:1">
      <c r="A7760" s="576"/>
    </row>
    <row r="7761" spans="1:1">
      <c r="A7761" s="576"/>
    </row>
    <row r="7762" spans="1:1">
      <c r="A7762" s="576"/>
    </row>
    <row r="7763" spans="1:1">
      <c r="A7763" s="576"/>
    </row>
    <row r="7764" spans="1:1">
      <c r="A7764" s="576"/>
    </row>
    <row r="7765" spans="1:1">
      <c r="A7765" s="576"/>
    </row>
    <row r="7766" spans="1:1">
      <c r="A7766" s="576"/>
    </row>
    <row r="7767" spans="1:1">
      <c r="A7767" s="576"/>
    </row>
    <row r="7768" spans="1:1">
      <c r="A7768" s="576"/>
    </row>
    <row r="7769" spans="1:1">
      <c r="A7769" s="576"/>
    </row>
    <row r="7770" spans="1:1">
      <c r="A7770" s="576"/>
    </row>
    <row r="7771" spans="1:1">
      <c r="A7771" s="576"/>
    </row>
    <row r="7772" spans="1:1">
      <c r="A7772" s="576"/>
    </row>
    <row r="7773" spans="1:1">
      <c r="A7773" s="576"/>
    </row>
    <row r="7774" spans="1:1">
      <c r="A7774" s="576"/>
    </row>
    <row r="7775" spans="1:1">
      <c r="A7775" s="576"/>
    </row>
    <row r="7776" spans="1:1">
      <c r="A7776" s="576"/>
    </row>
    <row r="7777" spans="1:1">
      <c r="A7777" s="576"/>
    </row>
    <row r="7778" spans="1:1">
      <c r="A7778" s="576"/>
    </row>
    <row r="7779" spans="1:1">
      <c r="A7779" s="576"/>
    </row>
    <row r="7780" spans="1:1">
      <c r="A7780" s="576"/>
    </row>
    <row r="7781" spans="1:1">
      <c r="A7781" s="576"/>
    </row>
    <row r="7782" spans="1:1">
      <c r="A7782" s="576"/>
    </row>
    <row r="7783" spans="1:1">
      <c r="A7783" s="576"/>
    </row>
    <row r="7784" spans="1:1">
      <c r="A7784" s="576"/>
    </row>
    <row r="7785" spans="1:1">
      <c r="A7785" s="576"/>
    </row>
    <row r="7786" spans="1:1">
      <c r="A7786" s="576"/>
    </row>
    <row r="7787" spans="1:1">
      <c r="A7787" s="576"/>
    </row>
    <row r="7788" spans="1:1">
      <c r="A7788" s="576"/>
    </row>
    <row r="7789" spans="1:1">
      <c r="A7789" s="576"/>
    </row>
    <row r="7790" spans="1:1">
      <c r="A7790" s="576"/>
    </row>
    <row r="7791" spans="1:1">
      <c r="A7791" s="576"/>
    </row>
    <row r="7792" spans="1:1">
      <c r="A7792" s="576"/>
    </row>
    <row r="7793" spans="1:1">
      <c r="A7793" s="576"/>
    </row>
    <row r="7794" spans="1:1">
      <c r="A7794" s="576"/>
    </row>
    <row r="7795" spans="1:1">
      <c r="A7795" s="576"/>
    </row>
    <row r="7796" spans="1:1">
      <c r="A7796" s="576"/>
    </row>
    <row r="7797" spans="1:1">
      <c r="A7797" s="576"/>
    </row>
    <row r="7798" spans="1:1">
      <c r="A7798" s="576"/>
    </row>
    <row r="7799" spans="1:1">
      <c r="A7799" s="576"/>
    </row>
    <row r="7800" spans="1:1">
      <c r="A7800" s="576"/>
    </row>
    <row r="7801" spans="1:1">
      <c r="A7801" s="576"/>
    </row>
    <row r="7802" spans="1:1">
      <c r="A7802" s="576"/>
    </row>
    <row r="7803" spans="1:1">
      <c r="A7803" s="576"/>
    </row>
    <row r="7804" spans="1:1">
      <c r="A7804" s="576"/>
    </row>
    <row r="7805" spans="1:1">
      <c r="A7805" s="576"/>
    </row>
    <row r="7806" spans="1:1">
      <c r="A7806" s="576"/>
    </row>
    <row r="7807" spans="1:1">
      <c r="A7807" s="576"/>
    </row>
    <row r="7808" spans="1:1">
      <c r="A7808" s="576"/>
    </row>
    <row r="7809" spans="1:1">
      <c r="A7809" s="576"/>
    </row>
    <row r="7810" spans="1:1">
      <c r="A7810" s="576"/>
    </row>
    <row r="7811" spans="1:1">
      <c r="A7811" s="576"/>
    </row>
    <row r="7812" spans="1:1">
      <c r="A7812" s="576"/>
    </row>
    <row r="7813" spans="1:1">
      <c r="A7813" s="576"/>
    </row>
    <row r="7814" spans="1:1">
      <c r="A7814" s="576"/>
    </row>
    <row r="7815" spans="1:1">
      <c r="A7815" s="576"/>
    </row>
    <row r="7816" spans="1:1">
      <c r="A7816" s="576"/>
    </row>
    <row r="7817" spans="1:1">
      <c r="A7817" s="576"/>
    </row>
    <row r="7818" spans="1:1">
      <c r="A7818" s="576"/>
    </row>
    <row r="7819" spans="1:1">
      <c r="A7819" s="576"/>
    </row>
    <row r="7820" spans="1:1">
      <c r="A7820" s="576"/>
    </row>
    <row r="7821" spans="1:1">
      <c r="A7821" s="576"/>
    </row>
    <row r="7822" spans="1:1">
      <c r="A7822" s="576"/>
    </row>
    <row r="7823" spans="1:1">
      <c r="A7823" s="576"/>
    </row>
    <row r="7824" spans="1:1">
      <c r="A7824" s="576"/>
    </row>
    <row r="7825" spans="1:1">
      <c r="A7825" s="576"/>
    </row>
    <row r="7826" spans="1:1">
      <c r="A7826" s="576"/>
    </row>
    <row r="7827" spans="1:1">
      <c r="A7827" s="576"/>
    </row>
    <row r="7828" spans="1:1">
      <c r="A7828" s="576"/>
    </row>
    <row r="7829" spans="1:1">
      <c r="A7829" s="576"/>
    </row>
    <row r="7830" spans="1:1">
      <c r="A7830" s="576"/>
    </row>
    <row r="7831" spans="1:1">
      <c r="A7831" s="576"/>
    </row>
    <row r="7832" spans="1:1">
      <c r="A7832" s="576"/>
    </row>
    <row r="7833" spans="1:1">
      <c r="A7833" s="576"/>
    </row>
    <row r="7834" spans="1:1">
      <c r="A7834" s="576"/>
    </row>
    <row r="7835" spans="1:1">
      <c r="A7835" s="576"/>
    </row>
    <row r="7836" spans="1:1">
      <c r="A7836" s="576"/>
    </row>
    <row r="7837" spans="1:1">
      <c r="A7837" s="576"/>
    </row>
    <row r="7838" spans="1:1">
      <c r="A7838" s="576"/>
    </row>
    <row r="7839" spans="1:1">
      <c r="A7839" s="576"/>
    </row>
    <row r="7840" spans="1:1">
      <c r="A7840" s="576"/>
    </row>
    <row r="7841" spans="1:1">
      <c r="A7841" s="576"/>
    </row>
    <row r="7842" spans="1:1">
      <c r="A7842" s="576"/>
    </row>
    <row r="7843" spans="1:1">
      <c r="A7843" s="576"/>
    </row>
    <row r="7844" spans="1:1">
      <c r="A7844" s="576"/>
    </row>
    <row r="7845" spans="1:1">
      <c r="A7845" s="576"/>
    </row>
    <row r="7846" spans="1:1">
      <c r="A7846" s="576"/>
    </row>
    <row r="7847" spans="1:1">
      <c r="A7847" s="576"/>
    </row>
    <row r="7848" spans="1:1">
      <c r="A7848" s="576"/>
    </row>
    <row r="7849" spans="1:1">
      <c r="A7849" s="576"/>
    </row>
    <row r="7850" spans="1:1">
      <c r="A7850" s="576"/>
    </row>
    <row r="7851" spans="1:1">
      <c r="A7851" s="576"/>
    </row>
    <row r="7852" spans="1:1">
      <c r="A7852" s="576"/>
    </row>
    <row r="7853" spans="1:1">
      <c r="A7853" s="576"/>
    </row>
    <row r="7854" spans="1:1">
      <c r="A7854" s="576"/>
    </row>
    <row r="7855" spans="1:1">
      <c r="A7855" s="576"/>
    </row>
    <row r="7856" spans="1:1">
      <c r="A7856" s="576"/>
    </row>
    <row r="7857" spans="1:1">
      <c r="A7857" s="576"/>
    </row>
    <row r="7858" spans="1:1">
      <c r="A7858" s="576"/>
    </row>
    <row r="7859" spans="1:1">
      <c r="A7859" s="576"/>
    </row>
    <row r="7860" spans="1:1">
      <c r="A7860" s="576"/>
    </row>
    <row r="7861" spans="1:1">
      <c r="A7861" s="576"/>
    </row>
    <row r="7862" spans="1:1">
      <c r="A7862" s="576"/>
    </row>
    <row r="7863" spans="1:1">
      <c r="A7863" s="576"/>
    </row>
    <row r="7864" spans="1:1">
      <c r="A7864" s="576"/>
    </row>
    <row r="7865" spans="1:1">
      <c r="A7865" s="576"/>
    </row>
    <row r="7866" spans="1:1">
      <c r="A7866" s="576"/>
    </row>
    <row r="7867" spans="1:1">
      <c r="A7867" s="576"/>
    </row>
    <row r="7868" spans="1:1">
      <c r="A7868" s="576"/>
    </row>
    <row r="7869" spans="1:1">
      <c r="A7869" s="576"/>
    </row>
    <row r="7870" spans="1:1">
      <c r="A7870" s="576"/>
    </row>
    <row r="7871" spans="1:1">
      <c r="A7871" s="576"/>
    </row>
    <row r="7872" spans="1:1">
      <c r="A7872" s="576"/>
    </row>
    <row r="7873" spans="1:1">
      <c r="A7873" s="576"/>
    </row>
    <row r="7874" spans="1:1">
      <c r="A7874" s="576"/>
    </row>
    <row r="7875" spans="1:1">
      <c r="A7875" s="576"/>
    </row>
    <row r="7876" spans="1:1">
      <c r="A7876" s="576"/>
    </row>
    <row r="7877" spans="1:1">
      <c r="A7877" s="576"/>
    </row>
    <row r="7878" spans="1:1">
      <c r="A7878" s="576"/>
    </row>
    <row r="7879" spans="1:1">
      <c r="A7879" s="576"/>
    </row>
    <row r="7880" spans="1:1">
      <c r="A7880" s="576"/>
    </row>
    <row r="7881" spans="1:1">
      <c r="A7881" s="576"/>
    </row>
    <row r="7882" spans="1:1">
      <c r="A7882" s="576"/>
    </row>
    <row r="7883" spans="1:1">
      <c r="A7883" s="576"/>
    </row>
    <row r="7884" spans="1:1">
      <c r="A7884" s="576"/>
    </row>
    <row r="7885" spans="1:1">
      <c r="A7885" s="576"/>
    </row>
    <row r="7886" spans="1:1">
      <c r="A7886" s="576"/>
    </row>
    <row r="7887" spans="1:1">
      <c r="A7887" s="576"/>
    </row>
    <row r="7888" spans="1:1">
      <c r="A7888" s="576"/>
    </row>
    <row r="7889" spans="1:1">
      <c r="A7889" s="576"/>
    </row>
    <row r="7890" spans="1:1">
      <c r="A7890" s="576"/>
    </row>
    <row r="7891" spans="1:1">
      <c r="A7891" s="576"/>
    </row>
    <row r="7892" spans="1:1">
      <c r="A7892" s="576"/>
    </row>
    <row r="7893" spans="1:1">
      <c r="A7893" s="576"/>
    </row>
    <row r="7894" spans="1:1">
      <c r="A7894" s="576"/>
    </row>
    <row r="7895" spans="1:1">
      <c r="A7895" s="576"/>
    </row>
    <row r="7896" spans="1:1">
      <c r="A7896" s="576"/>
    </row>
    <row r="7897" spans="1:1">
      <c r="A7897" s="576"/>
    </row>
    <row r="7898" spans="1:1">
      <c r="A7898" s="576"/>
    </row>
    <row r="7899" spans="1:1">
      <c r="A7899" s="576"/>
    </row>
    <row r="7900" spans="1:1">
      <c r="A7900" s="576"/>
    </row>
    <row r="7901" spans="1:1">
      <c r="A7901" s="576"/>
    </row>
    <row r="7902" spans="1:1">
      <c r="A7902" s="576"/>
    </row>
    <row r="7903" spans="1:1">
      <c r="A7903" s="576"/>
    </row>
    <row r="7904" spans="1:1">
      <c r="A7904" s="576"/>
    </row>
    <row r="7905" spans="1:1">
      <c r="A7905" s="576"/>
    </row>
    <row r="7906" spans="1:1">
      <c r="A7906" s="576"/>
    </row>
    <row r="7907" spans="1:1">
      <c r="A7907" s="576"/>
    </row>
    <row r="7908" spans="1:1">
      <c r="A7908" s="576"/>
    </row>
    <row r="7909" spans="1:1">
      <c r="A7909" s="576"/>
    </row>
    <row r="7910" spans="1:1">
      <c r="A7910" s="576"/>
    </row>
    <row r="7911" spans="1:1">
      <c r="A7911" s="576"/>
    </row>
    <row r="7912" spans="1:1">
      <c r="A7912" s="576"/>
    </row>
    <row r="7913" spans="1:1">
      <c r="A7913" s="576"/>
    </row>
    <row r="7914" spans="1:1">
      <c r="A7914" s="576"/>
    </row>
    <row r="7915" spans="1:1">
      <c r="A7915" s="576"/>
    </row>
    <row r="7916" spans="1:1">
      <c r="A7916" s="576"/>
    </row>
    <row r="7917" spans="1:1">
      <c r="A7917" s="576"/>
    </row>
    <row r="7918" spans="1:1">
      <c r="A7918" s="576"/>
    </row>
    <row r="7919" spans="1:1">
      <c r="A7919" s="576"/>
    </row>
    <row r="7920" spans="1:1">
      <c r="A7920" s="576"/>
    </row>
    <row r="7921" spans="1:1">
      <c r="A7921" s="576"/>
    </row>
    <row r="7922" spans="1:1">
      <c r="A7922" s="576"/>
    </row>
    <row r="7923" spans="1:1">
      <c r="A7923" s="576"/>
    </row>
    <row r="7924" spans="1:1">
      <c r="A7924" s="576"/>
    </row>
    <row r="7925" spans="1:1">
      <c r="A7925" s="576"/>
    </row>
    <row r="7926" spans="1:1">
      <c r="A7926" s="576"/>
    </row>
    <row r="7927" spans="1:1">
      <c r="A7927" s="576"/>
    </row>
    <row r="7928" spans="1:1">
      <c r="A7928" s="576"/>
    </row>
    <row r="7929" spans="1:1">
      <c r="A7929" s="576"/>
    </row>
    <row r="7930" spans="1:1">
      <c r="A7930" s="576"/>
    </row>
    <row r="7931" spans="1:1">
      <c r="A7931" s="576"/>
    </row>
    <row r="7932" spans="1:1">
      <c r="A7932" s="576"/>
    </row>
    <row r="7933" spans="1:1">
      <c r="A7933" s="576"/>
    </row>
    <row r="7934" spans="1:1">
      <c r="A7934" s="576"/>
    </row>
    <row r="7935" spans="1:1">
      <c r="A7935" s="576"/>
    </row>
    <row r="7936" spans="1:1">
      <c r="A7936" s="576"/>
    </row>
    <row r="7937" spans="1:1">
      <c r="A7937" s="576"/>
    </row>
    <row r="7938" spans="1:1">
      <c r="A7938" s="576"/>
    </row>
    <row r="7939" spans="1:1">
      <c r="A7939" s="576"/>
    </row>
    <row r="7940" spans="1:1">
      <c r="A7940" s="576"/>
    </row>
    <row r="7941" spans="1:1">
      <c r="A7941" s="576"/>
    </row>
    <row r="7942" spans="1:1">
      <c r="A7942" s="576"/>
    </row>
    <row r="7943" spans="1:1">
      <c r="A7943" s="576"/>
    </row>
    <row r="7944" spans="1:1">
      <c r="A7944" s="576"/>
    </row>
    <row r="7945" spans="1:1">
      <c r="A7945" s="576"/>
    </row>
    <row r="7946" spans="1:1">
      <c r="A7946" s="576"/>
    </row>
    <row r="7947" spans="1:1">
      <c r="A7947" s="576"/>
    </row>
    <row r="7948" spans="1:1">
      <c r="A7948" s="576"/>
    </row>
    <row r="7949" spans="1:1">
      <c r="A7949" s="576"/>
    </row>
    <row r="7950" spans="1:1">
      <c r="A7950" s="576"/>
    </row>
    <row r="7951" spans="1:1">
      <c r="A7951" s="576"/>
    </row>
    <row r="7952" spans="1:1">
      <c r="A7952" s="576"/>
    </row>
    <row r="7953" spans="1:1">
      <c r="A7953" s="576"/>
    </row>
    <row r="7954" spans="1:1">
      <c r="A7954" s="576"/>
    </row>
    <row r="7955" spans="1:1">
      <c r="A7955" s="576"/>
    </row>
    <row r="7956" spans="1:1">
      <c r="A7956" s="576"/>
    </row>
    <row r="7957" spans="1:1">
      <c r="A7957" s="576"/>
    </row>
    <row r="7958" spans="1:1">
      <c r="A7958" s="576"/>
    </row>
    <row r="7959" spans="1:1">
      <c r="A7959" s="576"/>
    </row>
    <row r="7960" spans="1:1">
      <c r="A7960" s="576"/>
    </row>
    <row r="7961" spans="1:1">
      <c r="A7961" s="576"/>
    </row>
    <row r="7962" spans="1:1">
      <c r="A7962" s="576"/>
    </row>
    <row r="7963" spans="1:1">
      <c r="A7963" s="576"/>
    </row>
    <row r="7964" spans="1:1">
      <c r="A7964" s="576"/>
    </row>
    <row r="7965" spans="1:1">
      <c r="A7965" s="576"/>
    </row>
    <row r="7966" spans="1:1">
      <c r="A7966" s="576"/>
    </row>
    <row r="7967" spans="1:1">
      <c r="A7967" s="576"/>
    </row>
    <row r="7968" spans="1:1">
      <c r="A7968" s="576"/>
    </row>
    <row r="7969" spans="1:1">
      <c r="A7969" s="576"/>
    </row>
    <row r="7970" spans="1:1">
      <c r="A7970" s="576"/>
    </row>
    <row r="7971" spans="1:1">
      <c r="A7971" s="576"/>
    </row>
    <row r="7972" spans="1:1">
      <c r="A7972" s="576"/>
    </row>
    <row r="7973" spans="1:1">
      <c r="A7973" s="576"/>
    </row>
    <row r="7974" spans="1:1">
      <c r="A7974" s="576"/>
    </row>
    <row r="7975" spans="1:1">
      <c r="A7975" s="576"/>
    </row>
    <row r="7976" spans="1:1">
      <c r="A7976" s="576"/>
    </row>
    <row r="7977" spans="1:1">
      <c r="A7977" s="576"/>
    </row>
    <row r="7978" spans="1:1">
      <c r="A7978" s="576"/>
    </row>
    <row r="7979" spans="1:1">
      <c r="A7979" s="576"/>
    </row>
    <row r="7980" spans="1:1">
      <c r="A7980" s="576"/>
    </row>
    <row r="7981" spans="1:1">
      <c r="A7981" s="576"/>
    </row>
    <row r="7982" spans="1:1">
      <c r="A7982" s="576"/>
    </row>
    <row r="7983" spans="1:1">
      <c r="A7983" s="576"/>
    </row>
    <row r="7984" spans="1:1">
      <c r="A7984" s="576"/>
    </row>
    <row r="7985" spans="1:1">
      <c r="A7985" s="576"/>
    </row>
    <row r="7986" spans="1:1">
      <c r="A7986" s="576"/>
    </row>
    <row r="7987" spans="1:1">
      <c r="A7987" s="576"/>
    </row>
    <row r="7988" spans="1:1">
      <c r="A7988" s="576"/>
    </row>
    <row r="7989" spans="1:1">
      <c r="A7989" s="576"/>
    </row>
    <row r="7990" spans="1:1">
      <c r="A7990" s="576"/>
    </row>
    <row r="7991" spans="1:1">
      <c r="A7991" s="576"/>
    </row>
    <row r="7992" spans="1:1">
      <c r="A7992" s="576"/>
    </row>
    <row r="7993" spans="1:1">
      <c r="A7993" s="576"/>
    </row>
    <row r="7994" spans="1:1">
      <c r="A7994" s="576"/>
    </row>
    <row r="7995" spans="1:1">
      <c r="A7995" s="576"/>
    </row>
    <row r="7996" spans="1:1">
      <c r="A7996" s="576"/>
    </row>
    <row r="7997" spans="1:1">
      <c r="A7997" s="576"/>
    </row>
    <row r="7998" spans="1:1">
      <c r="A7998" s="576"/>
    </row>
    <row r="7999" spans="1:1">
      <c r="A7999" s="576"/>
    </row>
    <row r="8000" spans="1:1">
      <c r="A8000" s="576"/>
    </row>
    <row r="8001" spans="1:1">
      <c r="A8001" s="576"/>
    </row>
    <row r="8002" spans="1:1">
      <c r="A8002" s="576"/>
    </row>
    <row r="8003" spans="1:1">
      <c r="A8003" s="576"/>
    </row>
    <row r="8004" spans="1:1">
      <c r="A8004" s="576"/>
    </row>
    <row r="8005" spans="1:1">
      <c r="A8005" s="576"/>
    </row>
    <row r="8006" spans="1:1">
      <c r="A8006" s="576"/>
    </row>
    <row r="8007" spans="1:1">
      <c r="A8007" s="576"/>
    </row>
    <row r="8008" spans="1:1">
      <c r="A8008" s="576"/>
    </row>
    <row r="8009" spans="1:1">
      <c r="A8009" s="576"/>
    </row>
    <row r="8010" spans="1:1">
      <c r="A8010" s="576"/>
    </row>
    <row r="8011" spans="1:1">
      <c r="A8011" s="576"/>
    </row>
    <row r="8012" spans="1:1">
      <c r="A8012" s="576"/>
    </row>
    <row r="8013" spans="1:1">
      <c r="A8013" s="576"/>
    </row>
    <row r="8014" spans="1:1">
      <c r="A8014" s="576"/>
    </row>
    <row r="8015" spans="1:1">
      <c r="A8015" s="576"/>
    </row>
    <row r="8016" spans="1:1">
      <c r="A8016" s="576"/>
    </row>
    <row r="8017" spans="1:1">
      <c r="A8017" s="576"/>
    </row>
    <row r="8018" spans="1:1">
      <c r="A8018" s="576"/>
    </row>
    <row r="8019" spans="1:1">
      <c r="A8019" s="576"/>
    </row>
    <row r="8020" spans="1:1">
      <c r="A8020" s="576"/>
    </row>
    <row r="8021" spans="1:1">
      <c r="A8021" s="576"/>
    </row>
    <row r="8022" spans="1:1">
      <c r="A8022" s="576"/>
    </row>
    <row r="8023" spans="1:1">
      <c r="A8023" s="576"/>
    </row>
    <row r="8024" spans="1:1">
      <c r="A8024" s="576"/>
    </row>
    <row r="8025" spans="1:1">
      <c r="A8025" s="576"/>
    </row>
    <row r="8026" spans="1:1">
      <c r="A8026" s="576"/>
    </row>
    <row r="8027" spans="1:1">
      <c r="A8027" s="576"/>
    </row>
    <row r="8028" spans="1:1">
      <c r="A8028" s="576"/>
    </row>
    <row r="8029" spans="1:1">
      <c r="A8029" s="576"/>
    </row>
    <row r="8030" spans="1:1">
      <c r="A8030" s="576"/>
    </row>
    <row r="8031" spans="1:1">
      <c r="A8031" s="576"/>
    </row>
    <row r="8032" spans="1:1">
      <c r="A8032" s="576"/>
    </row>
    <row r="8033" spans="1:1">
      <c r="A8033" s="576"/>
    </row>
    <row r="8034" spans="1:1">
      <c r="A8034" s="576"/>
    </row>
    <row r="8035" spans="1:1">
      <c r="A8035" s="576"/>
    </row>
    <row r="8036" spans="1:1">
      <c r="A8036" s="576"/>
    </row>
    <row r="8037" spans="1:1">
      <c r="A8037" s="576"/>
    </row>
    <row r="8038" spans="1:1">
      <c r="A8038" s="576"/>
    </row>
    <row r="8039" spans="1:1">
      <c r="A8039" s="576"/>
    </row>
    <row r="8040" spans="1:1">
      <c r="A8040" s="576"/>
    </row>
    <row r="8041" spans="1:1">
      <c r="A8041" s="576"/>
    </row>
    <row r="8042" spans="1:1">
      <c r="A8042" s="576"/>
    </row>
    <row r="8043" spans="1:1">
      <c r="A8043" s="576"/>
    </row>
    <row r="8044" spans="1:1">
      <c r="A8044" s="576"/>
    </row>
    <row r="8045" spans="1:1">
      <c r="A8045" s="576"/>
    </row>
    <row r="8046" spans="1:1">
      <c r="A8046" s="576"/>
    </row>
    <row r="8047" spans="1:1">
      <c r="A8047" s="576"/>
    </row>
    <row r="8048" spans="1:1">
      <c r="A8048" s="576"/>
    </row>
    <row r="8049" spans="1:1">
      <c r="A8049" s="576"/>
    </row>
    <row r="8050" spans="1:1">
      <c r="A8050" s="576"/>
    </row>
    <row r="8051" spans="1:1">
      <c r="A8051" s="576"/>
    </row>
    <row r="8052" spans="1:1">
      <c r="A8052" s="576"/>
    </row>
    <row r="8053" spans="1:1">
      <c r="A8053" s="576"/>
    </row>
    <row r="8054" spans="1:1">
      <c r="A8054" s="576"/>
    </row>
    <row r="8055" spans="1:1">
      <c r="A8055" s="576"/>
    </row>
    <row r="8056" spans="1:1">
      <c r="A8056" s="576"/>
    </row>
    <row r="8057" spans="1:1">
      <c r="A8057" s="576"/>
    </row>
    <row r="8058" spans="1:1">
      <c r="A8058" s="576"/>
    </row>
    <row r="8059" spans="1:1">
      <c r="A8059" s="576"/>
    </row>
    <row r="8060" spans="1:1">
      <c r="A8060" s="576"/>
    </row>
    <row r="8061" spans="1:1">
      <c r="A8061" s="576"/>
    </row>
    <row r="8062" spans="1:1">
      <c r="A8062" s="576"/>
    </row>
    <row r="8063" spans="1:1">
      <c r="A8063" s="576"/>
    </row>
    <row r="8064" spans="1:1">
      <c r="A8064" s="576"/>
    </row>
    <row r="8065" spans="1:1">
      <c r="A8065" s="576"/>
    </row>
    <row r="8066" spans="1:1">
      <c r="A8066" s="576"/>
    </row>
    <row r="8067" spans="1:1">
      <c r="A8067" s="576"/>
    </row>
    <row r="8068" spans="1:1">
      <c r="A8068" s="576"/>
    </row>
    <row r="8069" spans="1:1">
      <c r="A8069" s="576"/>
    </row>
    <row r="8070" spans="1:1">
      <c r="A8070" s="576"/>
    </row>
    <row r="8071" spans="1:1">
      <c r="A8071" s="576"/>
    </row>
    <row r="8072" spans="1:1">
      <c r="A8072" s="576"/>
    </row>
    <row r="8073" spans="1:1">
      <c r="A8073" s="576"/>
    </row>
    <row r="8074" spans="1:1">
      <c r="A8074" s="576"/>
    </row>
    <row r="8075" spans="1:1">
      <c r="A8075" s="576"/>
    </row>
    <row r="8076" spans="1:1">
      <c r="A8076" s="576"/>
    </row>
    <row r="8077" spans="1:1">
      <c r="A8077" s="576"/>
    </row>
    <row r="8078" spans="1:1">
      <c r="A8078" s="576"/>
    </row>
    <row r="8079" spans="1:1">
      <c r="A8079" s="576"/>
    </row>
    <row r="8080" spans="1:1">
      <c r="A8080" s="576"/>
    </row>
    <row r="8081" spans="1:1">
      <c r="A8081" s="576"/>
    </row>
    <row r="8082" spans="1:1">
      <c r="A8082" s="576"/>
    </row>
    <row r="8083" spans="1:1">
      <c r="A8083" s="576"/>
    </row>
    <row r="8084" spans="1:1">
      <c r="A8084" s="576"/>
    </row>
    <row r="8085" spans="1:1">
      <c r="A8085" s="576"/>
    </row>
    <row r="8086" spans="1:1">
      <c r="A8086" s="576"/>
    </row>
    <row r="8087" spans="1:1">
      <c r="A8087" s="576"/>
    </row>
    <row r="8088" spans="1:1">
      <c r="A8088" s="576"/>
    </row>
    <row r="8089" spans="1:1">
      <c r="A8089" s="576"/>
    </row>
    <row r="8090" spans="1:1">
      <c r="A8090" s="576"/>
    </row>
    <row r="8091" spans="1:1">
      <c r="A8091" s="576"/>
    </row>
    <row r="8092" spans="1:1">
      <c r="A8092" s="576"/>
    </row>
    <row r="8093" spans="1:1">
      <c r="A8093" s="576"/>
    </row>
    <row r="8094" spans="1:1">
      <c r="A8094" s="576"/>
    </row>
    <row r="8095" spans="1:1">
      <c r="A8095" s="576"/>
    </row>
    <row r="8096" spans="1:1">
      <c r="A8096" s="576"/>
    </row>
    <row r="8097" spans="1:1">
      <c r="A8097" s="576"/>
    </row>
    <row r="8098" spans="1:1">
      <c r="A8098" s="576"/>
    </row>
    <row r="8099" spans="1:1">
      <c r="A8099" s="576"/>
    </row>
    <row r="8100" spans="1:1">
      <c r="A8100" s="576"/>
    </row>
    <row r="8101" spans="1:1">
      <c r="A8101" s="576"/>
    </row>
    <row r="8102" spans="1:1">
      <c r="A8102" s="576"/>
    </row>
    <row r="8103" spans="1:1">
      <c r="A8103" s="576"/>
    </row>
    <row r="8104" spans="1:1">
      <c r="A8104" s="576"/>
    </row>
    <row r="8105" spans="1:1">
      <c r="A8105" s="576"/>
    </row>
    <row r="8106" spans="1:1">
      <c r="A8106" s="576"/>
    </row>
    <row r="8107" spans="1:1">
      <c r="A8107" s="576"/>
    </row>
    <row r="8108" spans="1:1">
      <c r="A8108" s="576"/>
    </row>
    <row r="8109" spans="1:1">
      <c r="A8109" s="576"/>
    </row>
    <row r="8110" spans="1:1">
      <c r="A8110" s="576"/>
    </row>
    <row r="8111" spans="1:1">
      <c r="A8111" s="576"/>
    </row>
    <row r="8112" spans="1:1">
      <c r="A8112" s="576"/>
    </row>
    <row r="8113" spans="1:1">
      <c r="A8113" s="576"/>
    </row>
    <row r="8114" spans="1:1">
      <c r="A8114" s="576"/>
    </row>
    <row r="8115" spans="1:1">
      <c r="A8115" s="576"/>
    </row>
    <row r="8116" spans="1:1">
      <c r="A8116" s="576"/>
    </row>
    <row r="8117" spans="1:1">
      <c r="A8117" s="576"/>
    </row>
    <row r="8118" spans="1:1">
      <c r="A8118" s="576"/>
    </row>
    <row r="8119" spans="1:1">
      <c r="A8119" s="576"/>
    </row>
    <row r="8120" spans="1:1">
      <c r="A8120" s="576"/>
    </row>
    <row r="8121" spans="1:1">
      <c r="A8121" s="576"/>
    </row>
    <row r="8122" spans="1:1">
      <c r="A8122" s="576"/>
    </row>
    <row r="8123" spans="1:1">
      <c r="A8123" s="576"/>
    </row>
    <row r="8124" spans="1:1">
      <c r="A8124" s="576"/>
    </row>
    <row r="8125" spans="1:1">
      <c r="A8125" s="576"/>
    </row>
    <row r="8126" spans="1:1">
      <c r="A8126" s="576"/>
    </row>
    <row r="8127" spans="1:1">
      <c r="A8127" s="576"/>
    </row>
    <row r="8128" spans="1:1">
      <c r="A8128" s="576"/>
    </row>
    <row r="8129" spans="1:1">
      <c r="A8129" s="576"/>
    </row>
    <row r="8130" spans="1:1">
      <c r="A8130" s="576"/>
    </row>
    <row r="8131" spans="1:1">
      <c r="A8131" s="576"/>
    </row>
    <row r="8132" spans="1:1">
      <c r="A8132" s="576"/>
    </row>
    <row r="8133" spans="1:1">
      <c r="A8133" s="576"/>
    </row>
    <row r="8134" spans="1:1">
      <c r="A8134" s="576"/>
    </row>
    <row r="8135" spans="1:1">
      <c r="A8135" s="576"/>
    </row>
    <row r="8136" spans="1:1">
      <c r="A8136" s="576"/>
    </row>
    <row r="8137" spans="1:1">
      <c r="A8137" s="576"/>
    </row>
    <row r="8138" spans="1:1">
      <c r="A8138" s="576"/>
    </row>
    <row r="8139" spans="1:1">
      <c r="A8139" s="576"/>
    </row>
    <row r="8140" spans="1:1">
      <c r="A8140" s="576"/>
    </row>
    <row r="8141" spans="1:1">
      <c r="A8141" s="576"/>
    </row>
    <row r="8142" spans="1:1">
      <c r="A8142" s="576"/>
    </row>
    <row r="8143" spans="1:1">
      <c r="A8143" s="576"/>
    </row>
    <row r="8144" spans="1:1">
      <c r="A8144" s="576"/>
    </row>
    <row r="8145" spans="1:1">
      <c r="A8145" s="576"/>
    </row>
    <row r="8146" spans="1:1">
      <c r="A8146" s="576"/>
    </row>
    <row r="8147" spans="1:1">
      <c r="A8147" s="576"/>
    </row>
    <row r="8148" spans="1:1">
      <c r="A8148" s="576"/>
    </row>
    <row r="8149" spans="1:1">
      <c r="A8149" s="576"/>
    </row>
    <row r="8150" spans="1:1">
      <c r="A8150" s="576"/>
    </row>
    <row r="8151" spans="1:1">
      <c r="A8151" s="576"/>
    </row>
    <row r="8152" spans="1:1">
      <c r="A8152" s="576"/>
    </row>
    <row r="8153" spans="1:1">
      <c r="A8153" s="576"/>
    </row>
    <row r="8154" spans="1:1">
      <c r="A8154" s="576"/>
    </row>
    <row r="8155" spans="1:1">
      <c r="A8155" s="576"/>
    </row>
    <row r="8156" spans="1:1">
      <c r="A8156" s="576"/>
    </row>
    <row r="8157" spans="1:1">
      <c r="A8157" s="576"/>
    </row>
    <row r="8158" spans="1:1">
      <c r="A8158" s="576"/>
    </row>
    <row r="8159" spans="1:1">
      <c r="A8159" s="576"/>
    </row>
    <row r="8160" spans="1:1">
      <c r="A8160" s="576"/>
    </row>
    <row r="8161" spans="1:1">
      <c r="A8161" s="576"/>
    </row>
    <row r="8162" spans="1:1">
      <c r="A8162" s="576"/>
    </row>
    <row r="8163" spans="1:1">
      <c r="A8163" s="576"/>
    </row>
    <row r="8164" spans="1:1">
      <c r="A8164" s="576"/>
    </row>
    <row r="8165" spans="1:1">
      <c r="A8165" s="576"/>
    </row>
    <row r="8166" spans="1:1">
      <c r="A8166" s="576"/>
    </row>
    <row r="8167" spans="1:1">
      <c r="A8167" s="576"/>
    </row>
    <row r="8168" spans="1:1">
      <c r="A8168" s="576"/>
    </row>
    <row r="8169" spans="1:1">
      <c r="A8169" s="576"/>
    </row>
    <row r="8170" spans="1:1">
      <c r="A8170" s="576"/>
    </row>
    <row r="8171" spans="1:1">
      <c r="A8171" s="576"/>
    </row>
    <row r="8172" spans="1:1">
      <c r="A8172" s="576"/>
    </row>
    <row r="8173" spans="1:1">
      <c r="A8173" s="576"/>
    </row>
    <row r="8174" spans="1:1">
      <c r="A8174" s="576"/>
    </row>
    <row r="8175" spans="1:1">
      <c r="A8175" s="576"/>
    </row>
    <row r="8176" spans="1:1">
      <c r="A8176" s="576"/>
    </row>
    <row r="8177" spans="1:1">
      <c r="A8177" s="576"/>
    </row>
    <row r="8178" spans="1:1">
      <c r="A8178" s="576"/>
    </row>
    <row r="8179" spans="1:1">
      <c r="A8179" s="576"/>
    </row>
    <row r="8180" spans="1:1">
      <c r="A8180" s="576"/>
    </row>
    <row r="8181" spans="1:1">
      <c r="A8181" s="576"/>
    </row>
    <row r="8182" spans="1:1">
      <c r="A8182" s="576"/>
    </row>
    <row r="8183" spans="1:1">
      <c r="A8183" s="576"/>
    </row>
    <row r="8184" spans="1:1">
      <c r="A8184" s="576"/>
    </row>
    <row r="8185" spans="1:1">
      <c r="A8185" s="576"/>
    </row>
    <row r="8186" spans="1:1">
      <c r="A8186" s="576"/>
    </row>
    <row r="8187" spans="1:1">
      <c r="A8187" s="576"/>
    </row>
    <row r="8188" spans="1:1">
      <c r="A8188" s="576"/>
    </row>
    <row r="8189" spans="1:1">
      <c r="A8189" s="576"/>
    </row>
    <row r="8190" spans="1:1">
      <c r="A8190" s="576"/>
    </row>
    <row r="8191" spans="1:1">
      <c r="A8191" s="576"/>
    </row>
    <row r="8192" spans="1:1">
      <c r="A8192" s="576"/>
    </row>
    <row r="8193" spans="1:1">
      <c r="A8193" s="576"/>
    </row>
    <row r="8194" spans="1:1">
      <c r="A8194" s="576"/>
    </row>
    <row r="8195" spans="1:1">
      <c r="A8195" s="576"/>
    </row>
    <row r="8196" spans="1:1">
      <c r="A8196" s="576"/>
    </row>
    <row r="8197" spans="1:1">
      <c r="A8197" s="576"/>
    </row>
    <row r="8198" spans="1:1">
      <c r="A8198" s="576"/>
    </row>
    <row r="8199" spans="1:1">
      <c r="A8199" s="576"/>
    </row>
    <row r="8200" spans="1:1">
      <c r="A8200" s="576"/>
    </row>
    <row r="8201" spans="1:1">
      <c r="A8201" s="576"/>
    </row>
    <row r="8202" spans="1:1">
      <c r="A8202" s="576"/>
    </row>
    <row r="8203" spans="1:1">
      <c r="A8203" s="576"/>
    </row>
    <row r="8204" spans="1:1">
      <c r="A8204" s="576"/>
    </row>
    <row r="8205" spans="1:1">
      <c r="A8205" s="576"/>
    </row>
    <row r="8206" spans="1:1">
      <c r="A8206" s="576"/>
    </row>
    <row r="8207" spans="1:1">
      <c r="A8207" s="576"/>
    </row>
    <row r="8208" spans="1:1">
      <c r="A8208" s="576"/>
    </row>
    <row r="8209" spans="1:1">
      <c r="A8209" s="576"/>
    </row>
    <row r="8210" spans="1:1">
      <c r="A8210" s="576"/>
    </row>
    <row r="8211" spans="1:1">
      <c r="A8211" s="576"/>
    </row>
    <row r="8212" spans="1:1">
      <c r="A8212" s="576"/>
    </row>
    <row r="8213" spans="1:1">
      <c r="A8213" s="576"/>
    </row>
    <row r="8214" spans="1:1">
      <c r="A8214" s="576"/>
    </row>
    <row r="8215" spans="1:1">
      <c r="A8215" s="576"/>
    </row>
    <row r="8216" spans="1:1">
      <c r="A8216" s="576"/>
    </row>
    <row r="8217" spans="1:1">
      <c r="A8217" s="576"/>
    </row>
    <row r="8218" spans="1:1">
      <c r="A8218" s="576"/>
    </row>
    <row r="8219" spans="1:1">
      <c r="A8219" s="576"/>
    </row>
    <row r="8220" spans="1:1">
      <c r="A8220" s="576"/>
    </row>
    <row r="8221" spans="1:1">
      <c r="A8221" s="576"/>
    </row>
    <row r="8222" spans="1:1">
      <c r="A8222" s="576"/>
    </row>
    <row r="8223" spans="1:1">
      <c r="A8223" s="576"/>
    </row>
    <row r="8224" spans="1:1">
      <c r="A8224" s="576"/>
    </row>
    <row r="8225" spans="1:1">
      <c r="A8225" s="576"/>
    </row>
    <row r="8226" spans="1:1">
      <c r="A8226" s="576"/>
    </row>
    <row r="8227" spans="1:1">
      <c r="A8227" s="576"/>
    </row>
    <row r="8228" spans="1:1">
      <c r="A8228" s="576"/>
    </row>
    <row r="8229" spans="1:1">
      <c r="A8229" s="576"/>
    </row>
    <row r="8230" spans="1:1">
      <c r="A8230" s="576"/>
    </row>
    <row r="8231" spans="1:1">
      <c r="A8231" s="576"/>
    </row>
    <row r="8232" spans="1:1">
      <c r="A8232" s="576"/>
    </row>
    <row r="8233" spans="1:1">
      <c r="A8233" s="576"/>
    </row>
    <row r="8234" spans="1:1">
      <c r="A8234" s="576"/>
    </row>
    <row r="8235" spans="1:1">
      <c r="A8235" s="576"/>
    </row>
    <row r="8236" spans="1:1">
      <c r="A8236" s="576"/>
    </row>
    <row r="8237" spans="1:1">
      <c r="A8237" s="576"/>
    </row>
    <row r="8238" spans="1:1">
      <c r="A8238" s="576"/>
    </row>
    <row r="8239" spans="1:1">
      <c r="A8239" s="576"/>
    </row>
    <row r="8240" spans="1:1">
      <c r="A8240" s="576"/>
    </row>
    <row r="8241" spans="1:1">
      <c r="A8241" s="576"/>
    </row>
    <row r="8242" spans="1:1">
      <c r="A8242" s="576"/>
    </row>
    <row r="8243" spans="1:1">
      <c r="A8243" s="576"/>
    </row>
    <row r="8244" spans="1:1">
      <c r="A8244" s="576"/>
    </row>
    <row r="8245" spans="1:1">
      <c r="A8245" s="576"/>
    </row>
    <row r="8246" spans="1:1">
      <c r="A8246" s="576"/>
    </row>
    <row r="8247" spans="1:1">
      <c r="A8247" s="576"/>
    </row>
    <row r="8248" spans="1:1">
      <c r="A8248" s="576"/>
    </row>
    <row r="8249" spans="1:1">
      <c r="A8249" s="576"/>
    </row>
    <row r="8250" spans="1:1">
      <c r="A8250" s="576"/>
    </row>
    <row r="8251" spans="1:1">
      <c r="A8251" s="576"/>
    </row>
    <row r="8252" spans="1:1">
      <c r="A8252" s="576"/>
    </row>
    <row r="8253" spans="1:1">
      <c r="A8253" s="576"/>
    </row>
    <row r="8254" spans="1:1">
      <c r="A8254" s="576"/>
    </row>
    <row r="8255" spans="1:1">
      <c r="A8255" s="576"/>
    </row>
    <row r="8256" spans="1:1">
      <c r="A8256" s="576"/>
    </row>
    <row r="8257" spans="1:1">
      <c r="A8257" s="576"/>
    </row>
    <row r="8258" spans="1:1">
      <c r="A8258" s="576"/>
    </row>
    <row r="8259" spans="1:1">
      <c r="A8259" s="576"/>
    </row>
    <row r="8260" spans="1:1">
      <c r="A8260" s="576"/>
    </row>
    <row r="8261" spans="1:1">
      <c r="A8261" s="576"/>
    </row>
    <row r="8262" spans="1:1">
      <c r="A8262" s="576"/>
    </row>
    <row r="8263" spans="1:1">
      <c r="A8263" s="576"/>
    </row>
    <row r="8264" spans="1:1">
      <c r="A8264" s="576"/>
    </row>
    <row r="8265" spans="1:1">
      <c r="A8265" s="576"/>
    </row>
    <row r="8266" spans="1:1">
      <c r="A8266" s="576"/>
    </row>
    <row r="8267" spans="1:1">
      <c r="A8267" s="576"/>
    </row>
    <row r="8268" spans="1:1">
      <c r="A8268" s="576"/>
    </row>
    <row r="8269" spans="1:1">
      <c r="A8269" s="576"/>
    </row>
    <row r="8270" spans="1:1">
      <c r="A8270" s="576"/>
    </row>
    <row r="8271" spans="1:1">
      <c r="A8271" s="576"/>
    </row>
    <row r="8272" spans="1:1">
      <c r="A8272" s="576"/>
    </row>
    <row r="8273" spans="1:1">
      <c r="A8273" s="576"/>
    </row>
    <row r="8274" spans="1:1">
      <c r="A8274" s="576"/>
    </row>
    <row r="8275" spans="1:1">
      <c r="A8275" s="576"/>
    </row>
    <row r="8276" spans="1:1">
      <c r="A8276" s="576"/>
    </row>
    <row r="8277" spans="1:1">
      <c r="A8277" s="576"/>
    </row>
    <row r="8278" spans="1:1">
      <c r="A8278" s="576"/>
    </row>
    <row r="8279" spans="1:1">
      <c r="A8279" s="576"/>
    </row>
    <row r="8280" spans="1:1">
      <c r="A8280" s="576"/>
    </row>
    <row r="8281" spans="1:1">
      <c r="A8281" s="576"/>
    </row>
    <row r="8282" spans="1:1">
      <c r="A8282" s="576"/>
    </row>
    <row r="8283" spans="1:1">
      <c r="A8283" s="576"/>
    </row>
    <row r="8284" spans="1:1">
      <c r="A8284" s="576"/>
    </row>
    <row r="8285" spans="1:1">
      <c r="A8285" s="576"/>
    </row>
    <row r="8286" spans="1:1">
      <c r="A8286" s="576"/>
    </row>
    <row r="8287" spans="1:1">
      <c r="A8287" s="576"/>
    </row>
    <row r="8288" spans="1:1">
      <c r="A8288" s="576"/>
    </row>
    <row r="8289" spans="1:1">
      <c r="A8289" s="576"/>
    </row>
    <row r="8290" spans="1:1">
      <c r="A8290" s="576"/>
    </row>
    <row r="8291" spans="1:1">
      <c r="A8291" s="576"/>
    </row>
    <row r="8292" spans="1:1">
      <c r="A8292" s="576"/>
    </row>
    <row r="8293" spans="1:1">
      <c r="A8293" s="576"/>
    </row>
    <row r="8294" spans="1:1">
      <c r="A8294" s="576"/>
    </row>
    <row r="8295" spans="1:1">
      <c r="A8295" s="576"/>
    </row>
    <row r="8296" spans="1:1">
      <c r="A8296" s="576"/>
    </row>
    <row r="8297" spans="1:1">
      <c r="A8297" s="576"/>
    </row>
    <row r="8298" spans="1:1">
      <c r="A8298" s="576"/>
    </row>
    <row r="8299" spans="1:1">
      <c r="A8299" s="576"/>
    </row>
    <row r="8300" spans="1:1">
      <c r="A8300" s="576"/>
    </row>
    <row r="8301" spans="1:1">
      <c r="A8301" s="576"/>
    </row>
    <row r="8302" spans="1:1">
      <c r="A8302" s="576"/>
    </row>
    <row r="8303" spans="1:1">
      <c r="A8303" s="576"/>
    </row>
    <row r="8304" spans="1:1">
      <c r="A8304" s="576"/>
    </row>
    <row r="8305" spans="1:1">
      <c r="A8305" s="576"/>
    </row>
    <row r="8306" spans="1:1">
      <c r="A8306" s="576"/>
    </row>
    <row r="8307" spans="1:1">
      <c r="A8307" s="576"/>
    </row>
    <row r="8308" spans="1:1">
      <c r="A8308" s="576"/>
    </row>
    <row r="8309" spans="1:1">
      <c r="A8309" s="576"/>
    </row>
    <row r="8310" spans="1:1">
      <c r="A8310" s="576"/>
    </row>
    <row r="8311" spans="1:1">
      <c r="A8311" s="576"/>
    </row>
    <row r="8312" spans="1:1">
      <c r="A8312" s="576"/>
    </row>
    <row r="8313" spans="1:1">
      <c r="A8313" s="576"/>
    </row>
    <row r="8314" spans="1:1">
      <c r="A8314" s="576"/>
    </row>
    <row r="8315" spans="1:1">
      <c r="A8315" s="576"/>
    </row>
    <row r="8316" spans="1:1">
      <c r="A8316" s="576"/>
    </row>
    <row r="8317" spans="1:1">
      <c r="A8317" s="576"/>
    </row>
    <row r="8318" spans="1:1">
      <c r="A8318" s="576"/>
    </row>
    <row r="8319" spans="1:1">
      <c r="A8319" s="576"/>
    </row>
    <row r="8320" spans="1:1">
      <c r="A8320" s="576"/>
    </row>
    <row r="8321" spans="1:1">
      <c r="A8321" s="576"/>
    </row>
    <row r="8322" spans="1:1">
      <c r="A8322" s="576"/>
    </row>
    <row r="8323" spans="1:1">
      <c r="A8323" s="576"/>
    </row>
    <row r="8324" spans="1:1">
      <c r="A8324" s="576"/>
    </row>
    <row r="8325" spans="1:1">
      <c r="A8325" s="576"/>
    </row>
    <row r="8326" spans="1:1">
      <c r="A8326" s="576"/>
    </row>
    <row r="8327" spans="1:1">
      <c r="A8327" s="576"/>
    </row>
    <row r="8328" spans="1:1">
      <c r="A8328" s="576"/>
    </row>
    <row r="8329" spans="1:1">
      <c r="A8329" s="576"/>
    </row>
    <row r="8330" spans="1:1">
      <c r="A8330" s="576"/>
    </row>
    <row r="8331" spans="1:1">
      <c r="A8331" s="576"/>
    </row>
    <row r="8332" spans="1:1">
      <c r="A8332" s="576"/>
    </row>
    <row r="8333" spans="1:1">
      <c r="A8333" s="576"/>
    </row>
    <row r="8334" spans="1:1">
      <c r="A8334" s="576"/>
    </row>
    <row r="8335" spans="1:1">
      <c r="A8335" s="576"/>
    </row>
    <row r="8336" spans="1:1">
      <c r="A8336" s="576"/>
    </row>
    <row r="8337" spans="1:1">
      <c r="A8337" s="576"/>
    </row>
    <row r="8338" spans="1:1">
      <c r="A8338" s="576"/>
    </row>
    <row r="8339" spans="1:1">
      <c r="A8339" s="576"/>
    </row>
    <row r="8340" spans="1:1">
      <c r="A8340" s="576"/>
    </row>
    <row r="8341" spans="1:1">
      <c r="A8341" s="576"/>
    </row>
    <row r="8342" spans="1:1">
      <c r="A8342" s="576"/>
    </row>
    <row r="8343" spans="1:1">
      <c r="A8343" s="576"/>
    </row>
    <row r="8344" spans="1:1">
      <c r="A8344" s="576"/>
    </row>
    <row r="8345" spans="1:1">
      <c r="A8345" s="576"/>
    </row>
    <row r="8346" spans="1:1">
      <c r="A8346" s="576"/>
    </row>
    <row r="8347" spans="1:1">
      <c r="A8347" s="576"/>
    </row>
    <row r="8348" spans="1:1">
      <c r="A8348" s="576"/>
    </row>
    <row r="8349" spans="1:1">
      <c r="A8349" s="576"/>
    </row>
    <row r="8350" spans="1:1">
      <c r="A8350" s="576"/>
    </row>
    <row r="8351" spans="1:1">
      <c r="A8351" s="576"/>
    </row>
    <row r="8352" spans="1:1">
      <c r="A8352" s="576"/>
    </row>
    <row r="8353" spans="1:1">
      <c r="A8353" s="576"/>
    </row>
    <row r="8354" spans="1:1">
      <c r="A8354" s="576"/>
    </row>
    <row r="8355" spans="1:1">
      <c r="A8355" s="576"/>
    </row>
    <row r="8356" spans="1:1">
      <c r="A8356" s="576"/>
    </row>
    <row r="8357" spans="1:1">
      <c r="A8357" s="576"/>
    </row>
    <row r="8358" spans="1:1">
      <c r="A8358" s="576"/>
    </row>
    <row r="8359" spans="1:1">
      <c r="A8359" s="576"/>
    </row>
    <row r="8360" spans="1:1">
      <c r="A8360" s="576"/>
    </row>
    <row r="8361" spans="1:1">
      <c r="A8361" s="576"/>
    </row>
    <row r="8362" spans="1:1">
      <c r="A8362" s="576"/>
    </row>
    <row r="8363" spans="1:1">
      <c r="A8363" s="576"/>
    </row>
    <row r="8364" spans="1:1">
      <c r="A8364" s="576"/>
    </row>
    <row r="8365" spans="1:1">
      <c r="A8365" s="576"/>
    </row>
    <row r="8366" spans="1:1">
      <c r="A8366" s="576"/>
    </row>
    <row r="8367" spans="1:1">
      <c r="A8367" s="576"/>
    </row>
    <row r="8368" spans="1:1">
      <c r="A8368" s="576"/>
    </row>
    <row r="8369" spans="1:1">
      <c r="A8369" s="576"/>
    </row>
    <row r="8370" spans="1:1">
      <c r="A8370" s="576"/>
    </row>
    <row r="8371" spans="1:1">
      <c r="A8371" s="576"/>
    </row>
    <row r="8372" spans="1:1">
      <c r="A8372" s="576"/>
    </row>
    <row r="8373" spans="1:1">
      <c r="A8373" s="576"/>
    </row>
    <row r="8374" spans="1:1">
      <c r="A8374" s="576"/>
    </row>
    <row r="8375" spans="1:1">
      <c r="A8375" s="576"/>
    </row>
    <row r="8376" spans="1:1">
      <c r="A8376" s="576"/>
    </row>
    <row r="8377" spans="1:1">
      <c r="A8377" s="576"/>
    </row>
    <row r="8378" spans="1:1">
      <c r="A8378" s="576"/>
    </row>
    <row r="8379" spans="1:1">
      <c r="A8379" s="576"/>
    </row>
    <row r="8380" spans="1:1">
      <c r="A8380" s="576"/>
    </row>
    <row r="8381" spans="1:1">
      <c r="A8381" s="576"/>
    </row>
    <row r="8382" spans="1:1">
      <c r="A8382" s="576"/>
    </row>
    <row r="8383" spans="1:1">
      <c r="A8383" s="576"/>
    </row>
    <row r="8384" spans="1:1">
      <c r="A8384" s="576"/>
    </row>
    <row r="8385" spans="1:1">
      <c r="A8385" s="576"/>
    </row>
    <row r="8386" spans="1:1">
      <c r="A8386" s="576"/>
    </row>
    <row r="8387" spans="1:1">
      <c r="A8387" s="576"/>
    </row>
    <row r="8388" spans="1:1">
      <c r="A8388" s="576"/>
    </row>
    <row r="8389" spans="1:1">
      <c r="A8389" s="576"/>
    </row>
    <row r="8390" spans="1:1">
      <c r="A8390" s="576"/>
    </row>
    <row r="8391" spans="1:1">
      <c r="A8391" s="576"/>
    </row>
    <row r="8392" spans="1:1">
      <c r="A8392" s="576"/>
    </row>
    <row r="8393" spans="1:1">
      <c r="A8393" s="576"/>
    </row>
    <row r="8394" spans="1:1">
      <c r="A8394" s="576"/>
    </row>
    <row r="8395" spans="1:1">
      <c r="A8395" s="576"/>
    </row>
    <row r="8396" spans="1:1">
      <c r="A8396" s="576"/>
    </row>
    <row r="8397" spans="1:1">
      <c r="A8397" s="576"/>
    </row>
    <row r="8398" spans="1:1">
      <c r="A8398" s="576"/>
    </row>
    <row r="8399" spans="1:1">
      <c r="A8399" s="576"/>
    </row>
    <row r="8400" spans="1:1">
      <c r="A8400" s="576"/>
    </row>
    <row r="8401" spans="1:1">
      <c r="A8401" s="576"/>
    </row>
    <row r="8402" spans="1:1">
      <c r="A8402" s="576"/>
    </row>
    <row r="8403" spans="1:1">
      <c r="A8403" s="576"/>
    </row>
    <row r="8404" spans="1:1">
      <c r="A8404" s="576"/>
    </row>
    <row r="8405" spans="1:1">
      <c r="A8405" s="576"/>
    </row>
    <row r="8406" spans="1:1">
      <c r="A8406" s="576"/>
    </row>
    <row r="8407" spans="1:1">
      <c r="A8407" s="576"/>
    </row>
    <row r="8408" spans="1:1">
      <c r="A8408" s="576"/>
    </row>
    <row r="8409" spans="1:1">
      <c r="A8409" s="576"/>
    </row>
    <row r="8410" spans="1:1">
      <c r="A8410" s="576"/>
    </row>
    <row r="8411" spans="1:1">
      <c r="A8411" s="576"/>
    </row>
    <row r="8412" spans="1:1">
      <c r="A8412" s="576"/>
    </row>
    <row r="8413" spans="1:1">
      <c r="A8413" s="576"/>
    </row>
    <row r="8414" spans="1:1">
      <c r="A8414" s="576"/>
    </row>
    <row r="8415" spans="1:1">
      <c r="A8415" s="576"/>
    </row>
    <row r="8416" spans="1:1">
      <c r="A8416" s="576"/>
    </row>
    <row r="8417" spans="1:1">
      <c r="A8417" s="576"/>
    </row>
    <row r="8418" spans="1:1">
      <c r="A8418" s="576"/>
    </row>
    <row r="8419" spans="1:1">
      <c r="A8419" s="576"/>
    </row>
    <row r="8420" spans="1:1">
      <c r="A8420" s="576"/>
    </row>
    <row r="8421" spans="1:1">
      <c r="A8421" s="576"/>
    </row>
    <row r="8422" spans="1:1">
      <c r="A8422" s="576"/>
    </row>
    <row r="8423" spans="1:1">
      <c r="A8423" s="576"/>
    </row>
    <row r="8424" spans="1:1">
      <c r="A8424" s="576"/>
    </row>
    <row r="8425" spans="1:1">
      <c r="A8425" s="576"/>
    </row>
    <row r="8426" spans="1:1">
      <c r="A8426" s="576"/>
    </row>
    <row r="8427" spans="1:1">
      <c r="A8427" s="576"/>
    </row>
    <row r="8428" spans="1:1">
      <c r="A8428" s="576"/>
    </row>
    <row r="8429" spans="1:1">
      <c r="A8429" s="576"/>
    </row>
    <row r="8430" spans="1:1">
      <c r="A8430" s="576"/>
    </row>
    <row r="8431" spans="1:1">
      <c r="A8431" s="576"/>
    </row>
    <row r="8432" spans="1:1">
      <c r="A8432" s="576"/>
    </row>
    <row r="8433" spans="1:1">
      <c r="A8433" s="576"/>
    </row>
    <row r="8434" spans="1:1">
      <c r="A8434" s="576"/>
    </row>
    <row r="8435" spans="1:1">
      <c r="A8435" s="576"/>
    </row>
    <row r="8436" spans="1:1">
      <c r="A8436" s="576"/>
    </row>
    <row r="8437" spans="1:1">
      <c r="A8437" s="576"/>
    </row>
    <row r="8438" spans="1:1">
      <c r="A8438" s="576"/>
    </row>
    <row r="8439" spans="1:1">
      <c r="A8439" s="576"/>
    </row>
    <row r="8440" spans="1:1">
      <c r="A8440" s="576"/>
    </row>
    <row r="8441" spans="1:1">
      <c r="A8441" s="576"/>
    </row>
    <row r="8442" spans="1:1">
      <c r="A8442" s="576"/>
    </row>
    <row r="8443" spans="1:1">
      <c r="A8443" s="576"/>
    </row>
    <row r="8444" spans="1:1">
      <c r="A8444" s="576"/>
    </row>
    <row r="8445" spans="1:1">
      <c r="A8445" s="576"/>
    </row>
    <row r="8446" spans="1:1">
      <c r="A8446" s="576"/>
    </row>
    <row r="8447" spans="1:1">
      <c r="A8447" s="576"/>
    </row>
    <row r="8448" spans="1:1">
      <c r="A8448" s="576"/>
    </row>
    <row r="8449" spans="1:1">
      <c r="A8449" s="576"/>
    </row>
    <row r="8450" spans="1:1">
      <c r="A8450" s="576"/>
    </row>
    <row r="8451" spans="1:1">
      <c r="A8451" s="576"/>
    </row>
    <row r="8452" spans="1:1">
      <c r="A8452" s="576"/>
    </row>
    <row r="8453" spans="1:1">
      <c r="A8453" s="576"/>
    </row>
    <row r="8454" spans="1:1">
      <c r="A8454" s="576"/>
    </row>
    <row r="8455" spans="1:1">
      <c r="A8455" s="576"/>
    </row>
    <row r="8456" spans="1:1">
      <c r="A8456" s="576"/>
    </row>
    <row r="8457" spans="1:1">
      <c r="A8457" s="576"/>
    </row>
    <row r="8458" spans="1:1">
      <c r="A8458" s="576"/>
    </row>
    <row r="8459" spans="1:1">
      <c r="A8459" s="576"/>
    </row>
    <row r="8460" spans="1:1">
      <c r="A8460" s="576"/>
    </row>
    <row r="8461" spans="1:1">
      <c r="A8461" s="576"/>
    </row>
    <row r="8462" spans="1:1">
      <c r="A8462" s="576"/>
    </row>
    <row r="8463" spans="1:1">
      <c r="A8463" s="576"/>
    </row>
    <row r="8464" spans="1:1">
      <c r="A8464" s="576"/>
    </row>
    <row r="8465" spans="1:1">
      <c r="A8465" s="576"/>
    </row>
    <row r="8466" spans="1:1">
      <c r="A8466" s="576"/>
    </row>
    <row r="8467" spans="1:1">
      <c r="A8467" s="576"/>
    </row>
    <row r="8468" spans="1:1">
      <c r="A8468" s="576"/>
    </row>
    <row r="8469" spans="1:1">
      <c r="A8469" s="576"/>
    </row>
    <row r="8470" spans="1:1">
      <c r="A8470" s="576"/>
    </row>
    <row r="8471" spans="1:1">
      <c r="A8471" s="576"/>
    </row>
    <row r="8472" spans="1:1">
      <c r="A8472" s="576"/>
    </row>
    <row r="8473" spans="1:1">
      <c r="A8473" s="576"/>
    </row>
    <row r="8474" spans="1:1">
      <c r="A8474" s="576"/>
    </row>
    <row r="8475" spans="1:1">
      <c r="A8475" s="576"/>
    </row>
    <row r="8476" spans="1:1">
      <c r="A8476" s="576"/>
    </row>
    <row r="8477" spans="1:1">
      <c r="A8477" s="576"/>
    </row>
    <row r="8478" spans="1:1">
      <c r="A8478" s="576"/>
    </row>
    <row r="8479" spans="1:1">
      <c r="A8479" s="576"/>
    </row>
    <row r="8480" spans="1:1">
      <c r="A8480" s="576"/>
    </row>
    <row r="8481" spans="1:1">
      <c r="A8481" s="576"/>
    </row>
    <row r="8482" spans="1:1">
      <c r="A8482" s="576"/>
    </row>
    <row r="8483" spans="1:1">
      <c r="A8483" s="576"/>
    </row>
    <row r="8484" spans="1:1">
      <c r="A8484" s="576"/>
    </row>
    <row r="8485" spans="1:1">
      <c r="A8485" s="576"/>
    </row>
    <row r="8486" spans="1:1">
      <c r="A8486" s="576"/>
    </row>
    <row r="8487" spans="1:1">
      <c r="A8487" s="576"/>
    </row>
    <row r="8488" spans="1:1">
      <c r="A8488" s="576"/>
    </row>
    <row r="8489" spans="1:1">
      <c r="A8489" s="576"/>
    </row>
    <row r="8490" spans="1:1">
      <c r="A8490" s="576"/>
    </row>
    <row r="8491" spans="1:1">
      <c r="A8491" s="576"/>
    </row>
    <row r="8492" spans="1:1">
      <c r="A8492" s="576"/>
    </row>
    <row r="8493" spans="1:1">
      <c r="A8493" s="576"/>
    </row>
    <row r="8494" spans="1:1">
      <c r="A8494" s="576"/>
    </row>
    <row r="8495" spans="1:1">
      <c r="A8495" s="576"/>
    </row>
    <row r="8496" spans="1:1">
      <c r="A8496" s="576"/>
    </row>
    <row r="8497" spans="1:1">
      <c r="A8497" s="576"/>
    </row>
    <row r="8498" spans="1:1">
      <c r="A8498" s="576"/>
    </row>
    <row r="8499" spans="1:1">
      <c r="A8499" s="576"/>
    </row>
    <row r="8500" spans="1:1">
      <c r="A8500" s="576"/>
    </row>
    <row r="8501" spans="1:1">
      <c r="A8501" s="576"/>
    </row>
    <row r="8502" spans="1:1">
      <c r="A8502" s="576"/>
    </row>
    <row r="8503" spans="1:1">
      <c r="A8503" s="576"/>
    </row>
    <row r="8504" spans="1:1">
      <c r="A8504" s="576"/>
    </row>
    <row r="8505" spans="1:1">
      <c r="A8505" s="576"/>
    </row>
    <row r="8506" spans="1:1">
      <c r="A8506" s="576"/>
    </row>
    <row r="8507" spans="1:1">
      <c r="A8507" s="576"/>
    </row>
    <row r="8508" spans="1:1">
      <c r="A8508" s="576"/>
    </row>
    <row r="8509" spans="1:1">
      <c r="A8509" s="576"/>
    </row>
    <row r="8510" spans="1:1">
      <c r="A8510" s="576"/>
    </row>
    <row r="8511" spans="1:1">
      <c r="A8511" s="576"/>
    </row>
    <row r="8512" spans="1:1">
      <c r="A8512" s="576"/>
    </row>
    <row r="8513" spans="1:1">
      <c r="A8513" s="576"/>
    </row>
    <row r="8514" spans="1:1">
      <c r="A8514" s="576"/>
    </row>
    <row r="8515" spans="1:1">
      <c r="A8515" s="576"/>
    </row>
    <row r="8516" spans="1:1">
      <c r="A8516" s="576"/>
    </row>
    <row r="8517" spans="1:1">
      <c r="A8517" s="576"/>
    </row>
    <row r="8518" spans="1:1">
      <c r="A8518" s="576"/>
    </row>
    <row r="8519" spans="1:1">
      <c r="A8519" s="576"/>
    </row>
    <row r="8520" spans="1:1">
      <c r="A8520" s="576"/>
    </row>
    <row r="8521" spans="1:1">
      <c r="A8521" s="576"/>
    </row>
    <row r="8522" spans="1:1">
      <c r="A8522" s="576"/>
    </row>
    <row r="8523" spans="1:1">
      <c r="A8523" s="576"/>
    </row>
    <row r="8524" spans="1:1">
      <c r="A8524" s="576"/>
    </row>
    <row r="8525" spans="1:1">
      <c r="A8525" s="576"/>
    </row>
    <row r="8526" spans="1:1">
      <c r="A8526" s="576"/>
    </row>
    <row r="8527" spans="1:1">
      <c r="A8527" s="576"/>
    </row>
    <row r="8528" spans="1:1">
      <c r="A8528" s="576"/>
    </row>
    <row r="8529" spans="1:1">
      <c r="A8529" s="576"/>
    </row>
    <row r="8530" spans="1:1">
      <c r="A8530" s="576"/>
    </row>
    <row r="8531" spans="1:1">
      <c r="A8531" s="576"/>
    </row>
    <row r="8532" spans="1:1">
      <c r="A8532" s="576"/>
    </row>
    <row r="8533" spans="1:1">
      <c r="A8533" s="576"/>
    </row>
    <row r="8534" spans="1:1">
      <c r="A8534" s="576"/>
    </row>
    <row r="8535" spans="1:1">
      <c r="A8535" s="576"/>
    </row>
    <row r="8536" spans="1:1">
      <c r="A8536" s="576"/>
    </row>
    <row r="8537" spans="1:1">
      <c r="A8537" s="576"/>
    </row>
    <row r="8538" spans="1:1">
      <c r="A8538" s="576"/>
    </row>
    <row r="8539" spans="1:1">
      <c r="A8539" s="576"/>
    </row>
    <row r="8540" spans="1:1">
      <c r="A8540" s="576"/>
    </row>
    <row r="8541" spans="1:1">
      <c r="A8541" s="576"/>
    </row>
    <row r="8542" spans="1:1">
      <c r="A8542" s="576"/>
    </row>
    <row r="8543" spans="1:1">
      <c r="A8543" s="576"/>
    </row>
    <row r="8544" spans="1:1">
      <c r="A8544" s="576"/>
    </row>
    <row r="8545" spans="1:1">
      <c r="A8545" s="576"/>
    </row>
    <row r="8546" spans="1:1">
      <c r="A8546" s="576"/>
    </row>
    <row r="8547" spans="1:1">
      <c r="A8547" s="576"/>
    </row>
    <row r="8548" spans="1:1">
      <c r="A8548" s="576"/>
    </row>
    <row r="8549" spans="1:1">
      <c r="A8549" s="576"/>
    </row>
    <row r="8550" spans="1:1">
      <c r="A8550" s="576"/>
    </row>
    <row r="8551" spans="1:1">
      <c r="A8551" s="576"/>
    </row>
    <row r="8552" spans="1:1">
      <c r="A8552" s="576"/>
    </row>
    <row r="8553" spans="1:1">
      <c r="A8553" s="576"/>
    </row>
    <row r="8554" spans="1:1">
      <c r="A8554" s="576"/>
    </row>
    <row r="8555" spans="1:1">
      <c r="A8555" s="576"/>
    </row>
    <row r="8556" spans="1:1">
      <c r="A8556" s="576"/>
    </row>
    <row r="8557" spans="1:1">
      <c r="A8557" s="576"/>
    </row>
    <row r="8558" spans="1:1">
      <c r="A8558" s="576"/>
    </row>
    <row r="8559" spans="1:1">
      <c r="A8559" s="576"/>
    </row>
    <row r="8560" spans="1:1">
      <c r="A8560" s="576"/>
    </row>
    <row r="8561" spans="1:1">
      <c r="A8561" s="576"/>
    </row>
    <row r="8562" spans="1:1">
      <c r="A8562" s="576"/>
    </row>
    <row r="8563" spans="1:1">
      <c r="A8563" s="576"/>
    </row>
    <row r="8564" spans="1:1">
      <c r="A8564" s="576"/>
    </row>
    <row r="8565" spans="1:1">
      <c r="A8565" s="576"/>
    </row>
    <row r="8566" spans="1:1">
      <c r="A8566" s="576"/>
    </row>
    <row r="8567" spans="1:1">
      <c r="A8567" s="576"/>
    </row>
    <row r="8568" spans="1:1">
      <c r="A8568" s="576"/>
    </row>
    <row r="8569" spans="1:1">
      <c r="A8569" s="576"/>
    </row>
    <row r="8570" spans="1:1">
      <c r="A8570" s="576"/>
    </row>
    <row r="8571" spans="1:1">
      <c r="A8571" s="576"/>
    </row>
    <row r="8572" spans="1:1">
      <c r="A8572" s="576"/>
    </row>
    <row r="8573" spans="1:1">
      <c r="A8573" s="576"/>
    </row>
    <row r="8574" spans="1:1">
      <c r="A8574" s="576"/>
    </row>
    <row r="8575" spans="1:1">
      <c r="A8575" s="576"/>
    </row>
    <row r="8576" spans="1:1">
      <c r="A8576" s="576"/>
    </row>
    <row r="8577" spans="1:1">
      <c r="A8577" s="576"/>
    </row>
    <row r="8578" spans="1:1">
      <c r="A8578" s="576"/>
    </row>
    <row r="8579" spans="1:1">
      <c r="A8579" s="576"/>
    </row>
    <row r="8580" spans="1:1">
      <c r="A8580" s="576"/>
    </row>
    <row r="8581" spans="1:1">
      <c r="A8581" s="576"/>
    </row>
    <row r="8582" spans="1:1">
      <c r="A8582" s="576"/>
    </row>
    <row r="8583" spans="1:1">
      <c r="A8583" s="576"/>
    </row>
    <row r="8584" spans="1:1">
      <c r="A8584" s="576"/>
    </row>
    <row r="8585" spans="1:1">
      <c r="A8585" s="576"/>
    </row>
    <row r="8586" spans="1:1">
      <c r="A8586" s="576"/>
    </row>
    <row r="8587" spans="1:1">
      <c r="A8587" s="576"/>
    </row>
    <row r="8588" spans="1:1">
      <c r="A8588" s="576"/>
    </row>
    <row r="8589" spans="1:1">
      <c r="A8589" s="576"/>
    </row>
    <row r="8590" spans="1:1">
      <c r="A8590" s="576"/>
    </row>
    <row r="8591" spans="1:1">
      <c r="A8591" s="576"/>
    </row>
    <row r="8592" spans="1:1">
      <c r="A8592" s="576"/>
    </row>
    <row r="8593" spans="1:1">
      <c r="A8593" s="576"/>
    </row>
    <row r="8594" spans="1:1">
      <c r="A8594" s="576"/>
    </row>
    <row r="8595" spans="1:1">
      <c r="A8595" s="576"/>
    </row>
    <row r="8596" spans="1:1">
      <c r="A8596" s="576"/>
    </row>
    <row r="8597" spans="1:1">
      <c r="A8597" s="576"/>
    </row>
    <row r="8598" spans="1:1">
      <c r="A8598" s="576"/>
    </row>
    <row r="8599" spans="1:1">
      <c r="A8599" s="576"/>
    </row>
    <row r="8600" spans="1:1">
      <c r="A8600" s="576"/>
    </row>
    <row r="8601" spans="1:1">
      <c r="A8601" s="576"/>
    </row>
    <row r="8602" spans="1:1">
      <c r="A8602" s="576"/>
    </row>
    <row r="8603" spans="1:1">
      <c r="A8603" s="576"/>
    </row>
    <row r="8604" spans="1:1">
      <c r="A8604" s="576"/>
    </row>
    <row r="8605" spans="1:1">
      <c r="A8605" s="576"/>
    </row>
    <row r="8606" spans="1:1">
      <c r="A8606" s="576"/>
    </row>
    <row r="8607" spans="1:1">
      <c r="A8607" s="576"/>
    </row>
    <row r="8608" spans="1:1">
      <c r="A8608" s="576"/>
    </row>
    <row r="8609" spans="1:1">
      <c r="A8609" s="576"/>
    </row>
    <row r="8610" spans="1:1">
      <c r="A8610" s="576"/>
    </row>
    <row r="8611" spans="1:1">
      <c r="A8611" s="576"/>
    </row>
    <row r="8612" spans="1:1">
      <c r="A8612" s="576"/>
    </row>
    <row r="8613" spans="1:1">
      <c r="A8613" s="576"/>
    </row>
    <row r="8614" spans="1:1">
      <c r="A8614" s="576"/>
    </row>
    <row r="8615" spans="1:1">
      <c r="A8615" s="576"/>
    </row>
    <row r="8616" spans="1:1">
      <c r="A8616" s="576"/>
    </row>
    <row r="8617" spans="1:1">
      <c r="A8617" s="576"/>
    </row>
    <row r="8618" spans="1:1">
      <c r="A8618" s="576"/>
    </row>
    <row r="8619" spans="1:1">
      <c r="A8619" s="576"/>
    </row>
    <row r="8620" spans="1:1">
      <c r="A8620" s="576"/>
    </row>
    <row r="8621" spans="1:1">
      <c r="A8621" s="576"/>
    </row>
    <row r="8622" spans="1:1">
      <c r="A8622" s="576"/>
    </row>
    <row r="8623" spans="1:1">
      <c r="A8623" s="576"/>
    </row>
    <row r="8624" spans="1:1">
      <c r="A8624" s="576"/>
    </row>
    <row r="8625" spans="1:1">
      <c r="A8625" s="576"/>
    </row>
    <row r="8626" spans="1:1">
      <c r="A8626" s="576"/>
    </row>
    <row r="8627" spans="1:1">
      <c r="A8627" s="576"/>
    </row>
    <row r="8628" spans="1:1">
      <c r="A8628" s="576"/>
    </row>
    <row r="8629" spans="1:1">
      <c r="A8629" s="576"/>
    </row>
    <row r="8630" spans="1:1">
      <c r="A8630" s="576"/>
    </row>
    <row r="8631" spans="1:1">
      <c r="A8631" s="576"/>
    </row>
    <row r="8632" spans="1:1">
      <c r="A8632" s="576"/>
    </row>
    <row r="8633" spans="1:1">
      <c r="A8633" s="576"/>
    </row>
    <row r="8634" spans="1:1">
      <c r="A8634" s="576"/>
    </row>
    <row r="8635" spans="1:1">
      <c r="A8635" s="576"/>
    </row>
    <row r="8636" spans="1:1">
      <c r="A8636" s="576"/>
    </row>
    <row r="8637" spans="1:1">
      <c r="A8637" s="576"/>
    </row>
    <row r="8638" spans="1:1">
      <c r="A8638" s="576"/>
    </row>
    <row r="8639" spans="1:1">
      <c r="A8639" s="576"/>
    </row>
    <row r="8640" spans="1:1">
      <c r="A8640" s="576"/>
    </row>
    <row r="8641" spans="1:1">
      <c r="A8641" s="576"/>
    </row>
    <row r="8642" spans="1:1">
      <c r="A8642" s="576"/>
    </row>
    <row r="8643" spans="1:1">
      <c r="A8643" s="576"/>
    </row>
    <row r="8644" spans="1:1">
      <c r="A8644" s="576"/>
    </row>
    <row r="8645" spans="1:1">
      <c r="A8645" s="576"/>
    </row>
    <row r="8646" spans="1:1">
      <c r="A8646" s="576"/>
    </row>
    <row r="8647" spans="1:1">
      <c r="A8647" s="576"/>
    </row>
    <row r="8648" spans="1:1">
      <c r="A8648" s="576"/>
    </row>
    <row r="8649" spans="1:1">
      <c r="A8649" s="576"/>
    </row>
    <row r="8650" spans="1:1">
      <c r="A8650" s="576"/>
    </row>
    <row r="8651" spans="1:1">
      <c r="A8651" s="576"/>
    </row>
    <row r="8652" spans="1:1">
      <c r="A8652" s="576"/>
    </row>
    <row r="8653" spans="1:1">
      <c r="A8653" s="576"/>
    </row>
    <row r="8654" spans="1:1">
      <c r="A8654" s="576"/>
    </row>
    <row r="8655" spans="1:1">
      <c r="A8655" s="576"/>
    </row>
    <row r="8656" spans="1:1">
      <c r="A8656" s="576"/>
    </row>
    <row r="8657" spans="1:1">
      <c r="A8657" s="576"/>
    </row>
    <row r="8658" spans="1:1">
      <c r="A8658" s="576"/>
    </row>
    <row r="8659" spans="1:1">
      <c r="A8659" s="576"/>
    </row>
    <row r="8660" spans="1:1">
      <c r="A8660" s="576"/>
    </row>
    <row r="8661" spans="1:1">
      <c r="A8661" s="576"/>
    </row>
    <row r="8662" spans="1:1">
      <c r="A8662" s="576"/>
    </row>
    <row r="8663" spans="1:1">
      <c r="A8663" s="576"/>
    </row>
    <row r="8664" spans="1:1">
      <c r="A8664" s="576"/>
    </row>
    <row r="8665" spans="1:1">
      <c r="A8665" s="576"/>
    </row>
    <row r="8666" spans="1:1">
      <c r="A8666" s="576"/>
    </row>
    <row r="8667" spans="1:1">
      <c r="A8667" s="576"/>
    </row>
    <row r="8668" spans="1:1">
      <c r="A8668" s="576"/>
    </row>
    <row r="8669" spans="1:1">
      <c r="A8669" s="576"/>
    </row>
    <row r="8670" spans="1:1">
      <c r="A8670" s="576"/>
    </row>
    <row r="8671" spans="1:1">
      <c r="A8671" s="576"/>
    </row>
    <row r="8672" spans="1:1">
      <c r="A8672" s="576"/>
    </row>
    <row r="8673" spans="1:1">
      <c r="A8673" s="576"/>
    </row>
    <row r="8674" spans="1:1">
      <c r="A8674" s="576"/>
    </row>
    <row r="8675" spans="1:1">
      <c r="A8675" s="576"/>
    </row>
    <row r="8676" spans="1:1">
      <c r="A8676" s="576"/>
    </row>
    <row r="8677" spans="1:1">
      <c r="A8677" s="576"/>
    </row>
    <row r="8678" spans="1:1">
      <c r="A8678" s="576"/>
    </row>
    <row r="8679" spans="1:1">
      <c r="A8679" s="576"/>
    </row>
    <row r="8680" spans="1:1">
      <c r="A8680" s="576"/>
    </row>
    <row r="8681" spans="1:1">
      <c r="A8681" s="576"/>
    </row>
    <row r="8682" spans="1:1">
      <c r="A8682" s="576"/>
    </row>
    <row r="8683" spans="1:1">
      <c r="A8683" s="576"/>
    </row>
    <row r="8684" spans="1:1">
      <c r="A8684" s="576"/>
    </row>
    <row r="8685" spans="1:1">
      <c r="A8685" s="576"/>
    </row>
    <row r="8686" spans="1:1">
      <c r="A8686" s="576"/>
    </row>
    <row r="8687" spans="1:1">
      <c r="A8687" s="576"/>
    </row>
    <row r="8688" spans="1:1">
      <c r="A8688" s="576"/>
    </row>
    <row r="8689" spans="1:1">
      <c r="A8689" s="576"/>
    </row>
    <row r="8690" spans="1:1">
      <c r="A8690" s="576"/>
    </row>
    <row r="8691" spans="1:1">
      <c r="A8691" s="576"/>
    </row>
    <row r="8692" spans="1:1">
      <c r="A8692" s="576"/>
    </row>
    <row r="8693" spans="1:1">
      <c r="A8693" s="576"/>
    </row>
    <row r="8694" spans="1:1">
      <c r="A8694" s="576"/>
    </row>
    <row r="8695" spans="1:1">
      <c r="A8695" s="576"/>
    </row>
    <row r="8696" spans="1:1">
      <c r="A8696" s="576"/>
    </row>
    <row r="8697" spans="1:1">
      <c r="A8697" s="576"/>
    </row>
    <row r="8698" spans="1:1">
      <c r="A8698" s="576"/>
    </row>
    <row r="8699" spans="1:1">
      <c r="A8699" s="576"/>
    </row>
    <row r="8700" spans="1:1">
      <c r="A8700" s="576"/>
    </row>
    <row r="8701" spans="1:1">
      <c r="A8701" s="576"/>
    </row>
    <row r="8702" spans="1:1">
      <c r="A8702" s="576"/>
    </row>
    <row r="8703" spans="1:1">
      <c r="A8703" s="576"/>
    </row>
    <row r="8704" spans="1:1">
      <c r="A8704" s="576"/>
    </row>
    <row r="8705" spans="1:1">
      <c r="A8705" s="576"/>
    </row>
    <row r="8706" spans="1:1">
      <c r="A8706" s="576"/>
    </row>
    <row r="8707" spans="1:1">
      <c r="A8707" s="576"/>
    </row>
    <row r="8708" spans="1:1">
      <c r="A8708" s="576"/>
    </row>
    <row r="8709" spans="1:1">
      <c r="A8709" s="576"/>
    </row>
    <row r="8710" spans="1:1">
      <c r="A8710" s="576"/>
    </row>
    <row r="8711" spans="1:1">
      <c r="A8711" s="576"/>
    </row>
    <row r="8712" spans="1:1">
      <c r="A8712" s="576"/>
    </row>
    <row r="8713" spans="1:1">
      <c r="A8713" s="576"/>
    </row>
    <row r="8714" spans="1:1">
      <c r="A8714" s="576"/>
    </row>
    <row r="8715" spans="1:1">
      <c r="A8715" s="576"/>
    </row>
    <row r="8716" spans="1:1">
      <c r="A8716" s="576"/>
    </row>
    <row r="8717" spans="1:1">
      <c r="A8717" s="576"/>
    </row>
    <row r="8718" spans="1:1">
      <c r="A8718" s="576"/>
    </row>
    <row r="8719" spans="1:1">
      <c r="A8719" s="576"/>
    </row>
    <row r="8720" spans="1:1">
      <c r="A8720" s="576"/>
    </row>
    <row r="8721" spans="1:1">
      <c r="A8721" s="576"/>
    </row>
    <row r="8722" spans="1:1">
      <c r="A8722" s="576"/>
    </row>
    <row r="8723" spans="1:1">
      <c r="A8723" s="576"/>
    </row>
    <row r="8724" spans="1:1">
      <c r="A8724" s="576"/>
    </row>
    <row r="8725" spans="1:1">
      <c r="A8725" s="576"/>
    </row>
    <row r="8726" spans="1:1">
      <c r="A8726" s="576"/>
    </row>
    <row r="8727" spans="1:1">
      <c r="A8727" s="576"/>
    </row>
    <row r="8728" spans="1:1">
      <c r="A8728" s="576"/>
    </row>
    <row r="8729" spans="1:1">
      <c r="A8729" s="576"/>
    </row>
    <row r="8730" spans="1:1">
      <c r="A8730" s="576"/>
    </row>
    <row r="8731" spans="1:1">
      <c r="A8731" s="576"/>
    </row>
    <row r="8732" spans="1:1">
      <c r="A8732" s="576"/>
    </row>
    <row r="8733" spans="1:1">
      <c r="A8733" s="576"/>
    </row>
    <row r="8734" spans="1:1">
      <c r="A8734" s="576"/>
    </row>
    <row r="8735" spans="1:1">
      <c r="A8735" s="576"/>
    </row>
    <row r="8736" spans="1:1">
      <c r="A8736" s="576"/>
    </row>
    <row r="8737" spans="1:1">
      <c r="A8737" s="576"/>
    </row>
    <row r="8738" spans="1:1">
      <c r="A8738" s="576"/>
    </row>
    <row r="8739" spans="1:1">
      <c r="A8739" s="576"/>
    </row>
    <row r="8740" spans="1:1">
      <c r="A8740" s="576"/>
    </row>
    <row r="8741" spans="1:1">
      <c r="A8741" s="576"/>
    </row>
    <row r="8742" spans="1:1">
      <c r="A8742" s="576"/>
    </row>
    <row r="8743" spans="1:1">
      <c r="A8743" s="576"/>
    </row>
    <row r="8744" spans="1:1">
      <c r="A8744" s="576"/>
    </row>
    <row r="8745" spans="1:1">
      <c r="A8745" s="576"/>
    </row>
    <row r="8746" spans="1:1">
      <c r="A8746" s="576"/>
    </row>
    <row r="8747" spans="1:1">
      <c r="A8747" s="576"/>
    </row>
    <row r="8748" spans="1:1">
      <c r="A8748" s="576"/>
    </row>
    <row r="8749" spans="1:1">
      <c r="A8749" s="576"/>
    </row>
    <row r="8750" spans="1:1">
      <c r="A8750" s="576"/>
    </row>
    <row r="8751" spans="1:1">
      <c r="A8751" s="576"/>
    </row>
    <row r="8752" spans="1:1">
      <c r="A8752" s="576"/>
    </row>
    <row r="8753" spans="1:1">
      <c r="A8753" s="576"/>
    </row>
    <row r="8754" spans="1:1">
      <c r="A8754" s="576"/>
    </row>
    <row r="8755" spans="1:1">
      <c r="A8755" s="576"/>
    </row>
    <row r="8756" spans="1:1">
      <c r="A8756" s="576"/>
    </row>
    <row r="8757" spans="1:1">
      <c r="A8757" s="576"/>
    </row>
    <row r="8758" spans="1:1">
      <c r="A8758" s="576"/>
    </row>
    <row r="8759" spans="1:1">
      <c r="A8759" s="576"/>
    </row>
    <row r="8760" spans="1:1">
      <c r="A8760" s="576"/>
    </row>
    <row r="8761" spans="1:1">
      <c r="A8761" s="576"/>
    </row>
    <row r="8762" spans="1:1">
      <c r="A8762" s="576"/>
    </row>
    <row r="8763" spans="1:1">
      <c r="A8763" s="576"/>
    </row>
    <row r="8764" spans="1:1">
      <c r="A8764" s="576"/>
    </row>
    <row r="8765" spans="1:1">
      <c r="A8765" s="576"/>
    </row>
    <row r="8766" spans="1:1">
      <c r="A8766" s="576"/>
    </row>
    <row r="8767" spans="1:1">
      <c r="A8767" s="576"/>
    </row>
    <row r="8768" spans="1:1">
      <c r="A8768" s="576"/>
    </row>
    <row r="8769" spans="1:1">
      <c r="A8769" s="576"/>
    </row>
    <row r="8770" spans="1:1">
      <c r="A8770" s="576"/>
    </row>
    <row r="8771" spans="1:1">
      <c r="A8771" s="576"/>
    </row>
    <row r="8772" spans="1:1">
      <c r="A8772" s="576"/>
    </row>
    <row r="8773" spans="1:1">
      <c r="A8773" s="576"/>
    </row>
    <row r="8774" spans="1:1">
      <c r="A8774" s="576"/>
    </row>
    <row r="8775" spans="1:1">
      <c r="A8775" s="576"/>
    </row>
    <row r="8776" spans="1:1">
      <c r="A8776" s="576"/>
    </row>
    <row r="8777" spans="1:1">
      <c r="A8777" s="576"/>
    </row>
    <row r="8778" spans="1:1">
      <c r="A8778" s="576"/>
    </row>
    <row r="8779" spans="1:1">
      <c r="A8779" s="576"/>
    </row>
    <row r="8780" spans="1:1">
      <c r="A8780" s="576"/>
    </row>
    <row r="8781" spans="1:1">
      <c r="A8781" s="576"/>
    </row>
    <row r="8782" spans="1:1">
      <c r="A8782" s="576"/>
    </row>
    <row r="8783" spans="1:1">
      <c r="A8783" s="576"/>
    </row>
    <row r="8784" spans="1:1">
      <c r="A8784" s="576"/>
    </row>
    <row r="8785" spans="1:1">
      <c r="A8785" s="576"/>
    </row>
    <row r="8786" spans="1:1">
      <c r="A8786" s="576"/>
    </row>
    <row r="8787" spans="1:1">
      <c r="A8787" s="576"/>
    </row>
    <row r="8788" spans="1:1">
      <c r="A8788" s="576"/>
    </row>
    <row r="8789" spans="1:1">
      <c r="A8789" s="576"/>
    </row>
    <row r="8790" spans="1:1">
      <c r="A8790" s="576"/>
    </row>
    <row r="8791" spans="1:1">
      <c r="A8791" s="576"/>
    </row>
    <row r="8792" spans="1:1">
      <c r="A8792" s="576"/>
    </row>
    <row r="8793" spans="1:1">
      <c r="A8793" s="576"/>
    </row>
    <row r="8794" spans="1:1">
      <c r="A8794" s="576"/>
    </row>
    <row r="8795" spans="1:1">
      <c r="A8795" s="576"/>
    </row>
    <row r="8796" spans="1:1">
      <c r="A8796" s="576"/>
    </row>
    <row r="8797" spans="1:1">
      <c r="A8797" s="576"/>
    </row>
    <row r="8798" spans="1:1">
      <c r="A8798" s="576"/>
    </row>
    <row r="8799" spans="1:1">
      <c r="A8799" s="576"/>
    </row>
    <row r="8800" spans="1:1">
      <c r="A8800" s="576"/>
    </row>
    <row r="8801" spans="1:1">
      <c r="A8801" s="576"/>
    </row>
    <row r="8802" spans="1:1">
      <c r="A8802" s="576"/>
    </row>
    <row r="8803" spans="1:1">
      <c r="A8803" s="576"/>
    </row>
    <row r="8804" spans="1:1">
      <c r="A8804" s="576"/>
    </row>
    <row r="8805" spans="1:1">
      <c r="A8805" s="576"/>
    </row>
    <row r="8806" spans="1:1">
      <c r="A8806" s="576"/>
    </row>
    <row r="8807" spans="1:1">
      <c r="A8807" s="576"/>
    </row>
    <row r="8808" spans="1:1">
      <c r="A8808" s="576"/>
    </row>
    <row r="8809" spans="1:1">
      <c r="A8809" s="576"/>
    </row>
    <row r="8810" spans="1:1">
      <c r="A8810" s="576"/>
    </row>
    <row r="8811" spans="1:1">
      <c r="A8811" s="576"/>
    </row>
    <row r="8812" spans="1:1">
      <c r="A8812" s="576"/>
    </row>
    <row r="8813" spans="1:1">
      <c r="A8813" s="576"/>
    </row>
    <row r="8814" spans="1:1">
      <c r="A8814" s="576"/>
    </row>
    <row r="8815" spans="1:1">
      <c r="A8815" s="576"/>
    </row>
    <row r="8816" spans="1:1">
      <c r="A8816" s="576"/>
    </row>
    <row r="8817" spans="1:1">
      <c r="A8817" s="576"/>
    </row>
    <row r="8818" spans="1:1">
      <c r="A8818" s="576"/>
    </row>
    <row r="8819" spans="1:1">
      <c r="A8819" s="576"/>
    </row>
    <row r="8820" spans="1:1">
      <c r="A8820" s="576"/>
    </row>
    <row r="8821" spans="1:1">
      <c r="A8821" s="576"/>
    </row>
    <row r="8822" spans="1:1">
      <c r="A8822" s="576"/>
    </row>
    <row r="8823" spans="1:1">
      <c r="A8823" s="576"/>
    </row>
    <row r="8824" spans="1:1">
      <c r="A8824" s="576"/>
    </row>
    <row r="8825" spans="1:1">
      <c r="A8825" s="576"/>
    </row>
    <row r="8826" spans="1:1">
      <c r="A8826" s="576"/>
    </row>
    <row r="8827" spans="1:1">
      <c r="A8827" s="576"/>
    </row>
    <row r="8828" spans="1:1">
      <c r="A8828" s="576"/>
    </row>
    <row r="8829" spans="1:1">
      <c r="A8829" s="576"/>
    </row>
    <row r="8830" spans="1:1">
      <c r="A8830" s="576"/>
    </row>
    <row r="8831" spans="1:1">
      <c r="A8831" s="576"/>
    </row>
    <row r="8832" spans="1:1">
      <c r="A8832" s="576"/>
    </row>
    <row r="8833" spans="1:1">
      <c r="A8833" s="576"/>
    </row>
    <row r="8834" spans="1:1">
      <c r="A8834" s="576"/>
    </row>
    <row r="8835" spans="1:1">
      <c r="A8835" s="576"/>
    </row>
    <row r="8836" spans="1:1">
      <c r="A8836" s="576"/>
    </row>
    <row r="8837" spans="1:1">
      <c r="A8837" s="576"/>
    </row>
    <row r="8838" spans="1:1">
      <c r="A8838" s="576"/>
    </row>
    <row r="8839" spans="1:1">
      <c r="A8839" s="576"/>
    </row>
    <row r="8840" spans="1:1">
      <c r="A8840" s="576"/>
    </row>
    <row r="8841" spans="1:1">
      <c r="A8841" s="576"/>
    </row>
    <row r="8842" spans="1:1">
      <c r="A8842" s="576"/>
    </row>
    <row r="8843" spans="1:1">
      <c r="A8843" s="576"/>
    </row>
    <row r="8844" spans="1:1">
      <c r="A8844" s="576"/>
    </row>
    <row r="8845" spans="1:1">
      <c r="A8845" s="576"/>
    </row>
    <row r="8846" spans="1:1">
      <c r="A8846" s="576"/>
    </row>
    <row r="8847" spans="1:1">
      <c r="A8847" s="576"/>
    </row>
    <row r="8848" spans="1:1">
      <c r="A8848" s="576"/>
    </row>
    <row r="8849" spans="1:1">
      <c r="A8849" s="576"/>
    </row>
    <row r="8850" spans="1:1">
      <c r="A8850" s="576"/>
    </row>
    <row r="8851" spans="1:1">
      <c r="A8851" s="576"/>
    </row>
    <row r="8852" spans="1:1">
      <c r="A8852" s="576"/>
    </row>
    <row r="8853" spans="1:1">
      <c r="A8853" s="576"/>
    </row>
    <row r="8854" spans="1:1">
      <c r="A8854" s="576"/>
    </row>
    <row r="8855" spans="1:1">
      <c r="A8855" s="576"/>
    </row>
    <row r="8856" spans="1:1">
      <c r="A8856" s="576"/>
    </row>
    <row r="8857" spans="1:1">
      <c r="A8857" s="576"/>
    </row>
    <row r="8858" spans="1:1">
      <c r="A8858" s="576"/>
    </row>
    <row r="8859" spans="1:1">
      <c r="A8859" s="576"/>
    </row>
    <row r="8860" spans="1:1">
      <c r="A8860" s="576"/>
    </row>
    <row r="8861" spans="1:1">
      <c r="A8861" s="576"/>
    </row>
    <row r="8862" spans="1:1">
      <c r="A8862" s="576"/>
    </row>
    <row r="8863" spans="1:1">
      <c r="A8863" s="576"/>
    </row>
    <row r="8864" spans="1:1">
      <c r="A8864" s="576"/>
    </row>
    <row r="8865" spans="1:1">
      <c r="A8865" s="576"/>
    </row>
    <row r="8866" spans="1:1">
      <c r="A8866" s="576"/>
    </row>
    <row r="8867" spans="1:1">
      <c r="A8867" s="576"/>
    </row>
    <row r="8868" spans="1:1">
      <c r="A8868" s="576"/>
    </row>
    <row r="8869" spans="1:1">
      <c r="A8869" s="576"/>
    </row>
    <row r="8870" spans="1:1">
      <c r="A8870" s="576"/>
    </row>
    <row r="8871" spans="1:1">
      <c r="A8871" s="576"/>
    </row>
    <row r="8872" spans="1:1">
      <c r="A8872" s="576"/>
    </row>
    <row r="8873" spans="1:1">
      <c r="A8873" s="576"/>
    </row>
    <row r="8874" spans="1:1">
      <c r="A8874" s="576"/>
    </row>
    <row r="8875" spans="1:1">
      <c r="A8875" s="576"/>
    </row>
    <row r="8876" spans="1:1">
      <c r="A8876" s="576"/>
    </row>
    <row r="8877" spans="1:1">
      <c r="A8877" s="576"/>
    </row>
    <row r="8878" spans="1:1">
      <c r="A8878" s="576"/>
    </row>
    <row r="8879" spans="1:1">
      <c r="A8879" s="576"/>
    </row>
    <row r="8880" spans="1:1">
      <c r="A8880" s="576"/>
    </row>
    <row r="8881" spans="1:1">
      <c r="A8881" s="576"/>
    </row>
    <row r="8882" spans="1:1">
      <c r="A8882" s="576"/>
    </row>
    <row r="8883" spans="1:1">
      <c r="A8883" s="576"/>
    </row>
    <row r="8884" spans="1:1">
      <c r="A8884" s="576"/>
    </row>
    <row r="8885" spans="1:1">
      <c r="A8885" s="576"/>
    </row>
    <row r="8886" spans="1:1">
      <c r="A8886" s="576"/>
    </row>
    <row r="8887" spans="1:1">
      <c r="A8887" s="576"/>
    </row>
    <row r="8888" spans="1:1">
      <c r="A8888" s="576"/>
    </row>
    <row r="8889" spans="1:1">
      <c r="A8889" s="576"/>
    </row>
    <row r="8890" spans="1:1">
      <c r="A8890" s="576"/>
    </row>
    <row r="8891" spans="1:1">
      <c r="A8891" s="576"/>
    </row>
    <row r="8892" spans="1:1">
      <c r="A8892" s="576"/>
    </row>
    <row r="8893" spans="1:1">
      <c r="A8893" s="576"/>
    </row>
    <row r="8894" spans="1:1">
      <c r="A8894" s="576"/>
    </row>
    <row r="8895" spans="1:1">
      <c r="A8895" s="576"/>
    </row>
    <row r="8896" spans="1:1">
      <c r="A8896" s="576"/>
    </row>
    <row r="8897" spans="1:1">
      <c r="A8897" s="576"/>
    </row>
    <row r="8898" spans="1:1">
      <c r="A8898" s="576"/>
    </row>
    <row r="8899" spans="1:1">
      <c r="A8899" s="576"/>
    </row>
    <row r="8900" spans="1:1">
      <c r="A8900" s="576"/>
    </row>
    <row r="8901" spans="1:1">
      <c r="A8901" s="576"/>
    </row>
    <row r="8902" spans="1:1">
      <c r="A8902" s="576"/>
    </row>
    <row r="8903" spans="1:1">
      <c r="A8903" s="576"/>
    </row>
    <row r="8904" spans="1:1">
      <c r="A8904" s="576"/>
    </row>
    <row r="8905" spans="1:1">
      <c r="A8905" s="576"/>
    </row>
    <row r="8906" spans="1:1">
      <c r="A8906" s="576"/>
    </row>
    <row r="8907" spans="1:1">
      <c r="A8907" s="576"/>
    </row>
    <row r="8908" spans="1:1">
      <c r="A8908" s="576"/>
    </row>
    <row r="8909" spans="1:1">
      <c r="A8909" s="576"/>
    </row>
    <row r="8910" spans="1:1">
      <c r="A8910" s="576"/>
    </row>
    <row r="8911" spans="1:1">
      <c r="A8911" s="576"/>
    </row>
    <row r="8912" spans="1:1">
      <c r="A8912" s="576"/>
    </row>
    <row r="8913" spans="1:1">
      <c r="A8913" s="576"/>
    </row>
    <row r="8914" spans="1:1">
      <c r="A8914" s="576"/>
    </row>
    <row r="8915" spans="1:1">
      <c r="A8915" s="576"/>
    </row>
    <row r="8916" spans="1:1">
      <c r="A8916" s="576"/>
    </row>
    <row r="8917" spans="1:1">
      <c r="A8917" s="576"/>
    </row>
    <row r="8918" spans="1:1">
      <c r="A8918" s="576"/>
    </row>
    <row r="8919" spans="1:1">
      <c r="A8919" s="576"/>
    </row>
    <row r="8920" spans="1:1">
      <c r="A8920" s="576"/>
    </row>
    <row r="8921" spans="1:1">
      <c r="A8921" s="576"/>
    </row>
    <row r="8922" spans="1:1">
      <c r="A8922" s="576"/>
    </row>
    <row r="8923" spans="1:1">
      <c r="A8923" s="576"/>
    </row>
    <row r="8924" spans="1:1">
      <c r="A8924" s="576"/>
    </row>
    <row r="8925" spans="1:1">
      <c r="A8925" s="576"/>
    </row>
    <row r="8926" spans="1:1">
      <c r="A8926" s="576"/>
    </row>
    <row r="8927" spans="1:1">
      <c r="A8927" s="576"/>
    </row>
    <row r="8928" spans="1:1">
      <c r="A8928" s="576"/>
    </row>
    <row r="8929" spans="1:1">
      <c r="A8929" s="576"/>
    </row>
    <row r="8930" spans="1:1">
      <c r="A8930" s="576"/>
    </row>
    <row r="8931" spans="1:1">
      <c r="A8931" s="576"/>
    </row>
    <row r="8932" spans="1:1">
      <c r="A8932" s="576"/>
    </row>
    <row r="8933" spans="1:1">
      <c r="A8933" s="576"/>
    </row>
    <row r="8934" spans="1:1">
      <c r="A8934" s="576"/>
    </row>
    <row r="8935" spans="1:1">
      <c r="A8935" s="576"/>
    </row>
    <row r="8936" spans="1:1">
      <c r="A8936" s="576"/>
    </row>
    <row r="8937" spans="1:1">
      <c r="A8937" s="576"/>
    </row>
    <row r="8938" spans="1:1">
      <c r="A8938" s="576"/>
    </row>
    <row r="8939" spans="1:1">
      <c r="A8939" s="576"/>
    </row>
    <row r="8940" spans="1:1">
      <c r="A8940" s="576"/>
    </row>
    <row r="8941" spans="1:1">
      <c r="A8941" s="576"/>
    </row>
    <row r="8942" spans="1:1">
      <c r="A8942" s="576"/>
    </row>
    <row r="8943" spans="1:1">
      <c r="A8943" s="576"/>
    </row>
    <row r="8944" spans="1:1">
      <c r="A8944" s="576"/>
    </row>
    <row r="8945" spans="1:1">
      <c r="A8945" s="576"/>
    </row>
    <row r="8946" spans="1:1">
      <c r="A8946" s="576"/>
    </row>
    <row r="8947" spans="1:1">
      <c r="A8947" s="576"/>
    </row>
    <row r="8948" spans="1:1">
      <c r="A8948" s="576"/>
    </row>
    <row r="8949" spans="1:1">
      <c r="A8949" s="576"/>
    </row>
    <row r="8950" spans="1:1">
      <c r="A8950" s="576"/>
    </row>
    <row r="8951" spans="1:1">
      <c r="A8951" s="576"/>
    </row>
    <row r="8952" spans="1:1">
      <c r="A8952" s="576"/>
    </row>
    <row r="8953" spans="1:1">
      <c r="A8953" s="576"/>
    </row>
    <row r="8954" spans="1:1">
      <c r="A8954" s="576"/>
    </row>
    <row r="8955" spans="1:1">
      <c r="A8955" s="576"/>
    </row>
    <row r="8956" spans="1:1">
      <c r="A8956" s="576"/>
    </row>
    <row r="8957" spans="1:1">
      <c r="A8957" s="576"/>
    </row>
    <row r="8958" spans="1:1">
      <c r="A8958" s="576"/>
    </row>
    <row r="8959" spans="1:1">
      <c r="A8959" s="576"/>
    </row>
    <row r="8960" spans="1:1">
      <c r="A8960" s="576"/>
    </row>
    <row r="8961" spans="1:1">
      <c r="A8961" s="576"/>
    </row>
    <row r="8962" spans="1:1">
      <c r="A8962" s="576"/>
    </row>
    <row r="8963" spans="1:1">
      <c r="A8963" s="576"/>
    </row>
    <row r="8964" spans="1:1">
      <c r="A8964" s="576"/>
    </row>
    <row r="8965" spans="1:1">
      <c r="A8965" s="576"/>
    </row>
    <row r="8966" spans="1:1">
      <c r="A8966" s="576"/>
    </row>
    <row r="8967" spans="1:1">
      <c r="A8967" s="576"/>
    </row>
    <row r="8968" spans="1:1">
      <c r="A8968" s="576"/>
    </row>
    <row r="8969" spans="1:1">
      <c r="A8969" s="576"/>
    </row>
    <row r="8970" spans="1:1">
      <c r="A8970" s="576"/>
    </row>
    <row r="8971" spans="1:1">
      <c r="A8971" s="576"/>
    </row>
    <row r="8972" spans="1:1">
      <c r="A8972" s="576"/>
    </row>
    <row r="8973" spans="1:1">
      <c r="A8973" s="576"/>
    </row>
    <row r="8974" spans="1:1">
      <c r="A8974" s="576"/>
    </row>
    <row r="8975" spans="1:1">
      <c r="A8975" s="576"/>
    </row>
    <row r="8976" spans="1:1">
      <c r="A8976" s="576"/>
    </row>
    <row r="8977" spans="1:1">
      <c r="A8977" s="576"/>
    </row>
    <row r="8978" spans="1:1">
      <c r="A8978" s="576"/>
    </row>
    <row r="8979" spans="1:1">
      <c r="A8979" s="576"/>
    </row>
    <row r="8980" spans="1:1">
      <c r="A8980" s="576"/>
    </row>
    <row r="8981" spans="1:1">
      <c r="A8981" s="576"/>
    </row>
    <row r="8982" spans="1:1">
      <c r="A8982" s="576"/>
    </row>
    <row r="8983" spans="1:1">
      <c r="A8983" s="576"/>
    </row>
    <row r="8984" spans="1:1">
      <c r="A8984" s="576"/>
    </row>
    <row r="8985" spans="1:1">
      <c r="A8985" s="576"/>
    </row>
    <row r="8986" spans="1:1">
      <c r="A8986" s="576"/>
    </row>
    <row r="8987" spans="1:1">
      <c r="A8987" s="576"/>
    </row>
    <row r="8988" spans="1:1">
      <c r="A8988" s="576"/>
    </row>
    <row r="8989" spans="1:1">
      <c r="A8989" s="576"/>
    </row>
    <row r="8990" spans="1:1">
      <c r="A8990" s="576"/>
    </row>
    <row r="8991" spans="1:1">
      <c r="A8991" s="576"/>
    </row>
    <row r="8992" spans="1:1">
      <c r="A8992" s="576"/>
    </row>
    <row r="8993" spans="1:1">
      <c r="A8993" s="576"/>
    </row>
    <row r="8994" spans="1:1">
      <c r="A8994" s="576"/>
    </row>
    <row r="8995" spans="1:1">
      <c r="A8995" s="576"/>
    </row>
    <row r="8996" spans="1:1">
      <c r="A8996" s="576"/>
    </row>
    <row r="8997" spans="1:1">
      <c r="A8997" s="576"/>
    </row>
    <row r="8998" spans="1:1">
      <c r="A8998" s="576"/>
    </row>
    <row r="8999" spans="1:1">
      <c r="A8999" s="576"/>
    </row>
    <row r="9000" spans="1:1">
      <c r="A9000" s="576"/>
    </row>
    <row r="9001" spans="1:1">
      <c r="A9001" s="576"/>
    </row>
    <row r="9002" spans="1:1">
      <c r="A9002" s="576"/>
    </row>
    <row r="9003" spans="1:1">
      <c r="A9003" s="576"/>
    </row>
    <row r="9004" spans="1:1">
      <c r="A9004" s="576"/>
    </row>
    <row r="9005" spans="1:1">
      <c r="A9005" s="576"/>
    </row>
    <row r="9006" spans="1:1">
      <c r="A9006" s="576"/>
    </row>
    <row r="9007" spans="1:1">
      <c r="A9007" s="576"/>
    </row>
    <row r="9008" spans="1:1">
      <c r="A9008" s="576"/>
    </row>
    <row r="9009" spans="1:1">
      <c r="A9009" s="576"/>
    </row>
    <row r="9010" spans="1:1">
      <c r="A9010" s="576"/>
    </row>
    <row r="9011" spans="1:1">
      <c r="A9011" s="576"/>
    </row>
    <row r="9012" spans="1:1">
      <c r="A9012" s="576"/>
    </row>
    <row r="9013" spans="1:1">
      <c r="A9013" s="576"/>
    </row>
    <row r="9014" spans="1:1">
      <c r="A9014" s="576"/>
    </row>
    <row r="9015" spans="1:1">
      <c r="A9015" s="576"/>
    </row>
    <row r="9016" spans="1:1">
      <c r="A9016" s="576"/>
    </row>
    <row r="9017" spans="1:1">
      <c r="A9017" s="576"/>
    </row>
    <row r="9018" spans="1:1">
      <c r="A9018" s="576"/>
    </row>
    <row r="9019" spans="1:1">
      <c r="A9019" s="576"/>
    </row>
    <row r="9020" spans="1:1">
      <c r="A9020" s="576"/>
    </row>
    <row r="9021" spans="1:1">
      <c r="A9021" s="576"/>
    </row>
    <row r="9022" spans="1:1">
      <c r="A9022" s="576"/>
    </row>
    <row r="9023" spans="1:1">
      <c r="A9023" s="576"/>
    </row>
    <row r="9024" spans="1:1">
      <c r="A9024" s="576"/>
    </row>
    <row r="9025" spans="1:1">
      <c r="A9025" s="576"/>
    </row>
    <row r="9026" spans="1:1">
      <c r="A9026" s="576"/>
    </row>
    <row r="9027" spans="1:1">
      <c r="A9027" s="576"/>
    </row>
    <row r="9028" spans="1:1">
      <c r="A9028" s="576"/>
    </row>
    <row r="9029" spans="1:1">
      <c r="A9029" s="576"/>
    </row>
    <row r="9030" spans="1:1">
      <c r="A9030" s="576"/>
    </row>
    <row r="9031" spans="1:1">
      <c r="A9031" s="576"/>
    </row>
    <row r="9032" spans="1:1">
      <c r="A9032" s="576"/>
    </row>
    <row r="9033" spans="1:1">
      <c r="A9033" s="576"/>
    </row>
    <row r="9034" spans="1:1">
      <c r="A9034" s="576"/>
    </row>
    <row r="9035" spans="1:1">
      <c r="A9035" s="576"/>
    </row>
    <row r="9036" spans="1:1">
      <c r="A9036" s="576"/>
    </row>
    <row r="9037" spans="1:1">
      <c r="A9037" s="576"/>
    </row>
    <row r="9038" spans="1:1">
      <c r="A9038" s="576"/>
    </row>
    <row r="9039" spans="1:1">
      <c r="A9039" s="576"/>
    </row>
    <row r="9040" spans="1:1">
      <c r="A9040" s="576"/>
    </row>
    <row r="9041" spans="1:1">
      <c r="A9041" s="576"/>
    </row>
    <row r="9042" spans="1:1">
      <c r="A9042" s="576"/>
    </row>
    <row r="9043" spans="1:1">
      <c r="A9043" s="576"/>
    </row>
    <row r="9044" spans="1:1">
      <c r="A9044" s="576"/>
    </row>
    <row r="9045" spans="1:1">
      <c r="A9045" s="576"/>
    </row>
    <row r="9046" spans="1:1">
      <c r="A9046" s="576"/>
    </row>
    <row r="9047" spans="1:1">
      <c r="A9047" s="576"/>
    </row>
    <row r="9048" spans="1:1">
      <c r="A9048" s="576"/>
    </row>
    <row r="9049" spans="1:1">
      <c r="A9049" s="576"/>
    </row>
    <row r="9050" spans="1:1">
      <c r="A9050" s="576"/>
    </row>
    <row r="9051" spans="1:1">
      <c r="A9051" s="576"/>
    </row>
    <row r="9052" spans="1:1">
      <c r="A9052" s="576"/>
    </row>
    <row r="9053" spans="1:1">
      <c r="A9053" s="576"/>
    </row>
    <row r="9054" spans="1:1">
      <c r="A9054" s="576"/>
    </row>
    <row r="9055" spans="1:1">
      <c r="A9055" s="576"/>
    </row>
    <row r="9056" spans="1:1">
      <c r="A9056" s="576"/>
    </row>
    <row r="9057" spans="1:1">
      <c r="A9057" s="576"/>
    </row>
    <row r="9058" spans="1:1">
      <c r="A9058" s="576"/>
    </row>
    <row r="9059" spans="1:1">
      <c r="A9059" s="576"/>
    </row>
    <row r="9060" spans="1:1">
      <c r="A9060" s="576"/>
    </row>
    <row r="9061" spans="1:1">
      <c r="A9061" s="576"/>
    </row>
    <row r="9062" spans="1:1">
      <c r="A9062" s="576"/>
    </row>
    <row r="9063" spans="1:1">
      <c r="A9063" s="576"/>
    </row>
    <row r="9064" spans="1:1">
      <c r="A9064" s="576"/>
    </row>
    <row r="9065" spans="1:1">
      <c r="A9065" s="576"/>
    </row>
    <row r="9066" spans="1:1">
      <c r="A9066" s="576"/>
    </row>
    <row r="9067" spans="1:1">
      <c r="A9067" s="576"/>
    </row>
    <row r="9068" spans="1:1">
      <c r="A9068" s="576"/>
    </row>
    <row r="9069" spans="1:1">
      <c r="A9069" s="576"/>
    </row>
    <row r="9070" spans="1:1">
      <c r="A9070" s="576"/>
    </row>
    <row r="9071" spans="1:1">
      <c r="A9071" s="576"/>
    </row>
    <row r="9072" spans="1:1">
      <c r="A9072" s="576"/>
    </row>
    <row r="9073" spans="1:1">
      <c r="A9073" s="576"/>
    </row>
    <row r="9074" spans="1:1">
      <c r="A9074" s="576"/>
    </row>
    <row r="9075" spans="1:1">
      <c r="A9075" s="576"/>
    </row>
    <row r="9076" spans="1:1">
      <c r="A9076" s="576"/>
    </row>
    <row r="9077" spans="1:1">
      <c r="A9077" s="576"/>
    </row>
    <row r="9078" spans="1:1">
      <c r="A9078" s="576"/>
    </row>
    <row r="9079" spans="1:1">
      <c r="A9079" s="576"/>
    </row>
    <row r="9080" spans="1:1">
      <c r="A9080" s="576"/>
    </row>
    <row r="9081" spans="1:1">
      <c r="A9081" s="576"/>
    </row>
    <row r="9082" spans="1:1">
      <c r="A9082" s="576"/>
    </row>
    <row r="9083" spans="1:1">
      <c r="A9083" s="576"/>
    </row>
    <row r="9084" spans="1:1">
      <c r="A9084" s="576"/>
    </row>
    <row r="9085" spans="1:1">
      <c r="A9085" s="576"/>
    </row>
    <row r="9086" spans="1:1">
      <c r="A9086" s="576"/>
    </row>
    <row r="9087" spans="1:1">
      <c r="A9087" s="576"/>
    </row>
    <row r="9088" spans="1:1">
      <c r="A9088" s="576"/>
    </row>
    <row r="9089" spans="1:1">
      <c r="A9089" s="576"/>
    </row>
    <row r="9090" spans="1:1">
      <c r="A9090" s="576"/>
    </row>
    <row r="9091" spans="1:1">
      <c r="A9091" s="576"/>
    </row>
    <row r="9092" spans="1:1">
      <c r="A9092" s="576"/>
    </row>
    <row r="9093" spans="1:1">
      <c r="A9093" s="576"/>
    </row>
    <row r="9094" spans="1:1">
      <c r="A9094" s="576"/>
    </row>
    <row r="9095" spans="1:1">
      <c r="A9095" s="576"/>
    </row>
    <row r="9096" spans="1:1">
      <c r="A9096" s="576"/>
    </row>
    <row r="9097" spans="1:1">
      <c r="A9097" s="576"/>
    </row>
    <row r="9098" spans="1:1">
      <c r="A9098" s="576"/>
    </row>
    <row r="9099" spans="1:1">
      <c r="A9099" s="576"/>
    </row>
    <row r="9100" spans="1:1">
      <c r="A9100" s="576"/>
    </row>
    <row r="9101" spans="1:1">
      <c r="A9101" s="576"/>
    </row>
    <row r="9102" spans="1:1">
      <c r="A9102" s="576"/>
    </row>
    <row r="9103" spans="1:1">
      <c r="A9103" s="576"/>
    </row>
    <row r="9104" spans="1:1">
      <c r="A9104" s="576"/>
    </row>
    <row r="9105" spans="1:1">
      <c r="A9105" s="576"/>
    </row>
    <row r="9106" spans="1:1">
      <c r="A9106" s="576"/>
    </row>
    <row r="9107" spans="1:1">
      <c r="A9107" s="576"/>
    </row>
    <row r="9108" spans="1:1">
      <c r="A9108" s="576"/>
    </row>
    <row r="9109" spans="1:1">
      <c r="A9109" s="576"/>
    </row>
    <row r="9110" spans="1:1">
      <c r="A9110" s="576"/>
    </row>
    <row r="9111" spans="1:1">
      <c r="A9111" s="576"/>
    </row>
    <row r="9112" spans="1:1">
      <c r="A9112" s="576"/>
    </row>
    <row r="9113" spans="1:1">
      <c r="A9113" s="576"/>
    </row>
    <row r="9114" spans="1:1">
      <c r="A9114" s="576"/>
    </row>
    <row r="9115" spans="1:1">
      <c r="A9115" s="576"/>
    </row>
    <row r="9116" spans="1:1">
      <c r="A9116" s="576"/>
    </row>
    <row r="9117" spans="1:1">
      <c r="A9117" s="576"/>
    </row>
    <row r="9118" spans="1:1">
      <c r="A9118" s="576"/>
    </row>
    <row r="9119" spans="1:1">
      <c r="A9119" s="576"/>
    </row>
    <row r="9120" spans="1:1">
      <c r="A9120" s="576"/>
    </row>
    <row r="9121" spans="1:1">
      <c r="A9121" s="576"/>
    </row>
    <row r="9122" spans="1:1">
      <c r="A9122" s="576"/>
    </row>
    <row r="9123" spans="1:1">
      <c r="A9123" s="576"/>
    </row>
    <row r="9124" spans="1:1">
      <c r="A9124" s="576"/>
    </row>
    <row r="9125" spans="1:1">
      <c r="A9125" s="576"/>
    </row>
    <row r="9126" spans="1:1">
      <c r="A9126" s="576"/>
    </row>
    <row r="9127" spans="1:1">
      <c r="A9127" s="576"/>
    </row>
    <row r="9128" spans="1:1">
      <c r="A9128" s="576"/>
    </row>
    <row r="9129" spans="1:1">
      <c r="A9129" s="576"/>
    </row>
    <row r="9130" spans="1:1">
      <c r="A9130" s="576"/>
    </row>
    <row r="9131" spans="1:1">
      <c r="A9131" s="576"/>
    </row>
    <row r="9132" spans="1:1">
      <c r="A9132" s="576"/>
    </row>
    <row r="9133" spans="1:1">
      <c r="A9133" s="576"/>
    </row>
    <row r="9134" spans="1:1">
      <c r="A9134" s="576"/>
    </row>
    <row r="9135" spans="1:1">
      <c r="A9135" s="576"/>
    </row>
    <row r="9136" spans="1:1">
      <c r="A9136" s="576"/>
    </row>
    <row r="9137" spans="1:1">
      <c r="A9137" s="576"/>
    </row>
    <row r="9138" spans="1:1">
      <c r="A9138" s="576"/>
    </row>
    <row r="9139" spans="1:1">
      <c r="A9139" s="576"/>
    </row>
    <row r="9140" spans="1:1">
      <c r="A9140" s="576"/>
    </row>
    <row r="9141" spans="1:1">
      <c r="A9141" s="576"/>
    </row>
    <row r="9142" spans="1:1">
      <c r="A9142" s="576"/>
    </row>
    <row r="9143" spans="1:1">
      <c r="A9143" s="576"/>
    </row>
    <row r="9144" spans="1:1">
      <c r="A9144" s="576"/>
    </row>
    <row r="9145" spans="1:1">
      <c r="A9145" s="576"/>
    </row>
    <row r="9146" spans="1:1">
      <c r="A9146" s="576"/>
    </row>
    <row r="9147" spans="1:1">
      <c r="A9147" s="576"/>
    </row>
    <row r="9148" spans="1:1">
      <c r="A9148" s="576"/>
    </row>
    <row r="9149" spans="1:1">
      <c r="A9149" s="576"/>
    </row>
    <row r="9150" spans="1:1">
      <c r="A9150" s="576"/>
    </row>
    <row r="9151" spans="1:1">
      <c r="A9151" s="576"/>
    </row>
    <row r="9152" spans="1:1">
      <c r="A9152" s="576"/>
    </row>
    <row r="9153" spans="1:1">
      <c r="A9153" s="576"/>
    </row>
    <row r="9154" spans="1:1">
      <c r="A9154" s="576"/>
    </row>
    <row r="9155" spans="1:1">
      <c r="A9155" s="576"/>
    </row>
    <row r="9156" spans="1:1">
      <c r="A9156" s="576"/>
    </row>
    <row r="9157" spans="1:1">
      <c r="A9157" s="576"/>
    </row>
    <row r="9158" spans="1:1">
      <c r="A9158" s="576"/>
    </row>
    <row r="9159" spans="1:1">
      <c r="A9159" s="576"/>
    </row>
    <row r="9160" spans="1:1">
      <c r="A9160" s="576"/>
    </row>
    <row r="9161" spans="1:1">
      <c r="A9161" s="576"/>
    </row>
    <row r="9162" spans="1:1">
      <c r="A9162" s="576"/>
    </row>
    <row r="9163" spans="1:1">
      <c r="A9163" s="576"/>
    </row>
    <row r="9164" spans="1:1">
      <c r="A9164" s="576"/>
    </row>
    <row r="9165" spans="1:1">
      <c r="A9165" s="576"/>
    </row>
    <row r="9166" spans="1:1">
      <c r="A9166" s="576"/>
    </row>
    <row r="9167" spans="1:1">
      <c r="A9167" s="576"/>
    </row>
    <row r="9168" spans="1:1">
      <c r="A9168" s="576"/>
    </row>
    <row r="9169" spans="1:1">
      <c r="A9169" s="576"/>
    </row>
    <row r="9170" spans="1:1">
      <c r="A9170" s="576"/>
    </row>
    <row r="9171" spans="1:1">
      <c r="A9171" s="576"/>
    </row>
    <row r="9172" spans="1:1">
      <c r="A9172" s="576"/>
    </row>
    <row r="9173" spans="1:1">
      <c r="A9173" s="576"/>
    </row>
    <row r="9174" spans="1:1">
      <c r="A9174" s="576"/>
    </row>
    <row r="9175" spans="1:1">
      <c r="A9175" s="576"/>
    </row>
    <row r="9176" spans="1:1">
      <c r="A9176" s="576"/>
    </row>
    <row r="9177" spans="1:1">
      <c r="A9177" s="576"/>
    </row>
    <row r="9178" spans="1:1">
      <c r="A9178" s="576"/>
    </row>
    <row r="9179" spans="1:1">
      <c r="A9179" s="576"/>
    </row>
    <row r="9180" spans="1:1">
      <c r="A9180" s="576"/>
    </row>
    <row r="9181" spans="1:1">
      <c r="A9181" s="576"/>
    </row>
    <row r="9182" spans="1:1">
      <c r="A9182" s="576"/>
    </row>
    <row r="9183" spans="1:1">
      <c r="A9183" s="576"/>
    </row>
    <row r="9184" spans="1:1">
      <c r="A9184" s="576"/>
    </row>
    <row r="9185" spans="1:1">
      <c r="A9185" s="576"/>
    </row>
    <row r="9186" spans="1:1">
      <c r="A9186" s="576"/>
    </row>
    <row r="9187" spans="1:1">
      <c r="A9187" s="576"/>
    </row>
    <row r="9188" spans="1:1">
      <c r="A9188" s="576"/>
    </row>
    <row r="9189" spans="1:1">
      <c r="A9189" s="576"/>
    </row>
    <row r="9190" spans="1:1">
      <c r="A9190" s="576"/>
    </row>
    <row r="9191" spans="1:1">
      <c r="A9191" s="576"/>
    </row>
    <row r="9192" spans="1:1">
      <c r="A9192" s="576"/>
    </row>
    <row r="9193" spans="1:1">
      <c r="A9193" s="576"/>
    </row>
    <row r="9194" spans="1:1">
      <c r="A9194" s="576"/>
    </row>
    <row r="9195" spans="1:1">
      <c r="A9195" s="576"/>
    </row>
    <row r="9196" spans="1:1">
      <c r="A9196" s="576"/>
    </row>
    <row r="9197" spans="1:1">
      <c r="A9197" s="576"/>
    </row>
    <row r="9198" spans="1:1">
      <c r="A9198" s="576"/>
    </row>
    <row r="9199" spans="1:1">
      <c r="A9199" s="576"/>
    </row>
    <row r="9200" spans="1:1">
      <c r="A9200" s="576"/>
    </row>
    <row r="9201" spans="1:1">
      <c r="A9201" s="576"/>
    </row>
    <row r="9202" spans="1:1">
      <c r="A9202" s="576"/>
    </row>
    <row r="9203" spans="1:1">
      <c r="A9203" s="576"/>
    </row>
    <row r="9204" spans="1:1">
      <c r="A9204" s="576"/>
    </row>
    <row r="9205" spans="1:1">
      <c r="A9205" s="576"/>
    </row>
    <row r="9206" spans="1:1">
      <c r="A9206" s="576"/>
    </row>
    <row r="9207" spans="1:1">
      <c r="A9207" s="576"/>
    </row>
    <row r="9208" spans="1:1">
      <c r="A9208" s="576"/>
    </row>
    <row r="9209" spans="1:1">
      <c r="A9209" s="576"/>
    </row>
    <row r="9210" spans="1:1">
      <c r="A9210" s="576"/>
    </row>
    <row r="9211" spans="1:1">
      <c r="A9211" s="576"/>
    </row>
    <row r="9212" spans="1:1">
      <c r="A9212" s="576"/>
    </row>
    <row r="9213" spans="1:1">
      <c r="A9213" s="576"/>
    </row>
    <row r="9214" spans="1:1">
      <c r="A9214" s="576"/>
    </row>
    <row r="9215" spans="1:1">
      <c r="A9215" s="576"/>
    </row>
    <row r="9216" spans="1:1">
      <c r="A9216" s="576"/>
    </row>
    <row r="9217" spans="1:1">
      <c r="A9217" s="576"/>
    </row>
    <row r="9218" spans="1:1">
      <c r="A9218" s="576"/>
    </row>
    <row r="9219" spans="1:1">
      <c r="A9219" s="576"/>
    </row>
    <row r="9220" spans="1:1">
      <c r="A9220" s="576"/>
    </row>
    <row r="9221" spans="1:1">
      <c r="A9221" s="576"/>
    </row>
    <row r="9222" spans="1:1">
      <c r="A9222" s="576"/>
    </row>
    <row r="9223" spans="1:1">
      <c r="A9223" s="576"/>
    </row>
    <row r="9224" spans="1:1">
      <c r="A9224" s="576"/>
    </row>
    <row r="9225" spans="1:1">
      <c r="A9225" s="576"/>
    </row>
    <row r="9226" spans="1:1">
      <c r="A9226" s="576"/>
    </row>
    <row r="9227" spans="1:1">
      <c r="A9227" s="576"/>
    </row>
    <row r="9228" spans="1:1">
      <c r="A9228" s="576"/>
    </row>
    <row r="9229" spans="1:1">
      <c r="A9229" s="576"/>
    </row>
    <row r="9230" spans="1:1">
      <c r="A9230" s="576"/>
    </row>
    <row r="9231" spans="1:1">
      <c r="A9231" s="576"/>
    </row>
    <row r="9232" spans="1:1">
      <c r="A9232" s="576"/>
    </row>
    <row r="9233" spans="1:1">
      <c r="A9233" s="576"/>
    </row>
    <row r="9234" spans="1:1">
      <c r="A9234" s="576"/>
    </row>
    <row r="9235" spans="1:1">
      <c r="A9235" s="576"/>
    </row>
    <row r="9236" spans="1:1">
      <c r="A9236" s="576"/>
    </row>
    <row r="9237" spans="1:1">
      <c r="A9237" s="576"/>
    </row>
    <row r="9238" spans="1:1">
      <c r="A9238" s="576"/>
    </row>
    <row r="9239" spans="1:1">
      <c r="A9239" s="576"/>
    </row>
    <row r="9240" spans="1:1">
      <c r="A9240" s="576"/>
    </row>
    <row r="9241" spans="1:1">
      <c r="A9241" s="576"/>
    </row>
    <row r="9242" spans="1:1">
      <c r="A9242" s="576"/>
    </row>
    <row r="9243" spans="1:1">
      <c r="A9243" s="576"/>
    </row>
    <row r="9244" spans="1:1">
      <c r="A9244" s="576"/>
    </row>
    <row r="9245" spans="1:1">
      <c r="A9245" s="576"/>
    </row>
    <row r="9246" spans="1:1">
      <c r="A9246" s="576"/>
    </row>
    <row r="9247" spans="1:1">
      <c r="A9247" s="576"/>
    </row>
    <row r="9248" spans="1:1">
      <c r="A9248" s="576"/>
    </row>
    <row r="9249" spans="1:1">
      <c r="A9249" s="576"/>
    </row>
    <row r="9250" spans="1:1">
      <c r="A9250" s="576"/>
    </row>
    <row r="9251" spans="1:1">
      <c r="A9251" s="576"/>
    </row>
    <row r="9252" spans="1:1">
      <c r="A9252" s="576"/>
    </row>
    <row r="9253" spans="1:1">
      <c r="A9253" s="576"/>
    </row>
    <row r="9254" spans="1:1">
      <c r="A9254" s="576"/>
    </row>
    <row r="9255" spans="1:1">
      <c r="A9255" s="576"/>
    </row>
    <row r="9256" spans="1:1">
      <c r="A9256" s="576"/>
    </row>
    <row r="9257" spans="1:1">
      <c r="A9257" s="576"/>
    </row>
    <row r="9258" spans="1:1">
      <c r="A9258" s="576"/>
    </row>
    <row r="9259" spans="1:1">
      <c r="A9259" s="576"/>
    </row>
    <row r="9260" spans="1:1">
      <c r="A9260" s="576"/>
    </row>
    <row r="9261" spans="1:1">
      <c r="A9261" s="576"/>
    </row>
    <row r="9262" spans="1:1">
      <c r="A9262" s="576"/>
    </row>
    <row r="9263" spans="1:1">
      <c r="A9263" s="576"/>
    </row>
    <row r="9264" spans="1:1">
      <c r="A9264" s="576"/>
    </row>
    <row r="9265" spans="1:1">
      <c r="A9265" s="576"/>
    </row>
    <row r="9266" spans="1:1">
      <c r="A9266" s="576"/>
    </row>
    <row r="9267" spans="1:1">
      <c r="A9267" s="576"/>
    </row>
    <row r="9268" spans="1:1">
      <c r="A9268" s="576"/>
    </row>
    <row r="9269" spans="1:1">
      <c r="A9269" s="576"/>
    </row>
    <row r="9270" spans="1:1">
      <c r="A9270" s="576"/>
    </row>
    <row r="9271" spans="1:1">
      <c r="A9271" s="576"/>
    </row>
    <row r="9272" spans="1:1">
      <c r="A9272" s="576"/>
    </row>
    <row r="9273" spans="1:1">
      <c r="A9273" s="576"/>
    </row>
    <row r="9274" spans="1:1">
      <c r="A9274" s="576"/>
    </row>
    <row r="9275" spans="1:1">
      <c r="A9275" s="576"/>
    </row>
    <row r="9276" spans="1:1">
      <c r="A9276" s="576"/>
    </row>
    <row r="9277" spans="1:1">
      <c r="A9277" s="576"/>
    </row>
    <row r="9278" spans="1:1">
      <c r="A9278" s="576"/>
    </row>
    <row r="9279" spans="1:1">
      <c r="A9279" s="576"/>
    </row>
    <row r="9280" spans="1:1">
      <c r="A9280" s="576"/>
    </row>
    <row r="9281" spans="1:1">
      <c r="A9281" s="576"/>
    </row>
    <row r="9282" spans="1:1">
      <c r="A9282" s="576"/>
    </row>
    <row r="9283" spans="1:1">
      <c r="A9283" s="576"/>
    </row>
    <row r="9284" spans="1:1">
      <c r="A9284" s="576"/>
    </row>
    <row r="9285" spans="1:1">
      <c r="A9285" s="576"/>
    </row>
    <row r="9286" spans="1:1">
      <c r="A9286" s="576"/>
    </row>
    <row r="9287" spans="1:1">
      <c r="A9287" s="576"/>
    </row>
    <row r="9288" spans="1:1">
      <c r="A9288" s="576"/>
    </row>
    <row r="9289" spans="1:1">
      <c r="A9289" s="576"/>
    </row>
    <row r="9290" spans="1:1">
      <c r="A9290" s="576"/>
    </row>
    <row r="9291" spans="1:1">
      <c r="A9291" s="576"/>
    </row>
    <row r="9292" spans="1:1">
      <c r="A9292" s="576"/>
    </row>
    <row r="9293" spans="1:1">
      <c r="A9293" s="576"/>
    </row>
    <row r="9294" spans="1:1">
      <c r="A9294" s="576"/>
    </row>
    <row r="9295" spans="1:1">
      <c r="A9295" s="576"/>
    </row>
    <row r="9296" spans="1:1">
      <c r="A9296" s="576"/>
    </row>
    <row r="9297" spans="1:1">
      <c r="A9297" s="576"/>
    </row>
    <row r="9298" spans="1:1">
      <c r="A9298" s="576"/>
    </row>
    <row r="9299" spans="1:1">
      <c r="A9299" s="576"/>
    </row>
    <row r="9300" spans="1:1">
      <c r="A9300" s="576"/>
    </row>
    <row r="9301" spans="1:1">
      <c r="A9301" s="576"/>
    </row>
    <row r="9302" spans="1:1">
      <c r="A9302" s="576"/>
    </row>
    <row r="9303" spans="1:1">
      <c r="A9303" s="576"/>
    </row>
    <row r="9304" spans="1:1">
      <c r="A9304" s="576"/>
    </row>
    <row r="9305" spans="1:1">
      <c r="A9305" s="576"/>
    </row>
    <row r="9306" spans="1:1">
      <c r="A9306" s="576"/>
    </row>
    <row r="9307" spans="1:1">
      <c r="A9307" s="576"/>
    </row>
    <row r="9308" spans="1:1">
      <c r="A9308" s="576"/>
    </row>
    <row r="9309" spans="1:1">
      <c r="A9309" s="576"/>
    </row>
    <row r="9310" spans="1:1">
      <c r="A9310" s="576"/>
    </row>
    <row r="9311" spans="1:1">
      <c r="A9311" s="576"/>
    </row>
    <row r="9312" spans="1:1">
      <c r="A9312" s="576"/>
    </row>
    <row r="9313" spans="1:1">
      <c r="A9313" s="576"/>
    </row>
    <row r="9314" spans="1:1">
      <c r="A9314" s="576"/>
    </row>
    <row r="9315" spans="1:1">
      <c r="A9315" s="576"/>
    </row>
    <row r="9316" spans="1:1">
      <c r="A9316" s="576"/>
    </row>
    <row r="9317" spans="1:1">
      <c r="A9317" s="576"/>
    </row>
    <row r="9318" spans="1:1">
      <c r="A9318" s="576"/>
    </row>
    <row r="9319" spans="1:1">
      <c r="A9319" s="576"/>
    </row>
    <row r="9320" spans="1:1">
      <c r="A9320" s="576"/>
    </row>
    <row r="9321" spans="1:1">
      <c r="A9321" s="576"/>
    </row>
    <row r="9322" spans="1:1">
      <c r="A9322" s="576"/>
    </row>
    <row r="9323" spans="1:1">
      <c r="A9323" s="576"/>
    </row>
    <row r="9324" spans="1:1">
      <c r="A9324" s="576"/>
    </row>
    <row r="9325" spans="1:1">
      <c r="A9325" s="576"/>
    </row>
    <row r="9326" spans="1:1">
      <c r="A9326" s="576"/>
    </row>
    <row r="9327" spans="1:1">
      <c r="A9327" s="576"/>
    </row>
    <row r="9328" spans="1:1">
      <c r="A9328" s="576"/>
    </row>
    <row r="9329" spans="1:1">
      <c r="A9329" s="576"/>
    </row>
    <row r="9330" spans="1:1">
      <c r="A9330" s="576"/>
    </row>
    <row r="9331" spans="1:1">
      <c r="A9331" s="576"/>
    </row>
    <row r="9332" spans="1:1">
      <c r="A9332" s="576"/>
    </row>
    <row r="9333" spans="1:1">
      <c r="A9333" s="576"/>
    </row>
    <row r="9334" spans="1:1">
      <c r="A9334" s="576"/>
    </row>
    <row r="9335" spans="1:1">
      <c r="A9335" s="576"/>
    </row>
    <row r="9336" spans="1:1">
      <c r="A9336" s="576"/>
    </row>
    <row r="9337" spans="1:1">
      <c r="A9337" s="576"/>
    </row>
    <row r="9338" spans="1:1">
      <c r="A9338" s="576"/>
    </row>
    <row r="9339" spans="1:1">
      <c r="A9339" s="576"/>
    </row>
    <row r="9340" spans="1:1">
      <c r="A9340" s="576"/>
    </row>
    <row r="9341" spans="1:1">
      <c r="A9341" s="576"/>
    </row>
    <row r="9342" spans="1:1">
      <c r="A9342" s="576"/>
    </row>
    <row r="9343" spans="1:1">
      <c r="A9343" s="576"/>
    </row>
    <row r="9344" spans="1:1">
      <c r="A9344" s="576"/>
    </row>
    <row r="9345" spans="1:1">
      <c r="A9345" s="576"/>
    </row>
    <row r="9346" spans="1:1">
      <c r="A9346" s="576"/>
    </row>
    <row r="9347" spans="1:1">
      <c r="A9347" s="576"/>
    </row>
    <row r="9348" spans="1:1">
      <c r="A9348" s="576"/>
    </row>
    <row r="9349" spans="1:1">
      <c r="A9349" s="576"/>
    </row>
    <row r="9350" spans="1:1">
      <c r="A9350" s="576"/>
    </row>
    <row r="9351" spans="1:1">
      <c r="A9351" s="576"/>
    </row>
    <row r="9352" spans="1:1">
      <c r="A9352" s="576"/>
    </row>
    <row r="9353" spans="1:1">
      <c r="A9353" s="576"/>
    </row>
    <row r="9354" spans="1:1">
      <c r="A9354" s="576"/>
    </row>
    <row r="9355" spans="1:1">
      <c r="A9355" s="576"/>
    </row>
    <row r="9356" spans="1:1">
      <c r="A9356" s="576"/>
    </row>
    <row r="9357" spans="1:1">
      <c r="A9357" s="576"/>
    </row>
    <row r="9358" spans="1:1">
      <c r="A9358" s="576"/>
    </row>
    <row r="9359" spans="1:1">
      <c r="A9359" s="576"/>
    </row>
    <row r="9360" spans="1:1">
      <c r="A9360" s="576"/>
    </row>
    <row r="9361" spans="1:1">
      <c r="A9361" s="576"/>
    </row>
    <row r="9362" spans="1:1">
      <c r="A9362" s="576"/>
    </row>
    <row r="9363" spans="1:1">
      <c r="A9363" s="576"/>
    </row>
    <row r="9364" spans="1:1">
      <c r="A9364" s="576"/>
    </row>
    <row r="9365" spans="1:1">
      <c r="A9365" s="576"/>
    </row>
    <row r="9366" spans="1:1">
      <c r="A9366" s="576"/>
    </row>
    <row r="9367" spans="1:1">
      <c r="A9367" s="576"/>
    </row>
    <row r="9368" spans="1:1">
      <c r="A9368" s="576"/>
    </row>
    <row r="9369" spans="1:1">
      <c r="A9369" s="576"/>
    </row>
    <row r="9370" spans="1:1">
      <c r="A9370" s="576"/>
    </row>
    <row r="9371" spans="1:1">
      <c r="A9371" s="576"/>
    </row>
    <row r="9372" spans="1:1">
      <c r="A9372" s="576"/>
    </row>
    <row r="9373" spans="1:1">
      <c r="A9373" s="576"/>
    </row>
    <row r="9374" spans="1:1">
      <c r="A9374" s="576"/>
    </row>
    <row r="9375" spans="1:1">
      <c r="A9375" s="576"/>
    </row>
    <row r="9376" spans="1:1">
      <c r="A9376" s="576"/>
    </row>
    <row r="9377" spans="1:1">
      <c r="A9377" s="576"/>
    </row>
    <row r="9378" spans="1:1">
      <c r="A9378" s="576"/>
    </row>
    <row r="9379" spans="1:1">
      <c r="A9379" s="576"/>
    </row>
    <row r="9380" spans="1:1">
      <c r="A9380" s="576"/>
    </row>
    <row r="9381" spans="1:1">
      <c r="A9381" s="576"/>
    </row>
    <row r="9382" spans="1:1">
      <c r="A9382" s="576"/>
    </row>
    <row r="9383" spans="1:1">
      <c r="A9383" s="576"/>
    </row>
    <row r="9384" spans="1:1">
      <c r="A9384" s="576"/>
    </row>
    <row r="9385" spans="1:1">
      <c r="A9385" s="576"/>
    </row>
    <row r="9386" spans="1:1">
      <c r="A9386" s="576"/>
    </row>
    <row r="9387" spans="1:1">
      <c r="A9387" s="576"/>
    </row>
    <row r="9388" spans="1:1">
      <c r="A9388" s="576"/>
    </row>
    <row r="9389" spans="1:1">
      <c r="A9389" s="576"/>
    </row>
    <row r="9390" spans="1:1">
      <c r="A9390" s="576"/>
    </row>
    <row r="9391" spans="1:1">
      <c r="A9391" s="576"/>
    </row>
    <row r="9392" spans="1:1">
      <c r="A9392" s="576"/>
    </row>
    <row r="9393" spans="1:1">
      <c r="A9393" s="576"/>
    </row>
    <row r="9394" spans="1:1">
      <c r="A9394" s="576"/>
    </row>
    <row r="9395" spans="1:1">
      <c r="A9395" s="576"/>
    </row>
    <row r="9396" spans="1:1">
      <c r="A9396" s="576"/>
    </row>
    <row r="9397" spans="1:1">
      <c r="A9397" s="576"/>
    </row>
    <row r="9398" spans="1:1">
      <c r="A9398" s="576"/>
    </row>
    <row r="9399" spans="1:1">
      <c r="A9399" s="576"/>
    </row>
    <row r="9400" spans="1:1">
      <c r="A9400" s="576"/>
    </row>
    <row r="9401" spans="1:1">
      <c r="A9401" s="576"/>
    </row>
    <row r="9402" spans="1:1">
      <c r="A9402" s="576"/>
    </row>
    <row r="9403" spans="1:1">
      <c r="A9403" s="576"/>
    </row>
    <row r="9404" spans="1:1">
      <c r="A9404" s="576"/>
    </row>
    <row r="9405" spans="1:1">
      <c r="A9405" s="576"/>
    </row>
    <row r="9406" spans="1:1">
      <c r="A9406" s="576"/>
    </row>
    <row r="9407" spans="1:1">
      <c r="A9407" s="576"/>
    </row>
    <row r="9408" spans="1:1">
      <c r="A9408" s="576"/>
    </row>
    <row r="9409" spans="1:1">
      <c r="A9409" s="576"/>
    </row>
    <row r="9410" spans="1:1">
      <c r="A9410" s="576"/>
    </row>
    <row r="9411" spans="1:1">
      <c r="A9411" s="576"/>
    </row>
    <row r="9412" spans="1:1">
      <c r="A9412" s="576"/>
    </row>
    <row r="9413" spans="1:1">
      <c r="A9413" s="576"/>
    </row>
    <row r="9414" spans="1:1">
      <c r="A9414" s="576"/>
    </row>
    <row r="9415" spans="1:1">
      <c r="A9415" s="576"/>
    </row>
    <row r="9416" spans="1:1">
      <c r="A9416" s="576"/>
    </row>
    <row r="9417" spans="1:1">
      <c r="A9417" s="576"/>
    </row>
    <row r="9418" spans="1:1">
      <c r="A9418" s="576"/>
    </row>
    <row r="9419" spans="1:1">
      <c r="A9419" s="576"/>
    </row>
    <row r="9420" spans="1:1">
      <c r="A9420" s="576"/>
    </row>
    <row r="9421" spans="1:1">
      <c r="A9421" s="576"/>
    </row>
    <row r="9422" spans="1:1">
      <c r="A9422" s="576"/>
    </row>
    <row r="9423" spans="1:1">
      <c r="A9423" s="576"/>
    </row>
    <row r="9424" spans="1:1">
      <c r="A9424" s="576"/>
    </row>
    <row r="9425" spans="1:1">
      <c r="A9425" s="576"/>
    </row>
    <row r="9426" spans="1:1">
      <c r="A9426" s="576"/>
    </row>
    <row r="9427" spans="1:1">
      <c r="A9427" s="576"/>
    </row>
    <row r="9428" spans="1:1">
      <c r="A9428" s="576"/>
    </row>
    <row r="9429" spans="1:1">
      <c r="A9429" s="576"/>
    </row>
    <row r="9430" spans="1:1">
      <c r="A9430" s="576"/>
    </row>
    <row r="9431" spans="1:1">
      <c r="A9431" s="576"/>
    </row>
    <row r="9432" spans="1:1">
      <c r="A9432" s="576"/>
    </row>
    <row r="9433" spans="1:1">
      <c r="A9433" s="576"/>
    </row>
    <row r="9434" spans="1:1">
      <c r="A9434" s="576"/>
    </row>
    <row r="9435" spans="1:1">
      <c r="A9435" s="576"/>
    </row>
    <row r="9436" spans="1:1">
      <c r="A9436" s="576"/>
    </row>
    <row r="9437" spans="1:1">
      <c r="A9437" s="576"/>
    </row>
    <row r="9438" spans="1:1">
      <c r="A9438" s="576"/>
    </row>
    <row r="9439" spans="1:1">
      <c r="A9439" s="576"/>
    </row>
    <row r="9440" spans="1:1">
      <c r="A9440" s="576"/>
    </row>
    <row r="9441" spans="1:1">
      <c r="A9441" s="576"/>
    </row>
    <row r="9442" spans="1:1">
      <c r="A9442" s="576"/>
    </row>
    <row r="9443" spans="1:1">
      <c r="A9443" s="576"/>
    </row>
    <row r="9444" spans="1:1">
      <c r="A9444" s="576"/>
    </row>
    <row r="9445" spans="1:1">
      <c r="A9445" s="576"/>
    </row>
    <row r="9446" spans="1:1">
      <c r="A9446" s="576"/>
    </row>
    <row r="9447" spans="1:1">
      <c r="A9447" s="576"/>
    </row>
    <row r="9448" spans="1:1">
      <c r="A9448" s="576"/>
    </row>
    <row r="9449" spans="1:1">
      <c r="A9449" s="576"/>
    </row>
    <row r="9450" spans="1:1">
      <c r="A9450" s="576"/>
    </row>
    <row r="9451" spans="1:1">
      <c r="A9451" s="576"/>
    </row>
    <row r="9452" spans="1:1">
      <c r="A9452" s="576"/>
    </row>
    <row r="9453" spans="1:1">
      <c r="A9453" s="576"/>
    </row>
    <row r="9454" spans="1:1">
      <c r="A9454" s="576"/>
    </row>
    <row r="9455" spans="1:1">
      <c r="A9455" s="576"/>
    </row>
    <row r="9456" spans="1:1">
      <c r="A9456" s="576"/>
    </row>
    <row r="9457" spans="1:1">
      <c r="A9457" s="576"/>
    </row>
    <row r="9458" spans="1:1">
      <c r="A9458" s="576"/>
    </row>
    <row r="9459" spans="1:1">
      <c r="A9459" s="576"/>
    </row>
    <row r="9460" spans="1:1">
      <c r="A9460" s="576"/>
    </row>
    <row r="9461" spans="1:1">
      <c r="A9461" s="576"/>
    </row>
    <row r="9462" spans="1:1">
      <c r="A9462" s="576"/>
    </row>
    <row r="9463" spans="1:1">
      <c r="A9463" s="576"/>
    </row>
    <row r="9464" spans="1:1">
      <c r="A9464" s="576"/>
    </row>
    <row r="9465" spans="1:1">
      <c r="A9465" s="576"/>
    </row>
    <row r="9466" spans="1:1">
      <c r="A9466" s="576"/>
    </row>
    <row r="9467" spans="1:1">
      <c r="A9467" s="576"/>
    </row>
    <row r="9468" spans="1:1">
      <c r="A9468" s="576"/>
    </row>
    <row r="9469" spans="1:1">
      <c r="A9469" s="576"/>
    </row>
    <row r="9470" spans="1:1">
      <c r="A9470" s="576"/>
    </row>
    <row r="9471" spans="1:1">
      <c r="A9471" s="576"/>
    </row>
    <row r="9472" spans="1:1">
      <c r="A9472" s="576"/>
    </row>
    <row r="9473" spans="1:1">
      <c r="A9473" s="576"/>
    </row>
    <row r="9474" spans="1:1">
      <c r="A9474" s="576"/>
    </row>
    <row r="9475" spans="1:1">
      <c r="A9475" s="576"/>
    </row>
    <row r="9476" spans="1:1">
      <c r="A9476" s="576"/>
    </row>
    <row r="9477" spans="1:1">
      <c r="A9477" s="576"/>
    </row>
    <row r="9478" spans="1:1">
      <c r="A9478" s="576"/>
    </row>
    <row r="9479" spans="1:1">
      <c r="A9479" s="576"/>
    </row>
    <row r="9480" spans="1:1">
      <c r="A9480" s="576"/>
    </row>
    <row r="9481" spans="1:1">
      <c r="A9481" s="576"/>
    </row>
    <row r="9482" spans="1:1">
      <c r="A9482" s="576"/>
    </row>
    <row r="9483" spans="1:1">
      <c r="A9483" s="576"/>
    </row>
    <row r="9484" spans="1:1">
      <c r="A9484" s="576"/>
    </row>
    <row r="9485" spans="1:1">
      <c r="A9485" s="576"/>
    </row>
    <row r="9486" spans="1:1">
      <c r="A9486" s="576"/>
    </row>
    <row r="9487" spans="1:1">
      <c r="A9487" s="576"/>
    </row>
    <row r="9488" spans="1:1">
      <c r="A9488" s="576"/>
    </row>
    <row r="9489" spans="1:1">
      <c r="A9489" s="576"/>
    </row>
    <row r="9490" spans="1:1">
      <c r="A9490" s="576"/>
    </row>
    <row r="9491" spans="1:1">
      <c r="A9491" s="576"/>
    </row>
    <row r="9492" spans="1:1">
      <c r="A9492" s="576"/>
    </row>
    <row r="9493" spans="1:1">
      <c r="A9493" s="576"/>
    </row>
    <row r="9494" spans="1:1">
      <c r="A9494" s="576"/>
    </row>
    <row r="9495" spans="1:1">
      <c r="A9495" s="576"/>
    </row>
    <row r="9496" spans="1:1">
      <c r="A9496" s="576"/>
    </row>
    <row r="9497" spans="1:1">
      <c r="A9497" s="576"/>
    </row>
    <row r="9498" spans="1:1">
      <c r="A9498" s="576"/>
    </row>
    <row r="9499" spans="1:1">
      <c r="A9499" s="576"/>
    </row>
    <row r="9500" spans="1:1">
      <c r="A9500" s="576"/>
    </row>
    <row r="9501" spans="1:1">
      <c r="A9501" s="576"/>
    </row>
    <row r="9502" spans="1:1">
      <c r="A9502" s="576"/>
    </row>
    <row r="9503" spans="1:1">
      <c r="A9503" s="576"/>
    </row>
    <row r="9504" spans="1:1">
      <c r="A9504" s="576"/>
    </row>
    <row r="9505" spans="1:1">
      <c r="A9505" s="576"/>
    </row>
    <row r="9506" spans="1:1">
      <c r="A9506" s="576"/>
    </row>
    <row r="9507" spans="1:1">
      <c r="A9507" s="576"/>
    </row>
    <row r="9508" spans="1:1">
      <c r="A9508" s="576"/>
    </row>
    <row r="9509" spans="1:1">
      <c r="A9509" s="576"/>
    </row>
    <row r="9510" spans="1:1">
      <c r="A9510" s="576"/>
    </row>
    <row r="9511" spans="1:1">
      <c r="A9511" s="576"/>
    </row>
    <row r="9512" spans="1:1">
      <c r="A9512" s="576"/>
    </row>
    <row r="9513" spans="1:1">
      <c r="A9513" s="576"/>
    </row>
    <row r="9514" spans="1:1">
      <c r="A9514" s="576"/>
    </row>
    <row r="9515" spans="1:1">
      <c r="A9515" s="576"/>
    </row>
    <row r="9516" spans="1:1">
      <c r="A9516" s="576"/>
    </row>
    <row r="9517" spans="1:1">
      <c r="A9517" s="576"/>
    </row>
    <row r="9518" spans="1:1">
      <c r="A9518" s="576"/>
    </row>
    <row r="9519" spans="1:1">
      <c r="A9519" s="576"/>
    </row>
    <row r="9520" spans="1:1">
      <c r="A9520" s="576"/>
    </row>
    <row r="9521" spans="1:1">
      <c r="A9521" s="576"/>
    </row>
    <row r="9522" spans="1:1">
      <c r="A9522" s="576"/>
    </row>
    <row r="9523" spans="1:1">
      <c r="A9523" s="576"/>
    </row>
    <row r="9524" spans="1:1">
      <c r="A9524" s="576"/>
    </row>
    <row r="9525" spans="1:1">
      <c r="A9525" s="576"/>
    </row>
    <row r="9526" spans="1:1">
      <c r="A9526" s="576"/>
    </row>
    <row r="9527" spans="1:1">
      <c r="A9527" s="576"/>
    </row>
    <row r="9528" spans="1:1">
      <c r="A9528" s="576"/>
    </row>
    <row r="9529" spans="1:1">
      <c r="A9529" s="576"/>
    </row>
    <row r="9530" spans="1:1">
      <c r="A9530" s="576"/>
    </row>
    <row r="9531" spans="1:1">
      <c r="A9531" s="576"/>
    </row>
    <row r="9532" spans="1:1">
      <c r="A9532" s="576"/>
    </row>
    <row r="9533" spans="1:1">
      <c r="A9533" s="576"/>
    </row>
    <row r="9534" spans="1:1">
      <c r="A9534" s="576"/>
    </row>
    <row r="9535" spans="1:1">
      <c r="A9535" s="576"/>
    </row>
    <row r="9536" spans="1:1">
      <c r="A9536" s="576"/>
    </row>
    <row r="9537" spans="1:1">
      <c r="A9537" s="576"/>
    </row>
    <row r="9538" spans="1:1">
      <c r="A9538" s="576"/>
    </row>
    <row r="9539" spans="1:1">
      <c r="A9539" s="576"/>
    </row>
    <row r="9540" spans="1:1">
      <c r="A9540" s="576"/>
    </row>
    <row r="9541" spans="1:1">
      <c r="A9541" s="576"/>
    </row>
    <row r="9542" spans="1:1">
      <c r="A9542" s="576"/>
    </row>
    <row r="9543" spans="1:1">
      <c r="A9543" s="576"/>
    </row>
    <row r="9544" spans="1:1">
      <c r="A9544" s="576"/>
    </row>
    <row r="9545" spans="1:1">
      <c r="A9545" s="576"/>
    </row>
    <row r="9546" spans="1:1">
      <c r="A9546" s="576"/>
    </row>
    <row r="9547" spans="1:1">
      <c r="A9547" s="576"/>
    </row>
    <row r="9548" spans="1:1">
      <c r="A9548" s="576"/>
    </row>
    <row r="9549" spans="1:1">
      <c r="A9549" s="576"/>
    </row>
    <row r="9550" spans="1:1">
      <c r="A9550" s="576"/>
    </row>
    <row r="9551" spans="1:1">
      <c r="A9551" s="576"/>
    </row>
    <row r="9552" spans="1:1">
      <c r="A9552" s="576"/>
    </row>
    <row r="9553" spans="1:1">
      <c r="A9553" s="576"/>
    </row>
    <row r="9554" spans="1:1">
      <c r="A9554" s="576"/>
    </row>
    <row r="9555" spans="1:1">
      <c r="A9555" s="576"/>
    </row>
    <row r="9556" spans="1:1">
      <c r="A9556" s="576"/>
    </row>
    <row r="9557" spans="1:1">
      <c r="A9557" s="576"/>
    </row>
    <row r="9558" spans="1:1">
      <c r="A9558" s="576"/>
    </row>
    <row r="9559" spans="1:1">
      <c r="A9559" s="576"/>
    </row>
    <row r="9560" spans="1:1">
      <c r="A9560" s="576"/>
    </row>
    <row r="9561" spans="1:1">
      <c r="A9561" s="576"/>
    </row>
    <row r="9562" spans="1:1">
      <c r="A9562" s="576"/>
    </row>
    <row r="9563" spans="1:1">
      <c r="A9563" s="576"/>
    </row>
    <row r="9564" spans="1:1">
      <c r="A9564" s="576"/>
    </row>
    <row r="9565" spans="1:1">
      <c r="A9565" s="576"/>
    </row>
    <row r="9566" spans="1:1">
      <c r="A9566" s="576"/>
    </row>
    <row r="9567" spans="1:1">
      <c r="A9567" s="576"/>
    </row>
    <row r="9568" spans="1:1">
      <c r="A9568" s="576"/>
    </row>
    <row r="9569" spans="1:1">
      <c r="A9569" s="576"/>
    </row>
    <row r="9570" spans="1:1">
      <c r="A9570" s="576"/>
    </row>
    <row r="9571" spans="1:1">
      <c r="A9571" s="576"/>
    </row>
    <row r="9572" spans="1:1">
      <c r="A9572" s="576"/>
    </row>
    <row r="9573" spans="1:1">
      <c r="A9573" s="576"/>
    </row>
    <row r="9574" spans="1:1">
      <c r="A9574" s="576"/>
    </row>
    <row r="9575" spans="1:1">
      <c r="A9575" s="576"/>
    </row>
    <row r="9576" spans="1:1">
      <c r="A9576" s="576"/>
    </row>
    <row r="9577" spans="1:1">
      <c r="A9577" s="576"/>
    </row>
    <row r="9578" spans="1:1">
      <c r="A9578" s="576"/>
    </row>
    <row r="9579" spans="1:1">
      <c r="A9579" s="576"/>
    </row>
    <row r="9580" spans="1:1">
      <c r="A9580" s="576"/>
    </row>
    <row r="9581" spans="1:1">
      <c r="A9581" s="576"/>
    </row>
    <row r="9582" spans="1:1">
      <c r="A9582" s="576"/>
    </row>
    <row r="9583" spans="1:1">
      <c r="A9583" s="576"/>
    </row>
    <row r="9584" spans="1:1">
      <c r="A9584" s="576"/>
    </row>
    <row r="9585" spans="1:1">
      <c r="A9585" s="576"/>
    </row>
    <row r="9586" spans="1:1">
      <c r="A9586" s="576"/>
    </row>
    <row r="9587" spans="1:1">
      <c r="A9587" s="576"/>
    </row>
    <row r="9588" spans="1:1">
      <c r="A9588" s="576"/>
    </row>
    <row r="9589" spans="1:1">
      <c r="A9589" s="576"/>
    </row>
    <row r="9590" spans="1:1">
      <c r="A9590" s="576"/>
    </row>
    <row r="9591" spans="1:1">
      <c r="A9591" s="576"/>
    </row>
    <row r="9592" spans="1:1">
      <c r="A9592" s="576"/>
    </row>
    <row r="9593" spans="1:1">
      <c r="A9593" s="576"/>
    </row>
    <row r="9594" spans="1:1">
      <c r="A9594" s="576"/>
    </row>
    <row r="9595" spans="1:1">
      <c r="A9595" s="576"/>
    </row>
    <row r="9596" spans="1:1">
      <c r="A9596" s="576"/>
    </row>
    <row r="9597" spans="1:1">
      <c r="A9597" s="576"/>
    </row>
    <row r="9598" spans="1:1">
      <c r="A9598" s="576"/>
    </row>
    <row r="9599" spans="1:1">
      <c r="A9599" s="576"/>
    </row>
    <row r="9600" spans="1:1">
      <c r="A9600" s="576"/>
    </row>
    <row r="9601" spans="1:1">
      <c r="A9601" s="576"/>
    </row>
    <row r="9602" spans="1:1">
      <c r="A9602" s="576"/>
    </row>
    <row r="9603" spans="1:1">
      <c r="A9603" s="576"/>
    </row>
    <row r="9604" spans="1:1">
      <c r="A9604" s="576"/>
    </row>
    <row r="9605" spans="1:1">
      <c r="A9605" s="576"/>
    </row>
    <row r="9606" spans="1:1">
      <c r="A9606" s="576"/>
    </row>
    <row r="9607" spans="1:1">
      <c r="A9607" s="576"/>
    </row>
    <row r="9608" spans="1:1">
      <c r="A9608" s="576"/>
    </row>
    <row r="9609" spans="1:1">
      <c r="A9609" s="576"/>
    </row>
    <row r="9610" spans="1:1">
      <c r="A9610" s="576"/>
    </row>
    <row r="9611" spans="1:1">
      <c r="A9611" s="576"/>
    </row>
    <row r="9612" spans="1:1">
      <c r="A9612" s="576"/>
    </row>
    <row r="9613" spans="1:1">
      <c r="A9613" s="576"/>
    </row>
    <row r="9614" spans="1:1">
      <c r="A9614" s="576"/>
    </row>
    <row r="9615" spans="1:1">
      <c r="A9615" s="576"/>
    </row>
    <row r="9616" spans="1:1">
      <c r="A9616" s="576"/>
    </row>
    <row r="9617" spans="1:1">
      <c r="A9617" s="576"/>
    </row>
    <row r="9618" spans="1:1">
      <c r="A9618" s="576"/>
    </row>
    <row r="9619" spans="1:1">
      <c r="A9619" s="576"/>
    </row>
    <row r="9620" spans="1:1">
      <c r="A9620" s="576"/>
    </row>
    <row r="9621" spans="1:1">
      <c r="A9621" s="576"/>
    </row>
    <row r="9622" spans="1:1">
      <c r="A9622" s="576"/>
    </row>
    <row r="9623" spans="1:1">
      <c r="A9623" s="576"/>
    </row>
    <row r="9624" spans="1:1">
      <c r="A9624" s="576"/>
    </row>
    <row r="9625" spans="1:1">
      <c r="A9625" s="576"/>
    </row>
    <row r="9626" spans="1:1">
      <c r="A9626" s="576"/>
    </row>
    <row r="9627" spans="1:1">
      <c r="A9627" s="576"/>
    </row>
    <row r="9628" spans="1:1">
      <c r="A9628" s="576"/>
    </row>
    <row r="9629" spans="1:1">
      <c r="A9629" s="576"/>
    </row>
    <row r="9630" spans="1:1">
      <c r="A9630" s="576"/>
    </row>
    <row r="9631" spans="1:1">
      <c r="A9631" s="576"/>
    </row>
    <row r="9632" spans="1:1">
      <c r="A9632" s="576"/>
    </row>
    <row r="9633" spans="1:1">
      <c r="A9633" s="576"/>
    </row>
    <row r="9634" spans="1:1">
      <c r="A9634" s="576"/>
    </row>
    <row r="9635" spans="1:1">
      <c r="A9635" s="576"/>
    </row>
    <row r="9636" spans="1:1">
      <c r="A9636" s="576"/>
    </row>
    <row r="9637" spans="1:1">
      <c r="A9637" s="576"/>
    </row>
    <row r="9638" spans="1:1">
      <c r="A9638" s="576"/>
    </row>
    <row r="9639" spans="1:1">
      <c r="A9639" s="576"/>
    </row>
    <row r="9640" spans="1:1">
      <c r="A9640" s="576"/>
    </row>
    <row r="9641" spans="1:1">
      <c r="A9641" s="576"/>
    </row>
    <row r="9642" spans="1:1">
      <c r="A9642" s="576"/>
    </row>
    <row r="9643" spans="1:1">
      <c r="A9643" s="576"/>
    </row>
    <row r="9644" spans="1:1">
      <c r="A9644" s="576"/>
    </row>
    <row r="9645" spans="1:1">
      <c r="A9645" s="576"/>
    </row>
    <row r="9646" spans="1:1">
      <c r="A9646" s="576"/>
    </row>
    <row r="9647" spans="1:1">
      <c r="A9647" s="576"/>
    </row>
    <row r="9648" spans="1:1">
      <c r="A9648" s="576"/>
    </row>
    <row r="9649" spans="1:1">
      <c r="A9649" s="576"/>
    </row>
    <row r="9650" spans="1:1">
      <c r="A9650" s="576"/>
    </row>
    <row r="9651" spans="1:1">
      <c r="A9651" s="576"/>
    </row>
    <row r="9652" spans="1:1">
      <c r="A9652" s="576"/>
    </row>
    <row r="9653" spans="1:1">
      <c r="A9653" s="576"/>
    </row>
    <row r="9654" spans="1:1">
      <c r="A9654" s="576"/>
    </row>
    <row r="9655" spans="1:1">
      <c r="A9655" s="576"/>
    </row>
    <row r="9656" spans="1:1">
      <c r="A9656" s="576"/>
    </row>
    <row r="9657" spans="1:1">
      <c r="A9657" s="576"/>
    </row>
    <row r="9658" spans="1:1">
      <c r="A9658" s="576"/>
    </row>
    <row r="9659" spans="1:1">
      <c r="A9659" s="576"/>
    </row>
    <row r="9660" spans="1:1">
      <c r="A9660" s="576"/>
    </row>
    <row r="9661" spans="1:1">
      <c r="A9661" s="576"/>
    </row>
    <row r="9662" spans="1:1">
      <c r="A9662" s="576"/>
    </row>
    <row r="9663" spans="1:1">
      <c r="A9663" s="576"/>
    </row>
    <row r="9664" spans="1:1">
      <c r="A9664" s="576"/>
    </row>
    <row r="9665" spans="1:1">
      <c r="A9665" s="576"/>
    </row>
    <row r="9666" spans="1:1">
      <c r="A9666" s="576"/>
    </row>
    <row r="9667" spans="1:1">
      <c r="A9667" s="576"/>
    </row>
    <row r="9668" spans="1:1">
      <c r="A9668" s="576"/>
    </row>
    <row r="9669" spans="1:1">
      <c r="A9669" s="576"/>
    </row>
    <row r="9670" spans="1:1">
      <c r="A9670" s="576"/>
    </row>
    <row r="9671" spans="1:1">
      <c r="A9671" s="576"/>
    </row>
    <row r="9672" spans="1:1">
      <c r="A9672" s="576"/>
    </row>
    <row r="9673" spans="1:1">
      <c r="A9673" s="576"/>
    </row>
    <row r="9674" spans="1:1">
      <c r="A9674" s="576"/>
    </row>
    <row r="9675" spans="1:1">
      <c r="A9675" s="576"/>
    </row>
    <row r="9676" spans="1:1">
      <c r="A9676" s="576"/>
    </row>
    <row r="9677" spans="1:1">
      <c r="A9677" s="576"/>
    </row>
    <row r="9678" spans="1:1">
      <c r="A9678" s="576"/>
    </row>
    <row r="9679" spans="1:1">
      <c r="A9679" s="576"/>
    </row>
    <row r="9680" spans="1:1">
      <c r="A9680" s="576"/>
    </row>
    <row r="9681" spans="1:1">
      <c r="A9681" s="576"/>
    </row>
    <row r="9682" spans="1:1">
      <c r="A9682" s="576"/>
    </row>
    <row r="9683" spans="1:1">
      <c r="A9683" s="576"/>
    </row>
    <row r="9684" spans="1:1">
      <c r="A9684" s="576"/>
    </row>
    <row r="9685" spans="1:1">
      <c r="A9685" s="576"/>
    </row>
    <row r="9686" spans="1:1">
      <c r="A9686" s="576"/>
    </row>
    <row r="9687" spans="1:1">
      <c r="A9687" s="576"/>
    </row>
    <row r="9688" spans="1:1">
      <c r="A9688" s="576"/>
    </row>
    <row r="9689" spans="1:1">
      <c r="A9689" s="576"/>
    </row>
    <row r="9690" spans="1:1">
      <c r="A9690" s="576"/>
    </row>
    <row r="9691" spans="1:1">
      <c r="A9691" s="576"/>
    </row>
    <row r="9692" spans="1:1">
      <c r="A9692" s="576"/>
    </row>
    <row r="9693" spans="1:1">
      <c r="A9693" s="576"/>
    </row>
    <row r="9694" spans="1:1">
      <c r="A9694" s="576"/>
    </row>
    <row r="9695" spans="1:1">
      <c r="A9695" s="576"/>
    </row>
    <row r="9696" spans="1:1">
      <c r="A9696" s="576"/>
    </row>
    <row r="9697" spans="1:1">
      <c r="A9697" s="576"/>
    </row>
    <row r="9698" spans="1:1">
      <c r="A9698" s="576"/>
    </row>
    <row r="9699" spans="1:1">
      <c r="A9699" s="576"/>
    </row>
    <row r="9700" spans="1:1">
      <c r="A9700" s="576"/>
    </row>
    <row r="9701" spans="1:1">
      <c r="A9701" s="576"/>
    </row>
    <row r="9702" spans="1:1">
      <c r="A9702" s="576"/>
    </row>
    <row r="9703" spans="1:1">
      <c r="A9703" s="576"/>
    </row>
    <row r="9704" spans="1:1">
      <c r="A9704" s="576"/>
    </row>
    <row r="9705" spans="1:1">
      <c r="A9705" s="576"/>
    </row>
    <row r="9706" spans="1:1">
      <c r="A9706" s="576"/>
    </row>
    <row r="9707" spans="1:1">
      <c r="A9707" s="576"/>
    </row>
    <row r="9708" spans="1:1">
      <c r="A9708" s="576"/>
    </row>
    <row r="9709" spans="1:1">
      <c r="A9709" s="576"/>
    </row>
    <row r="9710" spans="1:1">
      <c r="A9710" s="576"/>
    </row>
    <row r="9711" spans="1:1">
      <c r="A9711" s="576"/>
    </row>
    <row r="9712" spans="1:1">
      <c r="A9712" s="576"/>
    </row>
    <row r="9713" spans="1:1">
      <c r="A9713" s="576"/>
    </row>
    <row r="9714" spans="1:1">
      <c r="A9714" s="576"/>
    </row>
    <row r="9715" spans="1:1">
      <c r="A9715" s="576"/>
    </row>
    <row r="9716" spans="1:1">
      <c r="A9716" s="576"/>
    </row>
    <row r="9717" spans="1:1">
      <c r="A9717" s="576"/>
    </row>
    <row r="9718" spans="1:1">
      <c r="A9718" s="576"/>
    </row>
    <row r="9719" spans="1:1">
      <c r="A9719" s="576"/>
    </row>
    <row r="9720" spans="1:1">
      <c r="A9720" s="576"/>
    </row>
    <row r="9721" spans="1:1">
      <c r="A9721" s="576"/>
    </row>
    <row r="9722" spans="1:1">
      <c r="A9722" s="576"/>
    </row>
    <row r="9723" spans="1:1">
      <c r="A9723" s="576"/>
    </row>
    <row r="9724" spans="1:1">
      <c r="A9724" s="576"/>
    </row>
    <row r="9725" spans="1:1">
      <c r="A9725" s="576"/>
    </row>
    <row r="9726" spans="1:1">
      <c r="A9726" s="576"/>
    </row>
    <row r="9727" spans="1:1">
      <c r="A9727" s="576"/>
    </row>
    <row r="9728" spans="1:1">
      <c r="A9728" s="576"/>
    </row>
    <row r="9729" spans="1:1">
      <c r="A9729" s="576"/>
    </row>
    <row r="9730" spans="1:1">
      <c r="A9730" s="576"/>
    </row>
    <row r="9731" spans="1:1">
      <c r="A9731" s="576"/>
    </row>
    <row r="9732" spans="1:1">
      <c r="A9732" s="576"/>
    </row>
    <row r="9733" spans="1:1">
      <c r="A9733" s="576"/>
    </row>
    <row r="9734" spans="1:1">
      <c r="A9734" s="576"/>
    </row>
    <row r="9735" spans="1:1">
      <c r="A9735" s="576"/>
    </row>
    <row r="9736" spans="1:1">
      <c r="A9736" s="576"/>
    </row>
    <row r="9737" spans="1:1">
      <c r="A9737" s="576"/>
    </row>
    <row r="9738" spans="1:1">
      <c r="A9738" s="576"/>
    </row>
    <row r="9739" spans="1:1">
      <c r="A9739" s="576"/>
    </row>
    <row r="9740" spans="1:1">
      <c r="A9740" s="576"/>
    </row>
    <row r="9741" spans="1:1">
      <c r="A9741" s="576"/>
    </row>
    <row r="9742" spans="1:1">
      <c r="A9742" s="576"/>
    </row>
    <row r="9743" spans="1:1">
      <c r="A9743" s="576"/>
    </row>
    <row r="9744" spans="1:1">
      <c r="A9744" s="576"/>
    </row>
    <row r="9745" spans="1:1">
      <c r="A9745" s="576"/>
    </row>
    <row r="9746" spans="1:1">
      <c r="A9746" s="576"/>
    </row>
    <row r="9747" spans="1:1">
      <c r="A9747" s="576"/>
    </row>
    <row r="9748" spans="1:1">
      <c r="A9748" s="576"/>
    </row>
    <row r="9749" spans="1:1">
      <c r="A9749" s="576"/>
    </row>
    <row r="9750" spans="1:1">
      <c r="A9750" s="576"/>
    </row>
    <row r="9751" spans="1:1">
      <c r="A9751" s="576"/>
    </row>
    <row r="9752" spans="1:1">
      <c r="A9752" s="576"/>
    </row>
    <row r="9753" spans="1:1">
      <c r="A9753" s="576"/>
    </row>
    <row r="9754" spans="1:1">
      <c r="A9754" s="576"/>
    </row>
    <row r="9755" spans="1:1">
      <c r="A9755" s="576"/>
    </row>
    <row r="9756" spans="1:1">
      <c r="A9756" s="576"/>
    </row>
    <row r="9757" spans="1:1">
      <c r="A9757" s="576"/>
    </row>
    <row r="9758" spans="1:1">
      <c r="A9758" s="576"/>
    </row>
    <row r="9759" spans="1:1">
      <c r="A9759" s="576"/>
    </row>
    <row r="9760" spans="1:1">
      <c r="A9760" s="576"/>
    </row>
    <row r="9761" spans="1:1">
      <c r="A9761" s="576"/>
    </row>
    <row r="9762" spans="1:1">
      <c r="A9762" s="576"/>
    </row>
    <row r="9763" spans="1:1">
      <c r="A9763" s="576"/>
    </row>
    <row r="9764" spans="1:1">
      <c r="A9764" s="576"/>
    </row>
    <row r="9765" spans="1:1">
      <c r="A9765" s="576"/>
    </row>
    <row r="9766" spans="1:1">
      <c r="A9766" s="576"/>
    </row>
    <row r="9767" spans="1:1">
      <c r="A9767" s="576"/>
    </row>
    <row r="9768" spans="1:1">
      <c r="A9768" s="576"/>
    </row>
    <row r="9769" spans="1:1">
      <c r="A9769" s="576"/>
    </row>
    <row r="9770" spans="1:1">
      <c r="A9770" s="576"/>
    </row>
    <row r="9771" spans="1:1">
      <c r="A9771" s="576"/>
    </row>
    <row r="9772" spans="1:1">
      <c r="A9772" s="576"/>
    </row>
    <row r="9773" spans="1:1">
      <c r="A9773" s="576"/>
    </row>
    <row r="9774" spans="1:1">
      <c r="A9774" s="576"/>
    </row>
    <row r="9775" spans="1:1">
      <c r="A9775" s="576"/>
    </row>
    <row r="9776" spans="1:1">
      <c r="A9776" s="576"/>
    </row>
    <row r="9777" spans="1:1">
      <c r="A9777" s="576"/>
    </row>
    <row r="9778" spans="1:1">
      <c r="A9778" s="576"/>
    </row>
    <row r="9779" spans="1:1">
      <c r="A9779" s="576"/>
    </row>
    <row r="9780" spans="1:1">
      <c r="A9780" s="576"/>
    </row>
    <row r="9781" spans="1:1">
      <c r="A9781" s="576"/>
    </row>
    <row r="9782" spans="1:1">
      <c r="A9782" s="576"/>
    </row>
    <row r="9783" spans="1:1">
      <c r="A9783" s="576"/>
    </row>
    <row r="9784" spans="1:1">
      <c r="A9784" s="576"/>
    </row>
    <row r="9785" spans="1:1">
      <c r="A9785" s="576"/>
    </row>
    <row r="9786" spans="1:1">
      <c r="A9786" s="576"/>
    </row>
    <row r="9787" spans="1:1">
      <c r="A9787" s="576"/>
    </row>
    <row r="9788" spans="1:1">
      <c r="A9788" s="576"/>
    </row>
    <row r="9789" spans="1:1">
      <c r="A9789" s="576"/>
    </row>
    <row r="9790" spans="1:1">
      <c r="A9790" s="576"/>
    </row>
    <row r="9791" spans="1:1">
      <c r="A9791" s="576"/>
    </row>
    <row r="9792" spans="1:1">
      <c r="A9792" s="576"/>
    </row>
    <row r="9793" spans="1:1">
      <c r="A9793" s="576"/>
    </row>
    <row r="9794" spans="1:1">
      <c r="A9794" s="576"/>
    </row>
    <row r="9795" spans="1:1">
      <c r="A9795" s="576"/>
    </row>
    <row r="9796" spans="1:1">
      <c r="A9796" s="576"/>
    </row>
    <row r="9797" spans="1:1">
      <c r="A9797" s="576"/>
    </row>
    <row r="9798" spans="1:1">
      <c r="A9798" s="576"/>
    </row>
    <row r="9799" spans="1:1">
      <c r="A9799" s="576"/>
    </row>
    <row r="9800" spans="1:1">
      <c r="A9800" s="576"/>
    </row>
    <row r="9801" spans="1:1">
      <c r="A9801" s="576"/>
    </row>
    <row r="9802" spans="1:1">
      <c r="A9802" s="576"/>
    </row>
    <row r="9803" spans="1:1">
      <c r="A9803" s="576"/>
    </row>
    <row r="9804" spans="1:1">
      <c r="A9804" s="576"/>
    </row>
    <row r="9805" spans="1:1">
      <c r="A9805" s="576"/>
    </row>
    <row r="9806" spans="1:1">
      <c r="A9806" s="576"/>
    </row>
    <row r="9807" spans="1:1">
      <c r="A9807" s="576"/>
    </row>
    <row r="9808" spans="1:1">
      <c r="A9808" s="576"/>
    </row>
    <row r="9809" spans="1:1">
      <c r="A9809" s="576"/>
    </row>
    <row r="9810" spans="1:1">
      <c r="A9810" s="576"/>
    </row>
    <row r="9811" spans="1:1">
      <c r="A9811" s="576"/>
    </row>
    <row r="9812" spans="1:1">
      <c r="A9812" s="576"/>
    </row>
    <row r="9813" spans="1:1">
      <c r="A9813" s="576"/>
    </row>
    <row r="9814" spans="1:1">
      <c r="A9814" s="576"/>
    </row>
    <row r="9815" spans="1:1">
      <c r="A9815" s="576"/>
    </row>
    <row r="9816" spans="1:1">
      <c r="A9816" s="576"/>
    </row>
    <row r="9817" spans="1:1">
      <c r="A9817" s="576"/>
    </row>
    <row r="9818" spans="1:1">
      <c r="A9818" s="576"/>
    </row>
    <row r="9819" spans="1:1">
      <c r="A9819" s="576"/>
    </row>
    <row r="9820" spans="1:1">
      <c r="A9820" s="576"/>
    </row>
    <row r="9821" spans="1:1">
      <c r="A9821" s="576"/>
    </row>
    <row r="9822" spans="1:1">
      <c r="A9822" s="576"/>
    </row>
    <row r="9823" spans="1:1">
      <c r="A9823" s="576"/>
    </row>
    <row r="9824" spans="1:1">
      <c r="A9824" s="576"/>
    </row>
    <row r="9825" spans="1:1">
      <c r="A9825" s="576"/>
    </row>
    <row r="9826" spans="1:1">
      <c r="A9826" s="576"/>
    </row>
    <row r="9827" spans="1:1">
      <c r="A9827" s="576"/>
    </row>
    <row r="9828" spans="1:1">
      <c r="A9828" s="576"/>
    </row>
    <row r="9829" spans="1:1">
      <c r="A9829" s="576"/>
    </row>
    <row r="9830" spans="1:1">
      <c r="A9830" s="576"/>
    </row>
    <row r="9831" spans="1:1">
      <c r="A9831" s="576"/>
    </row>
    <row r="9832" spans="1:1">
      <c r="A9832" s="576"/>
    </row>
    <row r="9833" spans="1:1">
      <c r="A9833" s="576"/>
    </row>
    <row r="9834" spans="1:1">
      <c r="A9834" s="576"/>
    </row>
    <row r="9835" spans="1:1">
      <c r="A9835" s="576"/>
    </row>
    <row r="9836" spans="1:1">
      <c r="A9836" s="576"/>
    </row>
    <row r="9837" spans="1:1">
      <c r="A9837" s="576"/>
    </row>
    <row r="9838" spans="1:1">
      <c r="A9838" s="576"/>
    </row>
    <row r="9839" spans="1:1">
      <c r="A9839" s="576"/>
    </row>
    <row r="9840" spans="1:1">
      <c r="A9840" s="576"/>
    </row>
    <row r="9841" spans="1:1">
      <c r="A9841" s="576"/>
    </row>
    <row r="9842" spans="1:1">
      <c r="A9842" s="576"/>
    </row>
    <row r="9843" spans="1:1">
      <c r="A9843" s="576"/>
    </row>
    <row r="9844" spans="1:1">
      <c r="A9844" s="576"/>
    </row>
    <row r="9845" spans="1:1">
      <c r="A9845" s="576"/>
    </row>
    <row r="9846" spans="1:1">
      <c r="A9846" s="576"/>
    </row>
    <row r="9847" spans="1:1">
      <c r="A9847" s="576"/>
    </row>
    <row r="9848" spans="1:1">
      <c r="A9848" s="576"/>
    </row>
    <row r="9849" spans="1:1">
      <c r="A9849" s="576"/>
    </row>
    <row r="9850" spans="1:1">
      <c r="A9850" s="576"/>
    </row>
    <row r="9851" spans="1:1">
      <c r="A9851" s="576"/>
    </row>
    <row r="9852" spans="1:1">
      <c r="A9852" s="576"/>
    </row>
    <row r="9853" spans="1:1">
      <c r="A9853" s="576"/>
    </row>
    <row r="9854" spans="1:1">
      <c r="A9854" s="576"/>
    </row>
    <row r="9855" spans="1:1">
      <c r="A9855" s="576"/>
    </row>
    <row r="9856" spans="1:1">
      <c r="A9856" s="576"/>
    </row>
    <row r="9857" spans="1:1">
      <c r="A9857" s="576"/>
    </row>
    <row r="9858" spans="1:1">
      <c r="A9858" s="576"/>
    </row>
    <row r="9859" spans="1:1">
      <c r="A9859" s="576"/>
    </row>
    <row r="9860" spans="1:1">
      <c r="A9860" s="576"/>
    </row>
    <row r="9861" spans="1:1">
      <c r="A9861" s="576"/>
    </row>
    <row r="9862" spans="1:1">
      <c r="A9862" s="576"/>
    </row>
    <row r="9863" spans="1:1">
      <c r="A9863" s="576"/>
    </row>
    <row r="9864" spans="1:1">
      <c r="A9864" s="576"/>
    </row>
    <row r="9865" spans="1:1">
      <c r="A9865" s="576"/>
    </row>
    <row r="9866" spans="1:1">
      <c r="A9866" s="576"/>
    </row>
    <row r="9867" spans="1:1">
      <c r="A9867" s="576"/>
    </row>
    <row r="9868" spans="1:1">
      <c r="A9868" s="576"/>
    </row>
    <row r="9869" spans="1:1">
      <c r="A9869" s="576"/>
    </row>
    <row r="9870" spans="1:1">
      <c r="A9870" s="576"/>
    </row>
    <row r="9871" spans="1:1">
      <c r="A9871" s="576"/>
    </row>
    <row r="9872" spans="1:1">
      <c r="A9872" s="576"/>
    </row>
    <row r="9873" spans="1:1">
      <c r="A9873" s="576"/>
    </row>
    <row r="9874" spans="1:1">
      <c r="A9874" s="576"/>
    </row>
    <row r="9875" spans="1:1">
      <c r="A9875" s="576"/>
    </row>
    <row r="9876" spans="1:1">
      <c r="A9876" s="576"/>
    </row>
    <row r="9877" spans="1:1">
      <c r="A9877" s="576"/>
    </row>
    <row r="9878" spans="1:1">
      <c r="A9878" s="576"/>
    </row>
    <row r="9879" spans="1:1">
      <c r="A9879" s="576"/>
    </row>
    <row r="9880" spans="1:1">
      <c r="A9880" s="576"/>
    </row>
    <row r="9881" spans="1:1">
      <c r="A9881" s="576"/>
    </row>
    <row r="9882" spans="1:1">
      <c r="A9882" s="576"/>
    </row>
    <row r="9883" spans="1:1">
      <c r="A9883" s="576"/>
    </row>
    <row r="9884" spans="1:1">
      <c r="A9884" s="576"/>
    </row>
    <row r="9885" spans="1:1">
      <c r="A9885" s="576"/>
    </row>
    <row r="9886" spans="1:1">
      <c r="A9886" s="576"/>
    </row>
    <row r="9887" spans="1:1">
      <c r="A9887" s="576"/>
    </row>
    <row r="9888" spans="1:1">
      <c r="A9888" s="576"/>
    </row>
    <row r="9889" spans="1:1">
      <c r="A9889" s="576"/>
    </row>
    <row r="9890" spans="1:1">
      <c r="A9890" s="576"/>
    </row>
    <row r="9891" spans="1:1">
      <c r="A9891" s="576"/>
    </row>
    <row r="9892" spans="1:1">
      <c r="A9892" s="576"/>
    </row>
    <row r="9893" spans="1:1">
      <c r="A9893" s="576"/>
    </row>
    <row r="9894" spans="1:1">
      <c r="A9894" s="576"/>
    </row>
    <row r="9895" spans="1:1">
      <c r="A9895" s="576"/>
    </row>
    <row r="9896" spans="1:1">
      <c r="A9896" s="576"/>
    </row>
    <row r="9897" spans="1:1">
      <c r="A9897" s="576"/>
    </row>
    <row r="9898" spans="1:1">
      <c r="A9898" s="576"/>
    </row>
    <row r="9899" spans="1:1">
      <c r="A9899" s="576"/>
    </row>
    <row r="9900" spans="1:1">
      <c r="A9900" s="576"/>
    </row>
    <row r="9901" spans="1:1">
      <c r="A9901" s="576"/>
    </row>
    <row r="9902" spans="1:1">
      <c r="A9902" s="576"/>
    </row>
    <row r="9903" spans="1:1">
      <c r="A9903" s="576"/>
    </row>
    <row r="9904" spans="1:1">
      <c r="A9904" s="576"/>
    </row>
    <row r="9905" spans="1:1">
      <c r="A9905" s="576"/>
    </row>
    <row r="9906" spans="1:1">
      <c r="A9906" s="576"/>
    </row>
    <row r="9907" spans="1:1">
      <c r="A9907" s="576"/>
    </row>
    <row r="9908" spans="1:1">
      <c r="A9908" s="576"/>
    </row>
    <row r="9909" spans="1:1">
      <c r="A9909" s="576"/>
    </row>
    <row r="9910" spans="1:1">
      <c r="A9910" s="576"/>
    </row>
    <row r="9911" spans="1:1">
      <c r="A9911" s="576"/>
    </row>
    <row r="9912" spans="1:1">
      <c r="A9912" s="576"/>
    </row>
    <row r="9913" spans="1:1">
      <c r="A9913" s="576"/>
    </row>
    <row r="9914" spans="1:1">
      <c r="A9914" s="576"/>
    </row>
    <row r="9915" spans="1:1">
      <c r="A9915" s="576"/>
    </row>
    <row r="9916" spans="1:1">
      <c r="A9916" s="576"/>
    </row>
    <row r="9917" spans="1:1">
      <c r="A9917" s="576"/>
    </row>
    <row r="9918" spans="1:1">
      <c r="A9918" s="576"/>
    </row>
    <row r="9919" spans="1:1">
      <c r="A9919" s="576"/>
    </row>
    <row r="9920" spans="1:1">
      <c r="A9920" s="576"/>
    </row>
    <row r="9921" spans="1:1">
      <c r="A9921" s="576"/>
    </row>
    <row r="9922" spans="1:1">
      <c r="A9922" s="576"/>
    </row>
    <row r="9923" spans="1:1">
      <c r="A9923" s="576"/>
    </row>
    <row r="9924" spans="1:1">
      <c r="A9924" s="576"/>
    </row>
    <row r="9925" spans="1:1">
      <c r="A9925" s="576"/>
    </row>
    <row r="9926" spans="1:1">
      <c r="A9926" s="576"/>
    </row>
    <row r="9927" spans="1:1">
      <c r="A9927" s="576"/>
    </row>
    <row r="9928" spans="1:1">
      <c r="A9928" s="576"/>
    </row>
    <row r="9929" spans="1:1">
      <c r="A9929" s="576"/>
    </row>
    <row r="9930" spans="1:1">
      <c r="A9930" s="576"/>
    </row>
    <row r="9931" spans="1:1">
      <c r="A9931" s="576"/>
    </row>
    <row r="9932" spans="1:1">
      <c r="A9932" s="576"/>
    </row>
    <row r="9933" spans="1:1">
      <c r="A9933" s="576"/>
    </row>
    <row r="9934" spans="1:1">
      <c r="A9934" s="576"/>
    </row>
    <row r="9935" spans="1:1">
      <c r="A9935" s="576"/>
    </row>
    <row r="9936" spans="1:1">
      <c r="A9936" s="576"/>
    </row>
    <row r="9937" spans="1:1">
      <c r="A9937" s="576"/>
    </row>
    <row r="9938" spans="1:1">
      <c r="A9938" s="576"/>
    </row>
    <row r="9939" spans="1:1">
      <c r="A9939" s="576"/>
    </row>
    <row r="9940" spans="1:1">
      <c r="A9940" s="576"/>
    </row>
    <row r="9941" spans="1:1">
      <c r="A9941" s="576"/>
    </row>
    <row r="9942" spans="1:1">
      <c r="A9942" s="576"/>
    </row>
    <row r="9943" spans="1:1">
      <c r="A9943" s="576"/>
    </row>
    <row r="9944" spans="1:1">
      <c r="A9944" s="576"/>
    </row>
    <row r="9945" spans="1:1">
      <c r="A9945" s="576"/>
    </row>
    <row r="9946" spans="1:1">
      <c r="A9946" s="576"/>
    </row>
    <row r="9947" spans="1:1">
      <c r="A9947" s="576"/>
    </row>
    <row r="9948" spans="1:1">
      <c r="A9948" s="576"/>
    </row>
    <row r="9949" spans="1:1">
      <c r="A9949" s="576"/>
    </row>
    <row r="9950" spans="1:1">
      <c r="A9950" s="576"/>
    </row>
    <row r="9951" spans="1:1">
      <c r="A9951" s="576"/>
    </row>
    <row r="9952" spans="1:1">
      <c r="A9952" s="576"/>
    </row>
    <row r="9953" spans="1:1">
      <c r="A9953" s="576"/>
    </row>
    <row r="9954" spans="1:1">
      <c r="A9954" s="576"/>
    </row>
    <row r="9955" spans="1:1">
      <c r="A9955" s="576"/>
    </row>
    <row r="9956" spans="1:1">
      <c r="A9956" s="576"/>
    </row>
    <row r="9957" spans="1:1">
      <c r="A9957" s="576"/>
    </row>
    <row r="9958" spans="1:1">
      <c r="A9958" s="576"/>
    </row>
    <row r="9959" spans="1:1">
      <c r="A9959" s="576"/>
    </row>
    <row r="9960" spans="1:1">
      <c r="A9960" s="576"/>
    </row>
    <row r="9961" spans="1:1">
      <c r="A9961" s="576"/>
    </row>
    <row r="9962" spans="1:1">
      <c r="A9962" s="576"/>
    </row>
    <row r="9963" spans="1:1">
      <c r="A9963" s="576"/>
    </row>
    <row r="9964" spans="1:1">
      <c r="A9964" s="576"/>
    </row>
    <row r="9965" spans="1:1">
      <c r="A9965" s="576"/>
    </row>
    <row r="9966" spans="1:1">
      <c r="A9966" s="576"/>
    </row>
    <row r="9967" spans="1:1">
      <c r="A9967" s="576"/>
    </row>
    <row r="9968" spans="1:1">
      <c r="A9968" s="576"/>
    </row>
    <row r="9969" spans="1:1">
      <c r="A9969" s="576"/>
    </row>
    <row r="9970" spans="1:1">
      <c r="A9970" s="576"/>
    </row>
    <row r="9971" spans="1:1">
      <c r="A9971" s="576"/>
    </row>
    <row r="9972" spans="1:1">
      <c r="A9972" s="576"/>
    </row>
    <row r="9973" spans="1:1">
      <c r="A9973" s="576"/>
    </row>
    <row r="9974" spans="1:1">
      <c r="A9974" s="576"/>
    </row>
    <row r="9975" spans="1:1">
      <c r="A9975" s="576"/>
    </row>
    <row r="9976" spans="1:1">
      <c r="A9976" s="576"/>
    </row>
    <row r="9977" spans="1:1">
      <c r="A9977" s="576"/>
    </row>
    <row r="9978" spans="1:1">
      <c r="A9978" s="576"/>
    </row>
    <row r="9979" spans="1:1">
      <c r="A9979" s="576"/>
    </row>
    <row r="9980" spans="1:1">
      <c r="A9980" s="576"/>
    </row>
    <row r="9981" spans="1:1">
      <c r="A9981" s="576"/>
    </row>
    <row r="9982" spans="1:1">
      <c r="A9982" s="576"/>
    </row>
    <row r="9983" spans="1:1">
      <c r="A9983" s="576"/>
    </row>
    <row r="9984" spans="1:1">
      <c r="A9984" s="576"/>
    </row>
    <row r="9985" spans="1:1">
      <c r="A9985" s="576"/>
    </row>
    <row r="9986" spans="1:1">
      <c r="A9986" s="576"/>
    </row>
    <row r="9987" spans="1:1">
      <c r="A9987" s="576"/>
    </row>
    <row r="9988" spans="1:1">
      <c r="A9988" s="576"/>
    </row>
    <row r="9989" spans="1:1">
      <c r="A9989" s="576"/>
    </row>
    <row r="9990" spans="1:1">
      <c r="A9990" s="576"/>
    </row>
    <row r="9991" spans="1:1">
      <c r="A9991" s="576"/>
    </row>
    <row r="9992" spans="1:1">
      <c r="A9992" s="576"/>
    </row>
    <row r="9993" spans="1:1">
      <c r="A9993" s="576"/>
    </row>
    <row r="9994" spans="1:1">
      <c r="A9994" s="576"/>
    </row>
    <row r="9995" spans="1:1">
      <c r="A9995" s="576"/>
    </row>
    <row r="9996" spans="1:1">
      <c r="A9996" s="576"/>
    </row>
    <row r="9997" spans="1:1">
      <c r="A9997" s="576"/>
    </row>
    <row r="9998" spans="1:1">
      <c r="A9998" s="576"/>
    </row>
    <row r="9999" spans="1:1">
      <c r="A9999" s="576"/>
    </row>
  </sheetData>
  <sortState xmlns:xlrd2="http://schemas.microsoft.com/office/spreadsheetml/2017/richdata2" ref="N10:O33">
    <sortCondition ref="N10"/>
  </sortState>
  <dataValidations disablePrompts="1" count="1">
    <dataValidation allowBlank="1" showInputMessage="1" showErrorMessage="1" prompt="Each contractual instrument should have a unique contractual instrument description." sqref="G6" xr:uid="{18B3BE7C-7BD3-41FF-8183-29E9171BE992}"/>
  </dataValidations>
  <pageMargins left="0.7" right="0.7" top="0.75" bottom="0.75" header="0.3" footer="0.3"/>
  <drawing r:id="rId1"/>
  <legacyDrawing r:id="rId2"/>
  <controls>
    <mc:AlternateContent xmlns:mc="http://schemas.openxmlformats.org/markup-compatibility/2006">
      <mc:Choice Requires="x14">
        <control shapeId="40961" r:id="rId3" name="ck_comp_ElectricityData">
          <controlPr locked="0" autoLine="0" linkedCell="comp_ElectricityData" r:id="rId4">
            <anchor moveWithCells="1">
              <from>
                <xdr:col>4</xdr:col>
                <xdr:colOff>1479550</xdr:colOff>
                <xdr:row>0</xdr:row>
                <xdr:rowOff>114300</xdr:rowOff>
              </from>
              <to>
                <xdr:col>6</xdr:col>
                <xdr:colOff>1257300</xdr:colOff>
                <xdr:row>0</xdr:row>
                <xdr:rowOff>381000</xdr:rowOff>
              </to>
            </anchor>
          </controlPr>
        </control>
      </mc:Choice>
      <mc:Fallback>
        <control shapeId="40961" r:id="rId3" name="ck_comp_ElectricityData"/>
      </mc:Fallback>
    </mc:AlternateContent>
    <mc:AlternateContent xmlns:mc="http://schemas.openxmlformats.org/markup-compatibility/2006">
      <mc:Choice Requires="x14">
        <control shapeId="40962" r:id="rId5" name="Button 2">
          <controlPr defaultSize="0" print="0" autoFill="0" autoPict="0" macro="[0]!UpdateManualElectricity">
            <anchor moveWithCells="1" sizeWithCells="1">
              <from>
                <xdr:col>7</xdr:col>
                <xdr:colOff>1028700</xdr:colOff>
                <xdr:row>1</xdr:row>
                <xdr:rowOff>209550</xdr:rowOff>
              </from>
              <to>
                <xdr:col>8</xdr:col>
                <xdr:colOff>927100</xdr:colOff>
                <xdr:row>3</xdr:row>
                <xdr:rowOff>31750</xdr:rowOff>
              </to>
            </anchor>
          </controlPr>
        </control>
      </mc:Choice>
    </mc:AlternateContent>
    <mc:AlternateContent xmlns:mc="http://schemas.openxmlformats.org/markup-compatibility/2006">
      <mc:Choice Requires="x14">
        <control shapeId="40963" r:id="rId6" name="Button 3">
          <controlPr defaultSize="0" print="0" autoFill="0" autoPict="0" macro="[0]!ClearElec">
            <anchor moveWithCells="1" sizeWithCells="1">
              <from>
                <xdr:col>9</xdr:col>
                <xdr:colOff>50800</xdr:colOff>
                <xdr:row>2</xdr:row>
                <xdr:rowOff>50800</xdr:rowOff>
              </from>
              <to>
                <xdr:col>9</xdr:col>
                <xdr:colOff>1155700</xdr:colOff>
                <xdr:row>2</xdr:row>
                <xdr:rowOff>457200</xdr:rowOff>
              </to>
            </anchor>
          </controlPr>
        </control>
      </mc:Choice>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tabColor theme="7"/>
  </sheetPr>
  <dimension ref="A1:N240"/>
  <sheetViews>
    <sheetView showGridLines="0" workbookViewId="0"/>
  </sheetViews>
  <sheetFormatPr defaultColWidth="8.81640625" defaultRowHeight="14.5"/>
  <cols>
    <col min="1" max="1" width="7.1796875" customWidth="1"/>
    <col min="2" max="2" width="40.26953125" customWidth="1"/>
    <col min="3" max="3" width="17.7265625" customWidth="1"/>
    <col min="4" max="4" width="15.453125" customWidth="1"/>
    <col min="5" max="6" width="13.54296875" customWidth="1"/>
    <col min="7" max="7" width="10.26953125" customWidth="1"/>
    <col min="8" max="8" width="12.81640625" customWidth="1"/>
    <col min="9" max="9" width="15.453125" customWidth="1"/>
    <col min="10" max="10" width="10.453125" customWidth="1"/>
    <col min="11" max="11" width="12.1796875" customWidth="1"/>
    <col min="12" max="12" width="13.1796875" customWidth="1"/>
    <col min="14" max="14" width="13" style="265" bestFit="1" customWidth="1"/>
  </cols>
  <sheetData>
    <row r="1" spans="1:13" ht="38.25" customHeight="1" thickBot="1">
      <c r="A1" s="488" t="s">
        <v>641</v>
      </c>
      <c r="B1" s="490"/>
      <c r="C1" s="490"/>
      <c r="D1" s="490"/>
      <c r="E1" s="490"/>
      <c r="F1" s="490"/>
      <c r="G1" s="490"/>
      <c r="H1" s="490"/>
      <c r="I1" s="490"/>
      <c r="J1" s="490"/>
      <c r="K1" s="490"/>
      <c r="L1" s="490"/>
      <c r="M1" s="490"/>
    </row>
    <row r="2" spans="1:13" ht="15" customHeight="1">
      <c r="A2" s="279" t="s">
        <v>235</v>
      </c>
      <c r="B2" s="71"/>
      <c r="C2" s="71"/>
      <c r="D2" s="71"/>
      <c r="E2" s="71"/>
      <c r="F2" s="71"/>
      <c r="G2" s="71"/>
      <c r="H2" s="71"/>
      <c r="I2" s="71"/>
      <c r="J2" s="71"/>
      <c r="K2" s="71"/>
      <c r="L2" s="71"/>
      <c r="M2" s="71"/>
    </row>
    <row r="3" spans="1:13" ht="15" customHeight="1">
      <c r="A3" s="280" t="s">
        <v>462</v>
      </c>
      <c r="B3" s="71"/>
      <c r="C3" s="71"/>
      <c r="D3" s="71"/>
      <c r="E3" s="71"/>
      <c r="F3" s="71"/>
      <c r="G3" s="71"/>
      <c r="H3" s="71"/>
      <c r="I3" s="71"/>
      <c r="J3" s="71"/>
      <c r="K3" s="71"/>
      <c r="L3" s="71"/>
      <c r="M3" s="71"/>
    </row>
    <row r="4" spans="1:13" ht="15" customHeight="1">
      <c r="A4" s="281" t="s">
        <v>237</v>
      </c>
      <c r="B4" s="82"/>
      <c r="C4" s="71"/>
      <c r="D4" s="71"/>
      <c r="E4" s="71"/>
      <c r="F4" s="71"/>
      <c r="G4" s="71"/>
      <c r="H4" s="71"/>
      <c r="I4" s="71"/>
      <c r="J4" s="71"/>
      <c r="K4" s="71"/>
      <c r="L4" s="71"/>
      <c r="M4" s="71"/>
    </row>
    <row r="5" spans="1:13" ht="15" customHeight="1">
      <c r="A5" s="280" t="s">
        <v>642</v>
      </c>
      <c r="B5" s="71"/>
      <c r="C5" s="71"/>
      <c r="D5" s="71"/>
      <c r="E5" s="71"/>
      <c r="F5" s="71"/>
      <c r="G5" s="71"/>
      <c r="H5" s="71"/>
      <c r="I5" s="71"/>
      <c r="J5" s="71"/>
      <c r="K5" s="71"/>
      <c r="L5" s="71"/>
      <c r="M5" s="71"/>
    </row>
    <row r="6" spans="1:13" ht="15" customHeight="1">
      <c r="A6" s="281" t="s">
        <v>643</v>
      </c>
      <c r="B6" s="82"/>
      <c r="C6" s="71"/>
      <c r="D6" s="71"/>
      <c r="E6" s="71"/>
      <c r="F6" s="71"/>
      <c r="G6" s="71"/>
      <c r="H6" s="71"/>
      <c r="I6" s="71"/>
      <c r="J6" s="71"/>
      <c r="K6" s="71"/>
      <c r="L6" s="71"/>
      <c r="M6" s="71"/>
    </row>
    <row r="7" spans="1:13" ht="15" customHeight="1">
      <c r="A7" s="280" t="s">
        <v>242</v>
      </c>
      <c r="B7" s="71"/>
      <c r="C7" s="71"/>
      <c r="D7" s="71"/>
      <c r="E7" s="71"/>
      <c r="F7" s="71"/>
      <c r="G7" s="71"/>
      <c r="H7" s="71"/>
      <c r="I7" s="71"/>
      <c r="J7" s="71"/>
      <c r="K7" s="71"/>
      <c r="L7" s="71"/>
      <c r="M7" s="71"/>
    </row>
    <row r="8" spans="1:13" ht="15" customHeight="1">
      <c r="A8" s="281" t="s">
        <v>644</v>
      </c>
      <c r="B8" s="82"/>
      <c r="C8" s="71"/>
      <c r="D8" s="71"/>
      <c r="E8" s="71"/>
      <c r="F8" s="71"/>
      <c r="G8" s="71"/>
      <c r="H8" s="71"/>
      <c r="I8" s="71"/>
      <c r="J8" s="71"/>
      <c r="K8" s="71"/>
      <c r="L8" s="71"/>
      <c r="M8" s="71"/>
    </row>
    <row r="9" spans="1:13" ht="15" customHeight="1">
      <c r="A9" s="281" t="s">
        <v>645</v>
      </c>
      <c r="B9" s="82"/>
      <c r="C9" s="71"/>
      <c r="D9" s="71"/>
      <c r="E9" s="71"/>
      <c r="F9" s="71"/>
      <c r="G9" s="71"/>
      <c r="H9" s="71"/>
      <c r="I9" s="71"/>
      <c r="J9" s="71"/>
      <c r="K9" s="71"/>
      <c r="L9" s="71"/>
      <c r="M9" s="71"/>
    </row>
    <row r="10" spans="1:13" ht="15" customHeight="1">
      <c r="A10" s="281" t="s">
        <v>646</v>
      </c>
      <c r="B10" s="82"/>
      <c r="C10" s="71"/>
      <c r="D10" s="71"/>
      <c r="E10" s="71"/>
      <c r="F10" s="71"/>
      <c r="G10" s="71"/>
      <c r="H10" s="71"/>
      <c r="I10" s="71"/>
      <c r="J10" s="71"/>
      <c r="K10" s="71"/>
      <c r="L10" s="71"/>
      <c r="M10" s="71"/>
    </row>
    <row r="11" spans="1:13" ht="15" customHeight="1">
      <c r="A11" s="281" t="s">
        <v>647</v>
      </c>
      <c r="B11" s="82"/>
      <c r="C11" s="82"/>
      <c r="D11" s="71"/>
      <c r="E11" s="71"/>
      <c r="F11" s="71"/>
      <c r="G11" s="71"/>
      <c r="H11" s="71"/>
      <c r="I11" s="71"/>
      <c r="J11" s="71"/>
      <c r="K11" s="71"/>
      <c r="L11" s="71"/>
      <c r="M11" s="71"/>
    </row>
    <row r="12" spans="1:13" ht="15" customHeight="1">
      <c r="A12" s="281" t="s">
        <v>648</v>
      </c>
      <c r="B12" s="82"/>
      <c r="C12" s="82"/>
      <c r="D12" s="71"/>
      <c r="E12" s="71"/>
      <c r="F12" s="71"/>
      <c r="G12" s="71"/>
      <c r="H12" s="71"/>
      <c r="I12" s="71"/>
      <c r="J12" s="71"/>
      <c r="K12" s="71"/>
      <c r="L12" s="71"/>
      <c r="M12" s="71"/>
    </row>
    <row r="13" spans="1:13" ht="15" customHeight="1">
      <c r="A13" s="281" t="s">
        <v>649</v>
      </c>
      <c r="B13" s="82"/>
      <c r="C13" s="82"/>
      <c r="D13" s="71"/>
      <c r="E13" s="71"/>
      <c r="F13" s="71"/>
      <c r="G13" s="71"/>
      <c r="H13" s="71"/>
      <c r="I13" s="71"/>
      <c r="J13" s="71"/>
      <c r="K13" s="71"/>
      <c r="L13" s="71"/>
      <c r="M13" s="71"/>
    </row>
    <row r="14" spans="1:13" ht="15" customHeight="1" thickBot="1">
      <c r="A14" s="305" t="s">
        <v>650</v>
      </c>
      <c r="B14" s="84"/>
      <c r="C14" s="84"/>
      <c r="D14" s="80"/>
      <c r="E14" s="80"/>
      <c r="F14" s="80"/>
      <c r="G14" s="80"/>
      <c r="H14" s="80"/>
      <c r="I14" s="80"/>
      <c r="J14" s="80"/>
      <c r="K14" s="80"/>
      <c r="L14" s="80"/>
      <c r="M14" s="80"/>
    </row>
    <row r="15" spans="1:13" ht="15" thickTop="1">
      <c r="A15" s="282"/>
      <c r="B15" s="71"/>
      <c r="C15" s="71"/>
      <c r="D15" s="71"/>
      <c r="E15" s="71"/>
      <c r="F15" s="71"/>
      <c r="G15" s="71"/>
      <c r="H15" s="71"/>
      <c r="I15" s="71"/>
      <c r="J15" s="71"/>
      <c r="K15" s="71"/>
      <c r="L15" s="71"/>
      <c r="M15" s="71"/>
    </row>
    <row r="16" spans="1:13" ht="18.5">
      <c r="A16" s="283" t="s">
        <v>462</v>
      </c>
    </row>
    <row r="17" spans="1:6">
      <c r="A17" s="265"/>
      <c r="B17" s="1"/>
      <c r="C17" s="52"/>
    </row>
    <row r="18" spans="1:6" ht="17.5">
      <c r="A18" s="265"/>
      <c r="B18" s="1045" t="s">
        <v>651</v>
      </c>
      <c r="C18" s="1046"/>
      <c r="D18" s="1046"/>
      <c r="E18" s="1046"/>
      <c r="F18" s="1047"/>
    </row>
    <row r="19" spans="1:6" ht="16.5">
      <c r="A19" s="265"/>
      <c r="B19" s="860"/>
      <c r="C19" s="113" t="s">
        <v>16</v>
      </c>
      <c r="D19" s="60" t="s">
        <v>20</v>
      </c>
      <c r="E19" s="60" t="s">
        <v>73</v>
      </c>
      <c r="F19" s="104" t="s">
        <v>253</v>
      </c>
    </row>
    <row r="20" spans="1:6">
      <c r="A20" s="284" t="s">
        <v>101</v>
      </c>
      <c r="B20" s="47" t="str">
        <f>'Background Controls'!I5</f>
        <v>Residential</v>
      </c>
      <c r="C20" s="241">
        <f t="shared" ref="C20:C39" si="0">IF(ISNA(VLOOKUP($B20, elec_calcs_deptCO2, 8, FALSE)),0, VLOOKUP($B20, elec_calcs_deptCO2, 8, FALSE))</f>
        <v>0</v>
      </c>
      <c r="D20" s="241">
        <f t="shared" ref="D20:D39" si="1">IF(ISNA(VLOOKUP($B20, elec_calcs_deptCH4, 8, FALSE)),0, VLOOKUP($B20, elec_calcs_deptCH4, 8, FALSE))</f>
        <v>0</v>
      </c>
      <c r="E20" s="241">
        <f t="shared" ref="E20:E39" si="2">IF(ISNA(VLOOKUP($B20, elec_calcs_deptN2O, 8, FALSE)),0, VLOOKUP($B20, elec_calcs_deptN2O, 8, FALSE))</f>
        <v>0</v>
      </c>
      <c r="F20" s="354">
        <f>SUM(C20:E20)</f>
        <v>0</v>
      </c>
    </row>
    <row r="21" spans="1:6">
      <c r="A21" s="265"/>
      <c r="B21" s="47" t="str">
        <f>'Background Controls'!I6</f>
        <v>Commercial/Institutional</v>
      </c>
      <c r="C21" s="241">
        <f t="shared" si="0"/>
        <v>0</v>
      </c>
      <c r="D21" s="241">
        <f>IF(ISNA(VLOOKUP($B21, elec_calcs_deptCH4, 8, FALSE)),0, VLOOKUP($B21, elec_calcs_deptCH4, 8, FALSE))</f>
        <v>0</v>
      </c>
      <c r="E21" s="241">
        <f t="shared" si="2"/>
        <v>0</v>
      </c>
      <c r="F21" s="354">
        <f t="shared" ref="F21:F39" si="3">SUM(C21:E21)</f>
        <v>0</v>
      </c>
    </row>
    <row r="22" spans="1:6">
      <c r="A22" s="265"/>
      <c r="B22" s="47" t="str">
        <f>'Background Controls'!I7</f>
        <v>Industrial</v>
      </c>
      <c r="C22" s="241">
        <f t="shared" si="0"/>
        <v>0</v>
      </c>
      <c r="D22" s="241">
        <f t="shared" si="1"/>
        <v>0</v>
      </c>
      <c r="E22" s="241">
        <f t="shared" si="2"/>
        <v>0</v>
      </c>
      <c r="F22" s="354">
        <f t="shared" si="3"/>
        <v>0</v>
      </c>
    </row>
    <row r="23" spans="1:6">
      <c r="A23" s="265"/>
      <c r="B23" s="47" t="str">
        <f>'Background Controls'!I8</f>
        <v>Energy Generation</v>
      </c>
      <c r="C23" s="241">
        <f t="shared" si="0"/>
        <v>0</v>
      </c>
      <c r="D23" s="241">
        <f t="shared" si="1"/>
        <v>0</v>
      </c>
      <c r="E23" s="241">
        <f t="shared" si="2"/>
        <v>0</v>
      </c>
      <c r="F23" s="354">
        <f t="shared" si="3"/>
        <v>0</v>
      </c>
    </row>
    <row r="24" spans="1:6" hidden="1">
      <c r="A24" s="265"/>
      <c r="B24" s="47">
        <f>'Background Controls'!I9</f>
        <v>0</v>
      </c>
      <c r="C24" s="241">
        <f t="shared" si="0"/>
        <v>0</v>
      </c>
      <c r="D24" s="241">
        <f t="shared" si="1"/>
        <v>0</v>
      </c>
      <c r="E24" s="241">
        <f t="shared" si="2"/>
        <v>0</v>
      </c>
      <c r="F24" s="354">
        <f t="shared" si="3"/>
        <v>0</v>
      </c>
    </row>
    <row r="25" spans="1:6" hidden="1">
      <c r="A25" s="265"/>
      <c r="B25" s="47">
        <f>'Background Controls'!I10</f>
        <v>0</v>
      </c>
      <c r="C25" s="241">
        <f t="shared" si="0"/>
        <v>0</v>
      </c>
      <c r="D25" s="241">
        <f t="shared" si="1"/>
        <v>0</v>
      </c>
      <c r="E25" s="241">
        <f t="shared" si="2"/>
        <v>0</v>
      </c>
      <c r="F25" s="354">
        <f t="shared" si="3"/>
        <v>0</v>
      </c>
    </row>
    <row r="26" spans="1:6" hidden="1">
      <c r="A26" s="265"/>
      <c r="B26" s="47">
        <f>'Background Controls'!I11</f>
        <v>0</v>
      </c>
      <c r="C26" s="241">
        <f t="shared" si="0"/>
        <v>0</v>
      </c>
      <c r="D26" s="241">
        <f t="shared" si="1"/>
        <v>0</v>
      </c>
      <c r="E26" s="241">
        <f t="shared" si="2"/>
        <v>0</v>
      </c>
      <c r="F26" s="354">
        <f t="shared" si="3"/>
        <v>0</v>
      </c>
    </row>
    <row r="27" spans="1:6" hidden="1">
      <c r="A27" s="265"/>
      <c r="B27" s="47">
        <f>'Background Controls'!I12</f>
        <v>0</v>
      </c>
      <c r="C27" s="241">
        <f t="shared" si="0"/>
        <v>0</v>
      </c>
      <c r="D27" s="241">
        <f t="shared" si="1"/>
        <v>0</v>
      </c>
      <c r="E27" s="241">
        <f t="shared" si="2"/>
        <v>0</v>
      </c>
      <c r="F27" s="354">
        <f t="shared" si="3"/>
        <v>0</v>
      </c>
    </row>
    <row r="28" spans="1:6" hidden="1">
      <c r="A28" s="265"/>
      <c r="B28" s="47">
        <f>'Background Controls'!I13</f>
        <v>0</v>
      </c>
      <c r="C28" s="241">
        <f t="shared" si="0"/>
        <v>0</v>
      </c>
      <c r="D28" s="241">
        <f t="shared" si="1"/>
        <v>0</v>
      </c>
      <c r="E28" s="241">
        <f t="shared" si="2"/>
        <v>0</v>
      </c>
      <c r="F28" s="354">
        <f t="shared" si="3"/>
        <v>0</v>
      </c>
    </row>
    <row r="29" spans="1:6" hidden="1">
      <c r="A29" s="265"/>
      <c r="B29" s="47">
        <f>'Background Controls'!I14</f>
        <v>0</v>
      </c>
      <c r="C29" s="241">
        <f t="shared" si="0"/>
        <v>0</v>
      </c>
      <c r="D29" s="241">
        <f t="shared" si="1"/>
        <v>0</v>
      </c>
      <c r="E29" s="241">
        <f t="shared" si="2"/>
        <v>0</v>
      </c>
      <c r="F29" s="354">
        <f t="shared" si="3"/>
        <v>0</v>
      </c>
    </row>
    <row r="30" spans="1:6" hidden="1">
      <c r="A30" s="265"/>
      <c r="B30" s="47">
        <f>'Background Controls'!I15</f>
        <v>0</v>
      </c>
      <c r="C30" s="241">
        <f t="shared" si="0"/>
        <v>0</v>
      </c>
      <c r="D30" s="241">
        <f t="shared" si="1"/>
        <v>0</v>
      </c>
      <c r="E30" s="241">
        <f t="shared" si="2"/>
        <v>0</v>
      </c>
      <c r="F30" s="354">
        <f t="shared" si="3"/>
        <v>0</v>
      </c>
    </row>
    <row r="31" spans="1:6" hidden="1">
      <c r="A31" s="265"/>
      <c r="B31" s="47">
        <f>'Background Controls'!I16</f>
        <v>0</v>
      </c>
      <c r="C31" s="241">
        <f t="shared" si="0"/>
        <v>0</v>
      </c>
      <c r="D31" s="241">
        <f t="shared" si="1"/>
        <v>0</v>
      </c>
      <c r="E31" s="241">
        <f t="shared" si="2"/>
        <v>0</v>
      </c>
      <c r="F31" s="354">
        <f t="shared" si="3"/>
        <v>0</v>
      </c>
    </row>
    <row r="32" spans="1:6" hidden="1">
      <c r="A32" s="265"/>
      <c r="B32" s="47">
        <f>'Background Controls'!I17</f>
        <v>0</v>
      </c>
      <c r="C32" s="241">
        <f t="shared" si="0"/>
        <v>0</v>
      </c>
      <c r="D32" s="241">
        <f t="shared" si="1"/>
        <v>0</v>
      </c>
      <c r="E32" s="241">
        <f t="shared" si="2"/>
        <v>0</v>
      </c>
      <c r="F32" s="354">
        <f t="shared" si="3"/>
        <v>0</v>
      </c>
    </row>
    <row r="33" spans="1:8" hidden="1">
      <c r="A33" s="265"/>
      <c r="B33" s="47">
        <f>'Background Controls'!I18</f>
        <v>0</v>
      </c>
      <c r="C33" s="241">
        <f t="shared" si="0"/>
        <v>0</v>
      </c>
      <c r="D33" s="241">
        <f t="shared" si="1"/>
        <v>0</v>
      </c>
      <c r="E33" s="241">
        <f t="shared" si="2"/>
        <v>0</v>
      </c>
      <c r="F33" s="354">
        <f t="shared" si="3"/>
        <v>0</v>
      </c>
    </row>
    <row r="34" spans="1:8" hidden="1">
      <c r="A34" s="265"/>
      <c r="B34" s="47">
        <f>'Background Controls'!I19</f>
        <v>0</v>
      </c>
      <c r="C34" s="241">
        <f t="shared" si="0"/>
        <v>0</v>
      </c>
      <c r="D34" s="241">
        <f t="shared" si="1"/>
        <v>0</v>
      </c>
      <c r="E34" s="241">
        <f t="shared" si="2"/>
        <v>0</v>
      </c>
      <c r="F34" s="354">
        <f t="shared" si="3"/>
        <v>0</v>
      </c>
    </row>
    <row r="35" spans="1:8" hidden="1">
      <c r="A35" s="265"/>
      <c r="B35" s="47">
        <f>'Background Controls'!I20</f>
        <v>0</v>
      </c>
      <c r="C35" s="241">
        <f t="shared" si="0"/>
        <v>0</v>
      </c>
      <c r="D35" s="241">
        <f t="shared" si="1"/>
        <v>0</v>
      </c>
      <c r="E35" s="241">
        <f t="shared" si="2"/>
        <v>0</v>
      </c>
      <c r="F35" s="354">
        <f t="shared" si="3"/>
        <v>0</v>
      </c>
    </row>
    <row r="36" spans="1:8" hidden="1">
      <c r="A36" s="265"/>
      <c r="B36" s="47">
        <f>'Background Controls'!I21</f>
        <v>0</v>
      </c>
      <c r="C36" s="241">
        <f t="shared" si="0"/>
        <v>0</v>
      </c>
      <c r="D36" s="241">
        <f t="shared" si="1"/>
        <v>0</v>
      </c>
      <c r="E36" s="241">
        <f t="shared" si="2"/>
        <v>0</v>
      </c>
      <c r="F36" s="354">
        <f t="shared" si="3"/>
        <v>0</v>
      </c>
    </row>
    <row r="37" spans="1:8" hidden="1">
      <c r="A37" s="265"/>
      <c r="B37" s="47">
        <f>'Background Controls'!I22</f>
        <v>0</v>
      </c>
      <c r="C37" s="241">
        <f t="shared" si="0"/>
        <v>0</v>
      </c>
      <c r="D37" s="241">
        <f t="shared" si="1"/>
        <v>0</v>
      </c>
      <c r="E37" s="241">
        <f t="shared" si="2"/>
        <v>0</v>
      </c>
      <c r="F37" s="354">
        <f t="shared" si="3"/>
        <v>0</v>
      </c>
    </row>
    <row r="38" spans="1:8" hidden="1">
      <c r="A38" s="265"/>
      <c r="B38" s="47">
        <f>'Background Controls'!I23</f>
        <v>0</v>
      </c>
      <c r="C38" s="241">
        <f t="shared" si="0"/>
        <v>0</v>
      </c>
      <c r="D38" s="241">
        <f t="shared" si="1"/>
        <v>0</v>
      </c>
      <c r="E38" s="241">
        <f t="shared" si="2"/>
        <v>0</v>
      </c>
      <c r="F38" s="354">
        <f t="shared" si="3"/>
        <v>0</v>
      </c>
    </row>
    <row r="39" spans="1:8" hidden="1">
      <c r="A39" s="265"/>
      <c r="B39" s="47">
        <f>'Background Controls'!I24</f>
        <v>0</v>
      </c>
      <c r="C39" s="241">
        <f t="shared" si="0"/>
        <v>0</v>
      </c>
      <c r="D39" s="241">
        <f t="shared" si="1"/>
        <v>0</v>
      </c>
      <c r="E39" s="241">
        <f t="shared" si="2"/>
        <v>0</v>
      </c>
      <c r="F39" s="354">
        <f t="shared" si="3"/>
        <v>0</v>
      </c>
    </row>
    <row r="40" spans="1:8">
      <c r="A40" s="265"/>
      <c r="B40" s="854" t="s">
        <v>652</v>
      </c>
      <c r="C40" s="355">
        <f>SUM(C20:C29)</f>
        <v>0</v>
      </c>
      <c r="D40" s="355">
        <f>SUM(D20:D29)</f>
        <v>0</v>
      </c>
      <c r="E40" s="355">
        <f>SUM(E20:E29)</f>
        <v>0</v>
      </c>
      <c r="F40" s="918">
        <f>SUM(F20:F29)</f>
        <v>0</v>
      </c>
      <c r="H40" s="452"/>
    </row>
    <row r="41" spans="1:8">
      <c r="A41" s="265"/>
    </row>
    <row r="42" spans="1:8">
      <c r="A42" s="265"/>
    </row>
    <row r="43" spans="1:8">
      <c r="A43" s="265"/>
    </row>
    <row r="44" spans="1:8">
      <c r="A44" s="265"/>
    </row>
    <row r="45" spans="1:8">
      <c r="A45" s="265"/>
    </row>
    <row r="46" spans="1:8">
      <c r="A46" s="265"/>
    </row>
    <row r="47" spans="1:8">
      <c r="A47" s="265"/>
    </row>
    <row r="48" spans="1:8">
      <c r="A48" s="265"/>
    </row>
    <row r="49" spans="1:6">
      <c r="A49" s="265"/>
    </row>
    <row r="50" spans="1:6">
      <c r="A50" s="265"/>
    </row>
    <row r="51" spans="1:6">
      <c r="A51" s="265"/>
    </row>
    <row r="52" spans="1:6">
      <c r="A52" s="265"/>
    </row>
    <row r="53" spans="1:6">
      <c r="A53" s="265"/>
    </row>
    <row r="54" spans="1:6">
      <c r="A54" s="265"/>
    </row>
    <row r="55" spans="1:6">
      <c r="A55" s="265"/>
    </row>
    <row r="56" spans="1:6">
      <c r="A56" s="265"/>
    </row>
    <row r="57" spans="1:6">
      <c r="A57" s="265"/>
    </row>
    <row r="58" spans="1:6">
      <c r="A58" s="265"/>
    </row>
    <row r="59" spans="1:6">
      <c r="A59" s="265"/>
    </row>
    <row r="60" spans="1:6" ht="18.5">
      <c r="A60" s="283" t="s">
        <v>642</v>
      </c>
    </row>
    <row r="61" spans="1:6">
      <c r="A61" s="265"/>
    </row>
    <row r="62" spans="1:6" ht="15.5">
      <c r="A62" s="265"/>
      <c r="B62" s="1045" t="s">
        <v>653</v>
      </c>
      <c r="C62" s="1047"/>
      <c r="D62" s="114"/>
      <c r="E62" s="114"/>
      <c r="F62" s="114"/>
    </row>
    <row r="63" spans="1:6">
      <c r="A63" s="265"/>
      <c r="B63" s="840" t="s">
        <v>152</v>
      </c>
      <c r="C63" s="116" t="s">
        <v>51</v>
      </c>
      <c r="D63" s="62"/>
      <c r="E63" s="62"/>
      <c r="F63" s="62"/>
    </row>
    <row r="64" spans="1:6">
      <c r="A64" s="284" t="s">
        <v>101</v>
      </c>
      <c r="B64" s="47" t="str">
        <f>'Background Controls'!I5</f>
        <v>Residential</v>
      </c>
      <c r="C64" s="172">
        <f t="shared" ref="C64:C83" si="4">SUMIFS(elec_data_consump,elec_data_dept,B64,elec_data_contract_binary,"No")</f>
        <v>0</v>
      </c>
      <c r="D64" s="105"/>
      <c r="E64" s="105"/>
      <c r="F64" s="58"/>
    </row>
    <row r="65" spans="1:6">
      <c r="A65" s="265"/>
      <c r="B65" s="47" t="str">
        <f>'Background Controls'!I6</f>
        <v>Commercial/Institutional</v>
      </c>
      <c r="C65" s="172">
        <f t="shared" si="4"/>
        <v>0</v>
      </c>
      <c r="D65" s="105"/>
      <c r="E65" s="105"/>
      <c r="F65" s="58"/>
    </row>
    <row r="66" spans="1:6">
      <c r="A66" s="265"/>
      <c r="B66" s="47" t="str">
        <f>'Background Controls'!I7</f>
        <v>Industrial</v>
      </c>
      <c r="C66" s="172">
        <f t="shared" si="4"/>
        <v>0</v>
      </c>
      <c r="D66" s="105"/>
      <c r="E66" s="105"/>
      <c r="F66" s="58"/>
    </row>
    <row r="67" spans="1:6">
      <c r="A67" s="265"/>
      <c r="B67" s="47" t="str">
        <f>'Background Controls'!I8</f>
        <v>Energy Generation</v>
      </c>
      <c r="C67" s="172">
        <f t="shared" si="4"/>
        <v>0</v>
      </c>
      <c r="D67" s="105"/>
      <c r="E67" s="105"/>
      <c r="F67" s="58"/>
    </row>
    <row r="68" spans="1:6" hidden="1">
      <c r="A68" s="265"/>
      <c r="B68" s="47">
        <f>'Background Controls'!I9</f>
        <v>0</v>
      </c>
      <c r="C68" s="172">
        <f t="shared" si="4"/>
        <v>0</v>
      </c>
      <c r="D68" s="105"/>
      <c r="E68" s="105"/>
      <c r="F68" s="58"/>
    </row>
    <row r="69" spans="1:6" hidden="1">
      <c r="A69" s="265"/>
      <c r="B69" s="47">
        <f>'Background Controls'!I10</f>
        <v>0</v>
      </c>
      <c r="C69" s="172">
        <f t="shared" si="4"/>
        <v>0</v>
      </c>
      <c r="D69" s="105"/>
      <c r="E69" s="105"/>
      <c r="F69" s="58"/>
    </row>
    <row r="70" spans="1:6" hidden="1">
      <c r="A70" s="265"/>
      <c r="B70" s="47">
        <f>'Background Controls'!I11</f>
        <v>0</v>
      </c>
      <c r="C70" s="172">
        <f t="shared" si="4"/>
        <v>0</v>
      </c>
      <c r="D70" s="105"/>
      <c r="E70" s="105"/>
      <c r="F70" s="58"/>
    </row>
    <row r="71" spans="1:6" hidden="1">
      <c r="A71" s="265"/>
      <c r="B71" s="47">
        <f>'Background Controls'!I12</f>
        <v>0</v>
      </c>
      <c r="C71" s="172">
        <f t="shared" si="4"/>
        <v>0</v>
      </c>
      <c r="D71" s="105"/>
      <c r="E71" s="105"/>
      <c r="F71" s="58"/>
    </row>
    <row r="72" spans="1:6" hidden="1">
      <c r="A72" s="265"/>
      <c r="B72" s="47">
        <f>'Background Controls'!I13</f>
        <v>0</v>
      </c>
      <c r="C72" s="172">
        <f t="shared" si="4"/>
        <v>0</v>
      </c>
      <c r="D72" s="105"/>
      <c r="E72" s="105"/>
      <c r="F72" s="58"/>
    </row>
    <row r="73" spans="1:6" hidden="1">
      <c r="A73" s="265"/>
      <c r="B73" s="47">
        <f>'Background Controls'!I14</f>
        <v>0</v>
      </c>
      <c r="C73" s="172">
        <f t="shared" si="4"/>
        <v>0</v>
      </c>
      <c r="D73" s="105"/>
      <c r="E73" s="105"/>
      <c r="F73" s="58"/>
    </row>
    <row r="74" spans="1:6" hidden="1">
      <c r="A74" s="265"/>
      <c r="B74" s="47">
        <f>'Background Controls'!I15</f>
        <v>0</v>
      </c>
      <c r="C74" s="172">
        <f t="shared" si="4"/>
        <v>0</v>
      </c>
      <c r="D74" s="105"/>
      <c r="E74" s="105"/>
      <c r="F74" s="58"/>
    </row>
    <row r="75" spans="1:6" hidden="1">
      <c r="A75" s="265"/>
      <c r="B75" s="47">
        <f>'Background Controls'!I16</f>
        <v>0</v>
      </c>
      <c r="C75" s="172">
        <f t="shared" si="4"/>
        <v>0</v>
      </c>
      <c r="D75" s="105"/>
      <c r="E75" s="105"/>
      <c r="F75" s="58"/>
    </row>
    <row r="76" spans="1:6" hidden="1">
      <c r="A76" s="265"/>
      <c r="B76" s="47">
        <f>'Background Controls'!I17</f>
        <v>0</v>
      </c>
      <c r="C76" s="172">
        <f t="shared" si="4"/>
        <v>0</v>
      </c>
      <c r="D76" s="105"/>
      <c r="E76" s="105"/>
      <c r="F76" s="58"/>
    </row>
    <row r="77" spans="1:6" hidden="1">
      <c r="A77" s="265"/>
      <c r="B77" s="47">
        <f>'Background Controls'!I18</f>
        <v>0</v>
      </c>
      <c r="C77" s="172">
        <f t="shared" si="4"/>
        <v>0</v>
      </c>
      <c r="D77" s="105"/>
      <c r="E77" s="105"/>
      <c r="F77" s="58"/>
    </row>
    <row r="78" spans="1:6" hidden="1">
      <c r="A78" s="265"/>
      <c r="B78" s="47">
        <f>'Background Controls'!I19</f>
        <v>0</v>
      </c>
      <c r="C78" s="172">
        <f t="shared" si="4"/>
        <v>0</v>
      </c>
      <c r="D78" s="105"/>
      <c r="E78" s="105"/>
      <c r="F78" s="58"/>
    </row>
    <row r="79" spans="1:6" hidden="1">
      <c r="A79" s="265"/>
      <c r="B79" s="47">
        <f>'Background Controls'!I20</f>
        <v>0</v>
      </c>
      <c r="C79" s="172">
        <f t="shared" si="4"/>
        <v>0</v>
      </c>
      <c r="D79" s="105"/>
      <c r="E79" s="105"/>
      <c r="F79" s="58"/>
    </row>
    <row r="80" spans="1:6" hidden="1">
      <c r="A80" s="265"/>
      <c r="B80" s="47">
        <f>'Background Controls'!I21</f>
        <v>0</v>
      </c>
      <c r="C80" s="172">
        <f t="shared" si="4"/>
        <v>0</v>
      </c>
      <c r="D80" s="105"/>
      <c r="E80" s="105"/>
      <c r="F80" s="58"/>
    </row>
    <row r="81" spans="1:6" hidden="1">
      <c r="A81" s="265"/>
      <c r="B81" s="47">
        <f>'Background Controls'!I22</f>
        <v>0</v>
      </c>
      <c r="C81" s="172">
        <f t="shared" si="4"/>
        <v>0</v>
      </c>
      <c r="D81" s="105"/>
      <c r="E81" s="105"/>
      <c r="F81" s="58"/>
    </row>
    <row r="82" spans="1:6" hidden="1">
      <c r="A82" s="265"/>
      <c r="B82" s="47">
        <f>'Background Controls'!I23</f>
        <v>0</v>
      </c>
      <c r="C82" s="172">
        <f t="shared" si="4"/>
        <v>0</v>
      </c>
      <c r="D82" s="105"/>
      <c r="E82" s="105"/>
      <c r="F82" s="58"/>
    </row>
    <row r="83" spans="1:6" hidden="1">
      <c r="A83" s="265"/>
      <c r="B83" s="47">
        <f>'Background Controls'!I24</f>
        <v>0</v>
      </c>
      <c r="C83" s="172">
        <f t="shared" si="4"/>
        <v>0</v>
      </c>
      <c r="D83" s="105"/>
      <c r="E83" s="105"/>
      <c r="F83" s="58"/>
    </row>
    <row r="84" spans="1:6">
      <c r="A84" s="265"/>
      <c r="B84" s="854" t="s">
        <v>654</v>
      </c>
      <c r="C84" s="331">
        <f>SUM(C64:C83)</f>
        <v>0</v>
      </c>
      <c r="D84" s="115"/>
      <c r="E84" s="115"/>
      <c r="F84" s="115"/>
    </row>
    <row r="85" spans="1:6">
      <c r="A85" s="265"/>
    </row>
    <row r="86" spans="1:6">
      <c r="A86" s="265"/>
    </row>
    <row r="87" spans="1:6">
      <c r="A87" s="265"/>
    </row>
    <row r="88" spans="1:6">
      <c r="A88" s="265"/>
    </row>
    <row r="89" spans="1:6">
      <c r="A89" s="265"/>
    </row>
    <row r="90" spans="1:6">
      <c r="A90" s="265"/>
    </row>
    <row r="91" spans="1:6">
      <c r="A91" s="265"/>
    </row>
    <row r="92" spans="1:6">
      <c r="A92" s="265"/>
    </row>
    <row r="93" spans="1:6">
      <c r="A93" s="265"/>
    </row>
    <row r="94" spans="1:6">
      <c r="A94" s="265"/>
    </row>
    <row r="95" spans="1:6">
      <c r="A95" s="265"/>
    </row>
    <row r="96" spans="1:6">
      <c r="A96" s="265"/>
    </row>
    <row r="97" spans="1:13">
      <c r="A97" s="265"/>
    </row>
    <row r="98" spans="1:13">
      <c r="A98" s="265"/>
    </row>
    <row r="99" spans="1:13">
      <c r="A99" s="265"/>
    </row>
    <row r="100" spans="1:13">
      <c r="A100" s="265"/>
    </row>
    <row r="101" spans="1:13">
      <c r="A101" s="265"/>
    </row>
    <row r="102" spans="1:13">
      <c r="A102" s="265"/>
    </row>
    <row r="103" spans="1:13">
      <c r="A103" s="265"/>
    </row>
    <row r="104" spans="1:13">
      <c r="A104" s="265"/>
    </row>
    <row r="105" spans="1:13" ht="15" thickBot="1">
      <c r="A105" s="265"/>
    </row>
    <row r="106" spans="1:13" ht="18.5">
      <c r="A106" s="301" t="s">
        <v>242</v>
      </c>
      <c r="B106" s="73"/>
      <c r="C106" s="73"/>
      <c r="D106" s="73"/>
      <c r="E106" s="73"/>
      <c r="F106" s="73"/>
      <c r="G106" s="73"/>
      <c r="H106" s="73"/>
      <c r="I106" s="73"/>
      <c r="J106" s="73"/>
      <c r="K106" s="73"/>
      <c r="L106" s="73"/>
      <c r="M106" s="73"/>
    </row>
    <row r="107" spans="1:13" ht="18.5">
      <c r="A107" s="283"/>
    </row>
    <row r="108" spans="1:13" ht="16.5">
      <c r="A108" s="268" t="s">
        <v>655</v>
      </c>
    </row>
    <row r="109" spans="1:13" ht="16.5">
      <c r="A109" s="286" t="s">
        <v>656</v>
      </c>
    </row>
    <row r="110" spans="1:13" ht="31">
      <c r="A110" s="265"/>
      <c r="B110" s="111" t="s">
        <v>634</v>
      </c>
      <c r="C110" s="193" t="s">
        <v>51</v>
      </c>
      <c r="D110" s="122" t="s">
        <v>657</v>
      </c>
      <c r="E110" s="122" t="s">
        <v>658</v>
      </c>
      <c r="F110" s="193" t="s">
        <v>659</v>
      </c>
      <c r="G110" s="191" t="s">
        <v>279</v>
      </c>
      <c r="H110" s="193" t="s">
        <v>280</v>
      </c>
      <c r="I110" s="192" t="s">
        <v>71</v>
      </c>
    </row>
    <row r="111" spans="1:13">
      <c r="A111" s="265"/>
      <c r="B111" s="39" t="str">
        <f>IF('Background Controls'!$B$62=0,"-",'Background Controls'!$B$62)</f>
        <v>AKGD eGRID subregion</v>
      </c>
      <c r="C111" s="137">
        <f t="shared" ref="C111:C116" si="5">SUMIF(elec_data_utility, B111, elec_data_consump)</f>
        <v>0</v>
      </c>
      <c r="D111" s="137" t="str">
        <f>IFERROR(VLOOKUP(B$111, elec_control_factors, 2, FALSE),"-")</f>
        <v/>
      </c>
      <c r="E111">
        <f t="shared" ref="E111:E116" si="6">kWh_MWh</f>
        <v>1E-3</v>
      </c>
      <c r="F111" s="246">
        <f t="shared" ref="F111:F116" si="7">lb_mt</f>
        <v>4.5359236999999999E-4</v>
      </c>
      <c r="G111" s="345" t="str">
        <f t="shared" ref="G111:G116" si="8">IFERROR(C111*D111*E111*F111,"-")</f>
        <v>-</v>
      </c>
      <c r="H111" s="54">
        <f t="shared" ref="H111:H116" si="9">CO2_CO2e</f>
        <v>1</v>
      </c>
      <c r="I111" s="504" t="str">
        <f t="shared" ref="I111:I116" si="10">IFERROR(G111*H111,"-")</f>
        <v>-</v>
      </c>
    </row>
    <row r="112" spans="1:13">
      <c r="A112" s="265"/>
      <c r="B112" s="39" t="str">
        <f>IF('Background Controls'!$B$63=0,"-",'Background Controls'!$B$63)</f>
        <v>-</v>
      </c>
      <c r="C112" s="137">
        <f t="shared" si="5"/>
        <v>0</v>
      </c>
      <c r="D112" s="137" t="str">
        <f>IF(B112="-","-",VLOOKUP(B$111, elec_control_factors, 2, FALSE))</f>
        <v>-</v>
      </c>
      <c r="E112">
        <f t="shared" si="6"/>
        <v>1E-3</v>
      </c>
      <c r="F112" s="246">
        <f t="shared" si="7"/>
        <v>4.5359236999999999E-4</v>
      </c>
      <c r="G112" s="345" t="str">
        <f t="shared" si="8"/>
        <v>-</v>
      </c>
      <c r="H112" s="54">
        <f t="shared" si="9"/>
        <v>1</v>
      </c>
      <c r="I112" s="505" t="str">
        <f t="shared" si="10"/>
        <v>-</v>
      </c>
    </row>
    <row r="113" spans="1:9">
      <c r="A113" s="265"/>
      <c r="B113" s="39" t="str">
        <f>IF('Background Controls'!$B$64=0,"-",'Background Controls'!$B$64)</f>
        <v>-</v>
      </c>
      <c r="C113" s="137">
        <f t="shared" si="5"/>
        <v>0</v>
      </c>
      <c r="D113" s="137" t="str">
        <f>IF(B113="-","-",VLOOKUP(B$111, elec_control_factors, 2, FALSE))</f>
        <v>-</v>
      </c>
      <c r="E113">
        <f t="shared" si="6"/>
        <v>1E-3</v>
      </c>
      <c r="F113" s="246">
        <f t="shared" si="7"/>
        <v>4.5359236999999999E-4</v>
      </c>
      <c r="G113" s="345" t="str">
        <f t="shared" si="8"/>
        <v>-</v>
      </c>
      <c r="H113" s="54">
        <f t="shared" si="9"/>
        <v>1</v>
      </c>
      <c r="I113" s="505" t="str">
        <f t="shared" si="10"/>
        <v>-</v>
      </c>
    </row>
    <row r="114" spans="1:9">
      <c r="A114" s="265"/>
      <c r="B114" s="39" t="str">
        <f>IF('Background Controls'!$B$65=0,"-",'Background Controls'!$B$65)</f>
        <v>-</v>
      </c>
      <c r="C114" s="137">
        <f t="shared" si="5"/>
        <v>0</v>
      </c>
      <c r="D114" s="137" t="str">
        <f>IF(B114="-","-",VLOOKUP(B$111, elec_control_factors, 2, FALSE))</f>
        <v>-</v>
      </c>
      <c r="E114">
        <f t="shared" si="6"/>
        <v>1E-3</v>
      </c>
      <c r="F114" s="246">
        <f t="shared" si="7"/>
        <v>4.5359236999999999E-4</v>
      </c>
      <c r="G114" s="345" t="str">
        <f t="shared" si="8"/>
        <v>-</v>
      </c>
      <c r="H114" s="54">
        <f t="shared" si="9"/>
        <v>1</v>
      </c>
      <c r="I114" s="505" t="str">
        <f t="shared" si="10"/>
        <v>-</v>
      </c>
    </row>
    <row r="115" spans="1:9">
      <c r="A115" s="265"/>
      <c r="B115" s="39" t="str">
        <f>IF('Background Controls'!$B$66=0,"-",'Background Controls'!$B$66)</f>
        <v>-</v>
      </c>
      <c r="C115" s="137">
        <f t="shared" si="5"/>
        <v>0</v>
      </c>
      <c r="D115" s="137" t="str">
        <f>IF(B115="-","-",VLOOKUP(B$111, elec_control_factors, 2, FALSE))</f>
        <v>-</v>
      </c>
      <c r="E115">
        <f t="shared" si="6"/>
        <v>1E-3</v>
      </c>
      <c r="F115" s="246">
        <f t="shared" si="7"/>
        <v>4.5359236999999999E-4</v>
      </c>
      <c r="G115" s="345" t="str">
        <f t="shared" si="8"/>
        <v>-</v>
      </c>
      <c r="H115" s="54">
        <f t="shared" si="9"/>
        <v>1</v>
      </c>
      <c r="I115" s="347" t="str">
        <f t="shared" si="10"/>
        <v>-</v>
      </c>
    </row>
    <row r="116" spans="1:9">
      <c r="A116" s="265"/>
      <c r="B116" s="43" t="str">
        <f>IF('Background Controls'!$B$67=0,"-",'Background Controls'!$B$67)</f>
        <v>-</v>
      </c>
      <c r="C116" s="332">
        <f t="shared" si="5"/>
        <v>0</v>
      </c>
      <c r="D116" s="332" t="str">
        <f>IF(B116="-","-",VLOOKUP(B$111, elec_control_factors, 2, FALSE))</f>
        <v>-</v>
      </c>
      <c r="E116" s="44">
        <f t="shared" si="6"/>
        <v>1E-3</v>
      </c>
      <c r="F116" s="553">
        <f t="shared" si="7"/>
        <v>4.5359236999999999E-4</v>
      </c>
      <c r="G116" s="346" t="str">
        <f t="shared" si="8"/>
        <v>-</v>
      </c>
      <c r="H116" s="67">
        <f t="shared" si="9"/>
        <v>1</v>
      </c>
      <c r="I116" s="348" t="str">
        <f t="shared" si="10"/>
        <v>-</v>
      </c>
    </row>
    <row r="117" spans="1:9">
      <c r="A117" s="265"/>
    </row>
    <row r="118" spans="1:9" ht="16.5">
      <c r="A118" s="268" t="s">
        <v>660</v>
      </c>
    </row>
    <row r="119" spans="1:9" ht="16.5">
      <c r="A119" s="286" t="s">
        <v>661</v>
      </c>
    </row>
    <row r="120" spans="1:9" ht="31">
      <c r="A120" s="265"/>
      <c r="B120" s="111" t="s">
        <v>634</v>
      </c>
      <c r="C120" s="193" t="s">
        <v>51</v>
      </c>
      <c r="D120" s="122" t="s">
        <v>662</v>
      </c>
      <c r="E120" s="122" t="s">
        <v>658</v>
      </c>
      <c r="F120" s="193" t="s">
        <v>659</v>
      </c>
      <c r="G120" s="191" t="s">
        <v>284</v>
      </c>
      <c r="H120" s="193" t="s">
        <v>280</v>
      </c>
      <c r="I120" s="192" t="s">
        <v>71</v>
      </c>
    </row>
    <row r="121" spans="1:9">
      <c r="A121" s="265"/>
      <c r="B121" s="39" t="str">
        <f>IF('Background Controls'!$B$62=0,"-",'Background Controls'!$B$62)</f>
        <v>AKGD eGRID subregion</v>
      </c>
      <c r="C121" s="137">
        <f t="shared" ref="C121:C126" si="11">SUMIF(elec_data_utility, B121, elec_data_consump)</f>
        <v>0</v>
      </c>
      <c r="D121" s="92" t="str">
        <f>IFERROR(VLOOKUP(B$121, elec_control_factors, 3, FALSE),"-")</f>
        <v/>
      </c>
      <c r="E121">
        <f t="shared" ref="E121:E126" si="12">kWh_MWh</f>
        <v>1E-3</v>
      </c>
      <c r="F121" s="54">
        <f t="shared" ref="F121:F126" si="13">lb_mt</f>
        <v>4.5359236999999999E-4</v>
      </c>
      <c r="G121" s="345" t="str">
        <f t="shared" ref="G121:G126" si="14">IFERROR(C121*D121*E121*F121,"-")</f>
        <v>-</v>
      </c>
      <c r="H121" s="54">
        <f t="shared" ref="H121:H126" si="15">CH4_CO2e</f>
        <v>28</v>
      </c>
      <c r="I121" s="555" t="str">
        <f t="shared" ref="I121:I126" si="16">IFERROR(G121*H121,"-")</f>
        <v>-</v>
      </c>
    </row>
    <row r="122" spans="1:9">
      <c r="A122" s="265"/>
      <c r="B122" s="39" t="str">
        <f>IF('Background Controls'!$B$63=0,"-",'Background Controls'!$B$63)</f>
        <v>-</v>
      </c>
      <c r="C122" s="137">
        <f t="shared" si="11"/>
        <v>0</v>
      </c>
      <c r="D122" s="92" t="str">
        <f>IF(B122="-","-",VLOOKUP(B$121, elec_control_factors, 3, FALSE))</f>
        <v>-</v>
      </c>
      <c r="E122">
        <f t="shared" si="12"/>
        <v>1E-3</v>
      </c>
      <c r="F122" s="54">
        <f t="shared" si="13"/>
        <v>4.5359236999999999E-4</v>
      </c>
      <c r="G122" s="345" t="str">
        <f t="shared" si="14"/>
        <v>-</v>
      </c>
      <c r="H122" s="54">
        <f t="shared" si="15"/>
        <v>28</v>
      </c>
      <c r="I122" s="556" t="str">
        <f t="shared" si="16"/>
        <v>-</v>
      </c>
    </row>
    <row r="123" spans="1:9">
      <c r="A123" s="265"/>
      <c r="B123" s="39" t="str">
        <f>IF('Background Controls'!$B$64=0,"-",'Background Controls'!$B$64)</f>
        <v>-</v>
      </c>
      <c r="C123" s="137">
        <f t="shared" si="11"/>
        <v>0</v>
      </c>
      <c r="D123" s="92" t="str">
        <f>IF(B123="-","-",VLOOKUP(B$121, elec_control_factors, 3, FALSE))</f>
        <v>-</v>
      </c>
      <c r="E123">
        <f t="shared" si="12"/>
        <v>1E-3</v>
      </c>
      <c r="F123" s="54">
        <f t="shared" si="13"/>
        <v>4.5359236999999999E-4</v>
      </c>
      <c r="G123" s="345" t="str">
        <f t="shared" si="14"/>
        <v>-</v>
      </c>
      <c r="H123" s="54">
        <f t="shared" si="15"/>
        <v>28</v>
      </c>
      <c r="I123" s="556" t="str">
        <f t="shared" si="16"/>
        <v>-</v>
      </c>
    </row>
    <row r="124" spans="1:9">
      <c r="A124" s="265"/>
      <c r="B124" s="39" t="str">
        <f>IF('Background Controls'!$B$65=0,"-",'Background Controls'!$B$65)</f>
        <v>-</v>
      </c>
      <c r="C124" s="137">
        <f t="shared" si="11"/>
        <v>0</v>
      </c>
      <c r="D124" s="92" t="str">
        <f>IF(B124="-","-",VLOOKUP(B$121, elec_control_factors, 3, FALSE))</f>
        <v>-</v>
      </c>
      <c r="E124">
        <f t="shared" si="12"/>
        <v>1E-3</v>
      </c>
      <c r="F124" s="54">
        <f t="shared" si="13"/>
        <v>4.5359236999999999E-4</v>
      </c>
      <c r="G124" s="345" t="str">
        <f t="shared" si="14"/>
        <v>-</v>
      </c>
      <c r="H124" s="54">
        <f t="shared" si="15"/>
        <v>28</v>
      </c>
      <c r="I124" s="556" t="str">
        <f t="shared" si="16"/>
        <v>-</v>
      </c>
    </row>
    <row r="125" spans="1:9">
      <c r="A125" s="265"/>
      <c r="B125" s="39" t="str">
        <f>IF('Background Controls'!$B$66=0,"-",'Background Controls'!$B$66)</f>
        <v>-</v>
      </c>
      <c r="C125" s="137">
        <f t="shared" si="11"/>
        <v>0</v>
      </c>
      <c r="D125" s="92" t="str">
        <f>IF(B125="-","-",VLOOKUP(B$121, elec_control_factors, 3, FALSE))</f>
        <v>-</v>
      </c>
      <c r="E125">
        <f t="shared" si="12"/>
        <v>1E-3</v>
      </c>
      <c r="F125" s="54">
        <f t="shared" si="13"/>
        <v>4.5359236999999999E-4</v>
      </c>
      <c r="G125" s="345" t="str">
        <f t="shared" si="14"/>
        <v>-</v>
      </c>
      <c r="H125" s="54">
        <f t="shared" si="15"/>
        <v>28</v>
      </c>
      <c r="I125" s="557" t="str">
        <f t="shared" si="16"/>
        <v>-</v>
      </c>
    </row>
    <row r="126" spans="1:9">
      <c r="A126" s="265"/>
      <c r="B126" s="43" t="str">
        <f>IF('Background Controls'!$B$67=0,"-",'Background Controls'!$B$67)</f>
        <v>-</v>
      </c>
      <c r="C126" s="332">
        <f t="shared" si="11"/>
        <v>0</v>
      </c>
      <c r="D126" s="554" t="str">
        <f>IF(B126="-","-",VLOOKUP(B$121, elec_control_factors, 3, FALSE))</f>
        <v>-</v>
      </c>
      <c r="E126" s="44">
        <f t="shared" si="12"/>
        <v>1E-3</v>
      </c>
      <c r="F126" s="67">
        <f t="shared" si="13"/>
        <v>4.5359236999999999E-4</v>
      </c>
      <c r="G126" s="346" t="str">
        <f t="shared" si="14"/>
        <v>-</v>
      </c>
      <c r="H126" s="67">
        <f t="shared" si="15"/>
        <v>28</v>
      </c>
      <c r="I126" s="558" t="str">
        <f t="shared" si="16"/>
        <v>-</v>
      </c>
    </row>
    <row r="127" spans="1:9">
      <c r="A127" s="265"/>
    </row>
    <row r="128" spans="1:9" ht="16.5">
      <c r="A128" s="268" t="s">
        <v>663</v>
      </c>
    </row>
    <row r="129" spans="1:10" ht="16.5">
      <c r="A129" s="286" t="s">
        <v>664</v>
      </c>
    </row>
    <row r="130" spans="1:10" ht="31">
      <c r="A130" s="265"/>
      <c r="B130" s="111" t="s">
        <v>634</v>
      </c>
      <c r="C130" s="193" t="s">
        <v>51</v>
      </c>
      <c r="D130" s="122" t="s">
        <v>665</v>
      </c>
      <c r="E130" s="122" t="s">
        <v>658</v>
      </c>
      <c r="F130" s="193" t="s">
        <v>659</v>
      </c>
      <c r="G130" s="191" t="s">
        <v>288</v>
      </c>
      <c r="H130" s="193" t="s">
        <v>280</v>
      </c>
      <c r="I130" s="192" t="s">
        <v>71</v>
      </c>
    </row>
    <row r="131" spans="1:10">
      <c r="A131" s="265"/>
      <c r="B131" s="39" t="str">
        <f>IF('Background Controls'!$B$62=0,"-",'Background Controls'!$B$62)</f>
        <v>AKGD eGRID subregion</v>
      </c>
      <c r="C131" s="137">
        <f t="shared" ref="C131:C136" si="17">SUMIF(elec_data_utility, B131, elec_data_consump)</f>
        <v>0</v>
      </c>
      <c r="D131" s="92" t="str">
        <f>IFERROR(VLOOKUP(B$131, elec_control_factors, 4, FALSE),"-")</f>
        <v/>
      </c>
      <c r="E131">
        <f t="shared" ref="E131:E136" si="18">kWh_MWh</f>
        <v>1E-3</v>
      </c>
      <c r="F131" s="54">
        <f t="shared" ref="F131:F136" si="19">lb_mt</f>
        <v>4.5359236999999999E-4</v>
      </c>
      <c r="G131" s="345" t="str">
        <f t="shared" ref="G131:G136" si="20">IFERROR(C131*D131*E131*F131,"-")</f>
        <v>-</v>
      </c>
      <c r="H131" s="54">
        <f t="shared" ref="H131:H136" si="21">N2O_CO2e</f>
        <v>265</v>
      </c>
      <c r="I131" s="555" t="str">
        <f t="shared" ref="I131:I136" si="22">IFERROR(G131*H131,"-")</f>
        <v>-</v>
      </c>
    </row>
    <row r="132" spans="1:10">
      <c r="A132" s="265"/>
      <c r="B132" s="39" t="str">
        <f>IF('Background Controls'!$B$63=0,"-",'Background Controls'!$B$63)</f>
        <v>-</v>
      </c>
      <c r="C132" s="137">
        <f t="shared" si="17"/>
        <v>0</v>
      </c>
      <c r="D132" s="92" t="str">
        <f>IF(B132="-","-",VLOOKUP(B$131, elec_control_factors, 4, FALSE))</f>
        <v>-</v>
      </c>
      <c r="E132">
        <f t="shared" si="18"/>
        <v>1E-3</v>
      </c>
      <c r="F132" s="54">
        <f t="shared" si="19"/>
        <v>4.5359236999999999E-4</v>
      </c>
      <c r="G132" s="345" t="str">
        <f t="shared" si="20"/>
        <v>-</v>
      </c>
      <c r="H132" s="54">
        <f t="shared" si="21"/>
        <v>265</v>
      </c>
      <c r="I132" s="556" t="str">
        <f t="shared" si="22"/>
        <v>-</v>
      </c>
    </row>
    <row r="133" spans="1:10">
      <c r="A133" s="265"/>
      <c r="B133" s="39" t="str">
        <f>IF('Background Controls'!$B$64=0,"-",'Background Controls'!$B$64)</f>
        <v>-</v>
      </c>
      <c r="C133" s="137">
        <f t="shared" si="17"/>
        <v>0</v>
      </c>
      <c r="D133" s="92" t="str">
        <f>IF(B133="-","-",VLOOKUP(B$131, elec_control_factors, 4, FALSE))</f>
        <v>-</v>
      </c>
      <c r="E133">
        <f t="shared" si="18"/>
        <v>1E-3</v>
      </c>
      <c r="F133" s="54">
        <f t="shared" si="19"/>
        <v>4.5359236999999999E-4</v>
      </c>
      <c r="G133" s="345" t="str">
        <f t="shared" si="20"/>
        <v>-</v>
      </c>
      <c r="H133" s="54">
        <f t="shared" si="21"/>
        <v>265</v>
      </c>
      <c r="I133" s="556" t="str">
        <f t="shared" si="22"/>
        <v>-</v>
      </c>
    </row>
    <row r="134" spans="1:10">
      <c r="A134" s="265"/>
      <c r="B134" s="39" t="str">
        <f>IF('Background Controls'!$B$65=0,"-",'Background Controls'!$B$65)</f>
        <v>-</v>
      </c>
      <c r="C134" s="137">
        <f t="shared" si="17"/>
        <v>0</v>
      </c>
      <c r="D134" s="92" t="str">
        <f>IF(B134="-","-",VLOOKUP(B$131, elec_control_factors, 4, FALSE))</f>
        <v>-</v>
      </c>
      <c r="E134">
        <f t="shared" si="18"/>
        <v>1E-3</v>
      </c>
      <c r="F134" s="54">
        <f t="shared" si="19"/>
        <v>4.5359236999999999E-4</v>
      </c>
      <c r="G134" s="345" t="str">
        <f t="shared" si="20"/>
        <v>-</v>
      </c>
      <c r="H134" s="54">
        <f t="shared" si="21"/>
        <v>265</v>
      </c>
      <c r="I134" s="556" t="str">
        <f t="shared" si="22"/>
        <v>-</v>
      </c>
    </row>
    <row r="135" spans="1:10">
      <c r="A135" s="265"/>
      <c r="B135" s="39" t="str">
        <f>IF('Background Controls'!$B$66=0,"-",'Background Controls'!$B$66)</f>
        <v>-</v>
      </c>
      <c r="C135" s="137">
        <f t="shared" si="17"/>
        <v>0</v>
      </c>
      <c r="D135" s="92" t="str">
        <f>IF(B135="-","-",VLOOKUP(B$131, elec_control_factors, 4, FALSE))</f>
        <v>-</v>
      </c>
      <c r="E135">
        <f t="shared" si="18"/>
        <v>1E-3</v>
      </c>
      <c r="F135" s="54">
        <f t="shared" si="19"/>
        <v>4.5359236999999999E-4</v>
      </c>
      <c r="G135" s="345" t="str">
        <f t="shared" si="20"/>
        <v>-</v>
      </c>
      <c r="H135" s="54">
        <f t="shared" si="21"/>
        <v>265</v>
      </c>
      <c r="I135" s="557" t="str">
        <f t="shared" si="22"/>
        <v>-</v>
      </c>
    </row>
    <row r="136" spans="1:10">
      <c r="A136" s="265"/>
      <c r="B136" s="43" t="str">
        <f>IF('Background Controls'!$B$67=0,"-",'Background Controls'!$B$67)</f>
        <v>-</v>
      </c>
      <c r="C136" s="332">
        <f t="shared" si="17"/>
        <v>0</v>
      </c>
      <c r="D136" s="554" t="str">
        <f>IF(B136="-","-",VLOOKUP(B$131, elec_control_factors, 4, FALSE))</f>
        <v>-</v>
      </c>
      <c r="E136" s="44">
        <f t="shared" si="18"/>
        <v>1E-3</v>
      </c>
      <c r="F136" s="67">
        <f t="shared" si="19"/>
        <v>4.5359236999999999E-4</v>
      </c>
      <c r="G136" s="346" t="str">
        <f t="shared" si="20"/>
        <v>-</v>
      </c>
      <c r="H136" s="67">
        <f t="shared" si="21"/>
        <v>265</v>
      </c>
      <c r="I136" s="558" t="str">
        <f t="shared" si="22"/>
        <v>-</v>
      </c>
    </row>
    <row r="137" spans="1:10">
      <c r="A137" s="265"/>
    </row>
    <row r="138" spans="1:10">
      <c r="A138" s="268" t="s">
        <v>666</v>
      </c>
    </row>
    <row r="139" spans="1:10">
      <c r="A139" s="286" t="s">
        <v>667</v>
      </c>
    </row>
    <row r="140" spans="1:10" ht="43.5" customHeight="1">
      <c r="A140" s="271"/>
      <c r="B140" s="893" t="s">
        <v>152</v>
      </c>
      <c r="C140" s="96" t="str">
        <f>IF('Background Controls'!$B$62=0,"-",'Background Controls'!$B$62)</f>
        <v>AKGD eGRID subregion</v>
      </c>
      <c r="D140" s="96" t="str">
        <f>IF('Background Controls'!$B$63=0,"-",'Background Controls'!$B$63)</f>
        <v>-</v>
      </c>
      <c r="E140" s="96" t="str">
        <f>IF('Background Controls'!$B$64=0,"-",'Background Controls'!$B$64)</f>
        <v>-</v>
      </c>
      <c r="F140" s="96" t="str">
        <f>IF('Background Controls'!$B$65=0,"-",'Background Controls'!$B$65)</f>
        <v>-</v>
      </c>
      <c r="G140" s="96" t="str">
        <f>IF('Background Controls'!$B$66=0,"-",'Background Controls'!$B$66)</f>
        <v>-</v>
      </c>
      <c r="H140" s="96" t="str">
        <f>IF('Background Controls'!$B$67=0,"-",'Background Controls'!$B$67)</f>
        <v>-</v>
      </c>
      <c r="I140" s="868" t="s">
        <v>263</v>
      </c>
      <c r="J140" s="56"/>
    </row>
    <row r="141" spans="1:10">
      <c r="A141" s="284" t="s">
        <v>101</v>
      </c>
      <c r="B141" s="119" t="str">
        <f>'Background Controls'!I5</f>
        <v>Residential</v>
      </c>
      <c r="C141" s="511">
        <f t="shared" ref="C141:H150" si="23">SUMIFS(elec_data_consump, elec_data_dept, $B141, elec_data_utility, C$140)</f>
        <v>0</v>
      </c>
      <c r="D141" s="511">
        <f>SUMIFS(elec_data_consump, elec_data_dept, $B141, elec_data_utility, D$140)</f>
        <v>0</v>
      </c>
      <c r="E141" s="511">
        <f t="shared" si="23"/>
        <v>0</v>
      </c>
      <c r="F141" s="511">
        <f t="shared" si="23"/>
        <v>0</v>
      </c>
      <c r="G141" s="511">
        <f t="shared" si="23"/>
        <v>0</v>
      </c>
      <c r="H141" s="511">
        <f t="shared" si="23"/>
        <v>0</v>
      </c>
      <c r="I141" s="333">
        <f t="shared" ref="I141:I160" si="24">SUM(C141:H141)</f>
        <v>0</v>
      </c>
    </row>
    <row r="142" spans="1:10">
      <c r="A142" s="265"/>
      <c r="B142" s="119" t="str">
        <f>'Background Controls'!I6</f>
        <v>Commercial/Institutional</v>
      </c>
      <c r="C142" s="511">
        <f>SUMIFS(elec_data_consump, elec_data_dept, $B142, elec_data_utility, C$140)</f>
        <v>0</v>
      </c>
      <c r="D142" s="511">
        <f t="shared" si="23"/>
        <v>0</v>
      </c>
      <c r="E142" s="511">
        <f t="shared" si="23"/>
        <v>0</v>
      </c>
      <c r="F142" s="511">
        <f t="shared" si="23"/>
        <v>0</v>
      </c>
      <c r="G142" s="511">
        <f t="shared" si="23"/>
        <v>0</v>
      </c>
      <c r="H142" s="511">
        <f t="shared" si="23"/>
        <v>0</v>
      </c>
      <c r="I142" s="333">
        <f t="shared" si="24"/>
        <v>0</v>
      </c>
    </row>
    <row r="143" spans="1:10">
      <c r="A143" s="265"/>
      <c r="B143" s="119" t="str">
        <f>'Background Controls'!I7</f>
        <v>Industrial</v>
      </c>
      <c r="C143" s="511">
        <f t="shared" si="23"/>
        <v>0</v>
      </c>
      <c r="D143" s="511">
        <f>SUMIFS(elec_data_consump, elec_data_dept, $B143, elec_data_utility, D$140)</f>
        <v>0</v>
      </c>
      <c r="E143" s="511">
        <f t="shared" si="23"/>
        <v>0</v>
      </c>
      <c r="F143" s="511">
        <f t="shared" si="23"/>
        <v>0</v>
      </c>
      <c r="G143" s="511">
        <f t="shared" si="23"/>
        <v>0</v>
      </c>
      <c r="H143" s="511">
        <f t="shared" si="23"/>
        <v>0</v>
      </c>
      <c r="I143" s="333">
        <f t="shared" si="24"/>
        <v>0</v>
      </c>
    </row>
    <row r="144" spans="1:10">
      <c r="A144" s="265"/>
      <c r="B144" s="119" t="str">
        <f>'Background Controls'!I8</f>
        <v>Energy Generation</v>
      </c>
      <c r="C144" s="511">
        <f t="shared" si="23"/>
        <v>0</v>
      </c>
      <c r="D144" s="511">
        <f t="shared" si="23"/>
        <v>0</v>
      </c>
      <c r="E144" s="511">
        <f t="shared" si="23"/>
        <v>0</v>
      </c>
      <c r="F144" s="511">
        <f t="shared" si="23"/>
        <v>0</v>
      </c>
      <c r="G144" s="511">
        <f t="shared" si="23"/>
        <v>0</v>
      </c>
      <c r="H144" s="511">
        <f t="shared" si="23"/>
        <v>0</v>
      </c>
      <c r="I144" s="333">
        <f t="shared" si="24"/>
        <v>0</v>
      </c>
    </row>
    <row r="145" spans="1:9" hidden="1">
      <c r="A145" s="265"/>
      <c r="B145" s="119">
        <f>'Background Controls'!I9</f>
        <v>0</v>
      </c>
      <c r="C145" s="511">
        <f t="shared" si="23"/>
        <v>0</v>
      </c>
      <c r="D145" s="511">
        <f t="shared" si="23"/>
        <v>0</v>
      </c>
      <c r="E145" s="511">
        <f t="shared" si="23"/>
        <v>0</v>
      </c>
      <c r="F145" s="511">
        <f t="shared" si="23"/>
        <v>0</v>
      </c>
      <c r="G145" s="511">
        <f t="shared" si="23"/>
        <v>0</v>
      </c>
      <c r="H145" s="511">
        <f t="shared" si="23"/>
        <v>0</v>
      </c>
      <c r="I145" s="333">
        <f t="shared" si="24"/>
        <v>0</v>
      </c>
    </row>
    <row r="146" spans="1:9" hidden="1">
      <c r="A146" s="265"/>
      <c r="B146" s="119">
        <f>'Background Controls'!I10</f>
        <v>0</v>
      </c>
      <c r="C146" s="511">
        <f t="shared" si="23"/>
        <v>0</v>
      </c>
      <c r="D146" s="511">
        <f t="shared" si="23"/>
        <v>0</v>
      </c>
      <c r="E146" s="511">
        <f t="shared" si="23"/>
        <v>0</v>
      </c>
      <c r="F146" s="511">
        <f t="shared" si="23"/>
        <v>0</v>
      </c>
      <c r="G146" s="511">
        <f t="shared" si="23"/>
        <v>0</v>
      </c>
      <c r="H146" s="511">
        <f t="shared" si="23"/>
        <v>0</v>
      </c>
      <c r="I146" s="333">
        <f t="shared" si="24"/>
        <v>0</v>
      </c>
    </row>
    <row r="147" spans="1:9" hidden="1">
      <c r="A147" s="265"/>
      <c r="B147" s="119">
        <f>'Background Controls'!I11</f>
        <v>0</v>
      </c>
      <c r="C147" s="511">
        <f t="shared" si="23"/>
        <v>0</v>
      </c>
      <c r="D147" s="511">
        <f t="shared" si="23"/>
        <v>0</v>
      </c>
      <c r="E147" s="511">
        <f t="shared" si="23"/>
        <v>0</v>
      </c>
      <c r="F147" s="511">
        <f t="shared" si="23"/>
        <v>0</v>
      </c>
      <c r="G147" s="511">
        <f t="shared" si="23"/>
        <v>0</v>
      </c>
      <c r="H147" s="511">
        <f t="shared" si="23"/>
        <v>0</v>
      </c>
      <c r="I147" s="333">
        <f t="shared" si="24"/>
        <v>0</v>
      </c>
    </row>
    <row r="148" spans="1:9" hidden="1">
      <c r="A148" s="265"/>
      <c r="B148" s="119">
        <f>'Background Controls'!I12</f>
        <v>0</v>
      </c>
      <c r="C148" s="511">
        <f t="shared" si="23"/>
        <v>0</v>
      </c>
      <c r="D148" s="511">
        <f t="shared" si="23"/>
        <v>0</v>
      </c>
      <c r="E148" s="511">
        <f t="shared" si="23"/>
        <v>0</v>
      </c>
      <c r="F148" s="511">
        <f t="shared" si="23"/>
        <v>0</v>
      </c>
      <c r="G148" s="511">
        <f t="shared" si="23"/>
        <v>0</v>
      </c>
      <c r="H148" s="511">
        <f t="shared" si="23"/>
        <v>0</v>
      </c>
      <c r="I148" s="333">
        <f t="shared" si="24"/>
        <v>0</v>
      </c>
    </row>
    <row r="149" spans="1:9" hidden="1">
      <c r="A149" s="265"/>
      <c r="B149" s="119">
        <f>'Background Controls'!I13</f>
        <v>0</v>
      </c>
      <c r="C149" s="511">
        <f t="shared" si="23"/>
        <v>0</v>
      </c>
      <c r="D149" s="511">
        <f t="shared" si="23"/>
        <v>0</v>
      </c>
      <c r="E149" s="511">
        <f t="shared" si="23"/>
        <v>0</v>
      </c>
      <c r="F149" s="511">
        <f t="shared" si="23"/>
        <v>0</v>
      </c>
      <c r="G149" s="511">
        <f t="shared" si="23"/>
        <v>0</v>
      </c>
      <c r="H149" s="511">
        <f t="shared" si="23"/>
        <v>0</v>
      </c>
      <c r="I149" s="333">
        <f t="shared" si="24"/>
        <v>0</v>
      </c>
    </row>
    <row r="150" spans="1:9" hidden="1">
      <c r="A150" s="265"/>
      <c r="B150" s="119">
        <f>'Background Controls'!I14</f>
        <v>0</v>
      </c>
      <c r="C150" s="511">
        <f t="shared" si="23"/>
        <v>0</v>
      </c>
      <c r="D150" s="511">
        <f t="shared" si="23"/>
        <v>0</v>
      </c>
      <c r="E150" s="511">
        <f t="shared" si="23"/>
        <v>0</v>
      </c>
      <c r="F150" s="511">
        <f t="shared" si="23"/>
        <v>0</v>
      </c>
      <c r="G150" s="511">
        <f t="shared" si="23"/>
        <v>0</v>
      </c>
      <c r="H150" s="511">
        <f t="shared" si="23"/>
        <v>0</v>
      </c>
      <c r="I150" s="333">
        <f t="shared" si="24"/>
        <v>0</v>
      </c>
    </row>
    <row r="151" spans="1:9" hidden="1">
      <c r="A151" s="265"/>
      <c r="B151" s="119">
        <f>'Background Controls'!I15</f>
        <v>0</v>
      </c>
      <c r="C151" s="511">
        <f t="shared" ref="C151:H156" si="25">SUMIFS(elec_data_consump, elec_data_dept, $B151, elec_data_utility, C$140)</f>
        <v>0</v>
      </c>
      <c r="D151" s="511">
        <f t="shared" si="25"/>
        <v>0</v>
      </c>
      <c r="E151" s="511">
        <f t="shared" si="25"/>
        <v>0</v>
      </c>
      <c r="F151" s="511">
        <f t="shared" si="25"/>
        <v>0</v>
      </c>
      <c r="G151" s="511">
        <f t="shared" si="25"/>
        <v>0</v>
      </c>
      <c r="H151" s="511">
        <f t="shared" si="25"/>
        <v>0</v>
      </c>
      <c r="I151" s="333">
        <f t="shared" si="24"/>
        <v>0</v>
      </c>
    </row>
    <row r="152" spans="1:9" hidden="1">
      <c r="A152" s="265"/>
      <c r="B152" s="119">
        <f>'Background Controls'!I16</f>
        <v>0</v>
      </c>
      <c r="C152" s="511">
        <f t="shared" si="25"/>
        <v>0</v>
      </c>
      <c r="D152" s="511">
        <f t="shared" si="25"/>
        <v>0</v>
      </c>
      <c r="E152" s="511">
        <f t="shared" si="25"/>
        <v>0</v>
      </c>
      <c r="F152" s="511">
        <f t="shared" si="25"/>
        <v>0</v>
      </c>
      <c r="G152" s="511">
        <f t="shared" si="25"/>
        <v>0</v>
      </c>
      <c r="H152" s="511">
        <f t="shared" si="25"/>
        <v>0</v>
      </c>
      <c r="I152" s="333">
        <f t="shared" si="24"/>
        <v>0</v>
      </c>
    </row>
    <row r="153" spans="1:9" hidden="1">
      <c r="A153" s="265"/>
      <c r="B153" s="119">
        <f>'Background Controls'!I17</f>
        <v>0</v>
      </c>
      <c r="C153" s="511">
        <f t="shared" si="25"/>
        <v>0</v>
      </c>
      <c r="D153" s="511">
        <f t="shared" si="25"/>
        <v>0</v>
      </c>
      <c r="E153" s="511">
        <f t="shared" si="25"/>
        <v>0</v>
      </c>
      <c r="F153" s="511">
        <f t="shared" si="25"/>
        <v>0</v>
      </c>
      <c r="G153" s="511">
        <f t="shared" si="25"/>
        <v>0</v>
      </c>
      <c r="H153" s="511">
        <f t="shared" si="25"/>
        <v>0</v>
      </c>
      <c r="I153" s="333">
        <f t="shared" si="24"/>
        <v>0</v>
      </c>
    </row>
    <row r="154" spans="1:9" hidden="1">
      <c r="A154" s="265"/>
      <c r="B154" s="119">
        <f>'Background Controls'!I18</f>
        <v>0</v>
      </c>
      <c r="C154" s="511">
        <f t="shared" si="25"/>
        <v>0</v>
      </c>
      <c r="D154" s="511">
        <f t="shared" si="25"/>
        <v>0</v>
      </c>
      <c r="E154" s="511">
        <f t="shared" si="25"/>
        <v>0</v>
      </c>
      <c r="F154" s="511">
        <f t="shared" si="25"/>
        <v>0</v>
      </c>
      <c r="G154" s="511">
        <f t="shared" si="25"/>
        <v>0</v>
      </c>
      <c r="H154" s="511">
        <f t="shared" si="25"/>
        <v>0</v>
      </c>
      <c r="I154" s="333">
        <f t="shared" si="24"/>
        <v>0</v>
      </c>
    </row>
    <row r="155" spans="1:9" hidden="1">
      <c r="A155" s="265"/>
      <c r="B155" s="119">
        <f>'Background Controls'!I19</f>
        <v>0</v>
      </c>
      <c r="C155" s="511">
        <f t="shared" si="25"/>
        <v>0</v>
      </c>
      <c r="D155" s="511">
        <f t="shared" si="25"/>
        <v>0</v>
      </c>
      <c r="E155" s="511">
        <f t="shared" si="25"/>
        <v>0</v>
      </c>
      <c r="F155" s="511">
        <f t="shared" si="25"/>
        <v>0</v>
      </c>
      <c r="G155" s="511">
        <f t="shared" si="25"/>
        <v>0</v>
      </c>
      <c r="H155" s="511">
        <f t="shared" si="25"/>
        <v>0</v>
      </c>
      <c r="I155" s="333">
        <f t="shared" si="24"/>
        <v>0</v>
      </c>
    </row>
    <row r="156" spans="1:9" hidden="1">
      <c r="A156" s="265"/>
      <c r="B156" s="119">
        <f>'Background Controls'!I20</f>
        <v>0</v>
      </c>
      <c r="C156" s="511">
        <f t="shared" si="25"/>
        <v>0</v>
      </c>
      <c r="D156" s="511">
        <f t="shared" si="25"/>
        <v>0</v>
      </c>
      <c r="E156" s="511">
        <f t="shared" si="25"/>
        <v>0</v>
      </c>
      <c r="F156" s="511">
        <f t="shared" si="25"/>
        <v>0</v>
      </c>
      <c r="G156" s="511">
        <f t="shared" si="25"/>
        <v>0</v>
      </c>
      <c r="H156" s="511">
        <f t="shared" si="25"/>
        <v>0</v>
      </c>
      <c r="I156" s="333">
        <f t="shared" si="24"/>
        <v>0</v>
      </c>
    </row>
    <row r="157" spans="1:9" hidden="1">
      <c r="A157" s="265"/>
      <c r="B157" s="119">
        <f>'Background Controls'!I21</f>
        <v>0</v>
      </c>
      <c r="C157" s="511">
        <f t="shared" ref="C157:H160" si="26">SUMIFS(elec_data_consump, elec_data_dept, $B157, elec_data_utility, C$140)</f>
        <v>0</v>
      </c>
      <c r="D157" s="511">
        <f t="shared" si="26"/>
        <v>0</v>
      </c>
      <c r="E157" s="511">
        <f t="shared" si="26"/>
        <v>0</v>
      </c>
      <c r="F157" s="511">
        <f t="shared" si="26"/>
        <v>0</v>
      </c>
      <c r="G157" s="511">
        <f t="shared" si="26"/>
        <v>0</v>
      </c>
      <c r="H157" s="511">
        <f t="shared" si="26"/>
        <v>0</v>
      </c>
      <c r="I157" s="333">
        <f t="shared" si="24"/>
        <v>0</v>
      </c>
    </row>
    <row r="158" spans="1:9" hidden="1">
      <c r="A158" s="265"/>
      <c r="B158" s="119">
        <f>'Background Controls'!I22</f>
        <v>0</v>
      </c>
      <c r="C158" s="511">
        <f t="shared" si="26"/>
        <v>0</v>
      </c>
      <c r="D158" s="511">
        <f t="shared" si="26"/>
        <v>0</v>
      </c>
      <c r="E158" s="511">
        <f t="shared" si="26"/>
        <v>0</v>
      </c>
      <c r="F158" s="511">
        <f t="shared" si="26"/>
        <v>0</v>
      </c>
      <c r="G158" s="511">
        <f t="shared" si="26"/>
        <v>0</v>
      </c>
      <c r="H158" s="511">
        <f t="shared" si="26"/>
        <v>0</v>
      </c>
      <c r="I158" s="333">
        <f t="shared" si="24"/>
        <v>0</v>
      </c>
    </row>
    <row r="159" spans="1:9" hidden="1">
      <c r="A159" s="265"/>
      <c r="B159" s="119">
        <f>'Background Controls'!I23</f>
        <v>0</v>
      </c>
      <c r="C159" s="511">
        <f t="shared" si="26"/>
        <v>0</v>
      </c>
      <c r="D159" s="511">
        <f t="shared" si="26"/>
        <v>0</v>
      </c>
      <c r="E159" s="511">
        <f t="shared" si="26"/>
        <v>0</v>
      </c>
      <c r="F159" s="511">
        <f t="shared" si="26"/>
        <v>0</v>
      </c>
      <c r="G159" s="511">
        <f t="shared" si="26"/>
        <v>0</v>
      </c>
      <c r="H159" s="511">
        <f t="shared" si="26"/>
        <v>0</v>
      </c>
      <c r="I159" s="333">
        <f t="shared" si="24"/>
        <v>0</v>
      </c>
    </row>
    <row r="160" spans="1:9" hidden="1">
      <c r="A160" s="265"/>
      <c r="B160" s="119">
        <f>'Background Controls'!I24</f>
        <v>0</v>
      </c>
      <c r="C160" s="511">
        <f t="shared" si="26"/>
        <v>0</v>
      </c>
      <c r="D160" s="511">
        <f t="shared" si="26"/>
        <v>0</v>
      </c>
      <c r="E160" s="511">
        <f t="shared" si="26"/>
        <v>0</v>
      </c>
      <c r="F160" s="511">
        <f t="shared" si="26"/>
        <v>0</v>
      </c>
      <c r="G160" s="511">
        <f t="shared" si="26"/>
        <v>0</v>
      </c>
      <c r="H160" s="511">
        <f t="shared" si="26"/>
        <v>0</v>
      </c>
      <c r="I160" s="333">
        <f t="shared" si="24"/>
        <v>0</v>
      </c>
    </row>
    <row r="161" spans="1:10">
      <c r="A161" s="265"/>
      <c r="B161" s="892" t="s">
        <v>253</v>
      </c>
      <c r="C161" s="512">
        <f t="shared" ref="C161:H161" si="27">SUM(C141:C160)</f>
        <v>0</v>
      </c>
      <c r="D161" s="512">
        <f t="shared" si="27"/>
        <v>0</v>
      </c>
      <c r="E161" s="512">
        <f t="shared" si="27"/>
        <v>0</v>
      </c>
      <c r="F161" s="512">
        <f t="shared" si="27"/>
        <v>0</v>
      </c>
      <c r="G161" s="512">
        <f t="shared" si="27"/>
        <v>0</v>
      </c>
      <c r="H161" s="512">
        <f t="shared" si="27"/>
        <v>0</v>
      </c>
      <c r="I161" s="862">
        <f>SUM(I141:I160)</f>
        <v>0</v>
      </c>
    </row>
    <row r="162" spans="1:10">
      <c r="A162" s="265"/>
    </row>
    <row r="163" spans="1:10" ht="16.5">
      <c r="A163" s="268" t="s">
        <v>668</v>
      </c>
    </row>
    <row r="164" spans="1:10" ht="16.5">
      <c r="A164" s="286" t="s">
        <v>656</v>
      </c>
    </row>
    <row r="165" spans="1:10" ht="29">
      <c r="A165" s="271"/>
      <c r="B165" s="893" t="s">
        <v>152</v>
      </c>
      <c r="C165" s="96" t="str">
        <f>IF('Background Controls'!$B$62=0,"-",'Background Controls'!$B$62)</f>
        <v>AKGD eGRID subregion</v>
      </c>
      <c r="D165" s="96" t="str">
        <f>IF('Background Controls'!$B$63=0,"-",'Background Controls'!$B$63)</f>
        <v>-</v>
      </c>
      <c r="E165" s="96" t="str">
        <f>IF('Background Controls'!$B$64=0,"-",'Background Controls'!$B$64)</f>
        <v>-</v>
      </c>
      <c r="F165" s="96" t="str">
        <f>IF('Background Controls'!$B$65=0,"-",'Background Controls'!$B$65)</f>
        <v>-</v>
      </c>
      <c r="G165" s="96" t="str">
        <f>IF('Background Controls'!$B$66=0,"-",'Background Controls'!$B$66)</f>
        <v>-</v>
      </c>
      <c r="H165" s="96" t="str">
        <f>IF('Background Controls'!$B$67=0,"-",'Background Controls'!$B$67)</f>
        <v>-</v>
      </c>
      <c r="I165" s="868" t="s">
        <v>263</v>
      </c>
      <c r="J165" s="56"/>
    </row>
    <row r="166" spans="1:10">
      <c r="A166" s="284" t="s">
        <v>101</v>
      </c>
      <c r="B166" s="119" t="str">
        <f>'Background Controls'!I5</f>
        <v>Residential</v>
      </c>
      <c r="C166" s="513" t="str">
        <f t="shared" ref="C166:C185" si="28">IFERROR(C141*VLOOKUP($C$165, elec_control_factors, 2, FALSE)*kWh_MWh*lb_mt*CO2_CO2e,"-")</f>
        <v>-</v>
      </c>
      <c r="D166" s="513" t="str">
        <f>IFERROR(D141*VLOOKUP($C$165, elec_control_factors, 2, FALSE)*kWh_MWh*lb_mt*CO2_CO2e,"-")</f>
        <v>-</v>
      </c>
      <c r="E166" s="513" t="str">
        <f t="shared" ref="E166:H185" si="29">IFERROR(E141*VLOOKUP($C$165, elec_control_factors, 2, FALSE)*kWh_MWh*lb_mt*CO2_CO2e,"-")</f>
        <v>-</v>
      </c>
      <c r="F166" s="513" t="str">
        <f t="shared" si="29"/>
        <v>-</v>
      </c>
      <c r="G166" s="513" t="str">
        <f t="shared" si="29"/>
        <v>-</v>
      </c>
      <c r="H166" s="513" t="str">
        <f t="shared" si="29"/>
        <v>-</v>
      </c>
      <c r="I166" s="422">
        <f t="shared" ref="I166:I185" si="30">SUM(C166:H166)</f>
        <v>0</v>
      </c>
    </row>
    <row r="167" spans="1:10">
      <c r="A167" s="265"/>
      <c r="B167" s="119" t="str">
        <f>'Background Controls'!I6</f>
        <v>Commercial/Institutional</v>
      </c>
      <c r="C167" s="513" t="str">
        <f t="shared" si="28"/>
        <v>-</v>
      </c>
      <c r="D167" s="513" t="str">
        <f>IFERROR(D142*VLOOKUP($C$165, elec_control_factors, 2, FALSE)*kWh_MWh*lb_mt*CO2_CO2e,"-")</f>
        <v>-</v>
      </c>
      <c r="E167" s="513" t="str">
        <f t="shared" si="29"/>
        <v>-</v>
      </c>
      <c r="F167" s="513" t="str">
        <f t="shared" si="29"/>
        <v>-</v>
      </c>
      <c r="G167" s="513" t="str">
        <f t="shared" si="29"/>
        <v>-</v>
      </c>
      <c r="H167" s="513" t="str">
        <f t="shared" si="29"/>
        <v>-</v>
      </c>
      <c r="I167" s="422">
        <f t="shared" si="30"/>
        <v>0</v>
      </c>
    </row>
    <row r="168" spans="1:10">
      <c r="A168" s="265"/>
      <c r="B168" s="119" t="str">
        <f>'Background Controls'!I7</f>
        <v>Industrial</v>
      </c>
      <c r="C168" s="513" t="str">
        <f t="shared" si="28"/>
        <v>-</v>
      </c>
      <c r="D168" s="513" t="str">
        <f>IFERROR(D143*VLOOKUP($C$165, elec_control_factors, 2, FALSE)*kWh_MWh*lb_mt*CO2_CO2e,"-")</f>
        <v>-</v>
      </c>
      <c r="E168" s="513" t="str">
        <f t="shared" si="29"/>
        <v>-</v>
      </c>
      <c r="F168" s="513" t="str">
        <f t="shared" si="29"/>
        <v>-</v>
      </c>
      <c r="G168" s="513" t="str">
        <f t="shared" si="29"/>
        <v>-</v>
      </c>
      <c r="H168" s="513" t="str">
        <f t="shared" si="29"/>
        <v>-</v>
      </c>
      <c r="I168" s="422">
        <f t="shared" si="30"/>
        <v>0</v>
      </c>
    </row>
    <row r="169" spans="1:10">
      <c r="A169" s="265"/>
      <c r="B169" s="119" t="str">
        <f>'Background Controls'!I8</f>
        <v>Energy Generation</v>
      </c>
      <c r="C169" s="513" t="str">
        <f t="shared" si="28"/>
        <v>-</v>
      </c>
      <c r="D169" s="513" t="str">
        <f t="shared" ref="D169:D185" si="31">IFERROR(D144*VLOOKUP($C$165, elec_control_factors, 2, FALSE)*kWh_MWh*lb_mt*CO2_CO2e,"-")</f>
        <v>-</v>
      </c>
      <c r="E169" s="513" t="str">
        <f t="shared" si="29"/>
        <v>-</v>
      </c>
      <c r="F169" s="513" t="str">
        <f t="shared" si="29"/>
        <v>-</v>
      </c>
      <c r="G169" s="513" t="str">
        <f t="shared" si="29"/>
        <v>-</v>
      </c>
      <c r="H169" s="513" t="str">
        <f t="shared" si="29"/>
        <v>-</v>
      </c>
      <c r="I169" s="422">
        <f t="shared" si="30"/>
        <v>0</v>
      </c>
    </row>
    <row r="170" spans="1:10" hidden="1">
      <c r="A170" s="265"/>
      <c r="B170" s="119">
        <f>'Background Controls'!I9</f>
        <v>0</v>
      </c>
      <c r="C170" s="513" t="str">
        <f t="shared" si="28"/>
        <v>-</v>
      </c>
      <c r="D170" s="513" t="str">
        <f t="shared" si="31"/>
        <v>-</v>
      </c>
      <c r="E170" s="513" t="str">
        <f t="shared" si="29"/>
        <v>-</v>
      </c>
      <c r="F170" s="513" t="str">
        <f t="shared" si="29"/>
        <v>-</v>
      </c>
      <c r="G170" s="513" t="str">
        <f t="shared" si="29"/>
        <v>-</v>
      </c>
      <c r="H170" s="513" t="str">
        <f t="shared" si="29"/>
        <v>-</v>
      </c>
      <c r="I170" s="422">
        <f t="shared" si="30"/>
        <v>0</v>
      </c>
    </row>
    <row r="171" spans="1:10" hidden="1">
      <c r="A171" s="265"/>
      <c r="B171" s="119">
        <f>'Background Controls'!I10</f>
        <v>0</v>
      </c>
      <c r="C171" s="513" t="str">
        <f t="shared" si="28"/>
        <v>-</v>
      </c>
      <c r="D171" s="513" t="str">
        <f t="shared" si="31"/>
        <v>-</v>
      </c>
      <c r="E171" s="513" t="str">
        <f t="shared" si="29"/>
        <v>-</v>
      </c>
      <c r="F171" s="513" t="str">
        <f t="shared" si="29"/>
        <v>-</v>
      </c>
      <c r="G171" s="513" t="str">
        <f t="shared" si="29"/>
        <v>-</v>
      </c>
      <c r="H171" s="513" t="str">
        <f t="shared" si="29"/>
        <v>-</v>
      </c>
      <c r="I171" s="422">
        <f t="shared" si="30"/>
        <v>0</v>
      </c>
    </row>
    <row r="172" spans="1:10" hidden="1">
      <c r="A172" s="265"/>
      <c r="B172" s="119">
        <f>'Background Controls'!I11</f>
        <v>0</v>
      </c>
      <c r="C172" s="513" t="str">
        <f t="shared" si="28"/>
        <v>-</v>
      </c>
      <c r="D172" s="513" t="str">
        <f t="shared" si="31"/>
        <v>-</v>
      </c>
      <c r="E172" s="513" t="str">
        <f t="shared" si="29"/>
        <v>-</v>
      </c>
      <c r="F172" s="513" t="str">
        <f t="shared" si="29"/>
        <v>-</v>
      </c>
      <c r="G172" s="513" t="str">
        <f t="shared" si="29"/>
        <v>-</v>
      </c>
      <c r="H172" s="513" t="str">
        <f t="shared" si="29"/>
        <v>-</v>
      </c>
      <c r="I172" s="422">
        <f t="shared" si="30"/>
        <v>0</v>
      </c>
    </row>
    <row r="173" spans="1:10" hidden="1">
      <c r="A173" s="265"/>
      <c r="B173" s="119">
        <f>'Background Controls'!I12</f>
        <v>0</v>
      </c>
      <c r="C173" s="513" t="str">
        <f t="shared" si="28"/>
        <v>-</v>
      </c>
      <c r="D173" s="513" t="str">
        <f t="shared" si="31"/>
        <v>-</v>
      </c>
      <c r="E173" s="513" t="str">
        <f t="shared" si="29"/>
        <v>-</v>
      </c>
      <c r="F173" s="513" t="str">
        <f t="shared" si="29"/>
        <v>-</v>
      </c>
      <c r="G173" s="513" t="str">
        <f t="shared" si="29"/>
        <v>-</v>
      </c>
      <c r="H173" s="513" t="str">
        <f t="shared" si="29"/>
        <v>-</v>
      </c>
      <c r="I173" s="422">
        <f t="shared" si="30"/>
        <v>0</v>
      </c>
    </row>
    <row r="174" spans="1:10" hidden="1">
      <c r="A174" s="265"/>
      <c r="B174" s="119">
        <f>'Background Controls'!I13</f>
        <v>0</v>
      </c>
      <c r="C174" s="513" t="str">
        <f t="shared" si="28"/>
        <v>-</v>
      </c>
      <c r="D174" s="513" t="str">
        <f t="shared" si="31"/>
        <v>-</v>
      </c>
      <c r="E174" s="513" t="str">
        <f t="shared" si="29"/>
        <v>-</v>
      </c>
      <c r="F174" s="513" t="str">
        <f t="shared" si="29"/>
        <v>-</v>
      </c>
      <c r="G174" s="513" t="str">
        <f t="shared" si="29"/>
        <v>-</v>
      </c>
      <c r="H174" s="513" t="str">
        <f t="shared" si="29"/>
        <v>-</v>
      </c>
      <c r="I174" s="422">
        <f t="shared" si="30"/>
        <v>0</v>
      </c>
    </row>
    <row r="175" spans="1:10" hidden="1">
      <c r="A175" s="265"/>
      <c r="B175" s="119">
        <f>'Background Controls'!I14</f>
        <v>0</v>
      </c>
      <c r="C175" s="513" t="str">
        <f t="shared" si="28"/>
        <v>-</v>
      </c>
      <c r="D175" s="513" t="str">
        <f t="shared" si="31"/>
        <v>-</v>
      </c>
      <c r="E175" s="513" t="str">
        <f t="shared" si="29"/>
        <v>-</v>
      </c>
      <c r="F175" s="513" t="str">
        <f t="shared" si="29"/>
        <v>-</v>
      </c>
      <c r="G175" s="513" t="str">
        <f t="shared" si="29"/>
        <v>-</v>
      </c>
      <c r="H175" s="513" t="str">
        <f t="shared" si="29"/>
        <v>-</v>
      </c>
      <c r="I175" s="422">
        <f t="shared" si="30"/>
        <v>0</v>
      </c>
    </row>
    <row r="176" spans="1:10" hidden="1">
      <c r="A176" s="265"/>
      <c r="B176" s="119">
        <f>'Background Controls'!I15</f>
        <v>0</v>
      </c>
      <c r="C176" s="513" t="str">
        <f t="shared" si="28"/>
        <v>-</v>
      </c>
      <c r="D176" s="513" t="str">
        <f t="shared" si="31"/>
        <v>-</v>
      </c>
      <c r="E176" s="513" t="str">
        <f t="shared" si="29"/>
        <v>-</v>
      </c>
      <c r="F176" s="513" t="str">
        <f t="shared" si="29"/>
        <v>-</v>
      </c>
      <c r="G176" s="513" t="str">
        <f t="shared" si="29"/>
        <v>-</v>
      </c>
      <c r="H176" s="513" t="str">
        <f t="shared" si="29"/>
        <v>-</v>
      </c>
      <c r="I176" s="422">
        <f t="shared" si="30"/>
        <v>0</v>
      </c>
    </row>
    <row r="177" spans="1:10" hidden="1">
      <c r="A177" s="265"/>
      <c r="B177" s="119">
        <f>'Background Controls'!I16</f>
        <v>0</v>
      </c>
      <c r="C177" s="513" t="str">
        <f t="shared" si="28"/>
        <v>-</v>
      </c>
      <c r="D177" s="513" t="str">
        <f t="shared" si="31"/>
        <v>-</v>
      </c>
      <c r="E177" s="513" t="str">
        <f t="shared" si="29"/>
        <v>-</v>
      </c>
      <c r="F177" s="513" t="str">
        <f t="shared" si="29"/>
        <v>-</v>
      </c>
      <c r="G177" s="513" t="str">
        <f t="shared" si="29"/>
        <v>-</v>
      </c>
      <c r="H177" s="513" t="str">
        <f t="shared" si="29"/>
        <v>-</v>
      </c>
      <c r="I177" s="422">
        <f t="shared" si="30"/>
        <v>0</v>
      </c>
    </row>
    <row r="178" spans="1:10" hidden="1">
      <c r="A178" s="265"/>
      <c r="B178" s="119">
        <f>'Background Controls'!I17</f>
        <v>0</v>
      </c>
      <c r="C178" s="513" t="str">
        <f t="shared" si="28"/>
        <v>-</v>
      </c>
      <c r="D178" s="513" t="str">
        <f t="shared" si="31"/>
        <v>-</v>
      </c>
      <c r="E178" s="513" t="str">
        <f t="shared" si="29"/>
        <v>-</v>
      </c>
      <c r="F178" s="513" t="str">
        <f t="shared" si="29"/>
        <v>-</v>
      </c>
      <c r="G178" s="513" t="str">
        <f t="shared" si="29"/>
        <v>-</v>
      </c>
      <c r="H178" s="513" t="str">
        <f t="shared" si="29"/>
        <v>-</v>
      </c>
      <c r="I178" s="422">
        <f t="shared" si="30"/>
        <v>0</v>
      </c>
    </row>
    <row r="179" spans="1:10" hidden="1">
      <c r="A179" s="265"/>
      <c r="B179" s="119">
        <f>'Background Controls'!I18</f>
        <v>0</v>
      </c>
      <c r="C179" s="513" t="str">
        <f t="shared" si="28"/>
        <v>-</v>
      </c>
      <c r="D179" s="513" t="str">
        <f t="shared" si="31"/>
        <v>-</v>
      </c>
      <c r="E179" s="513" t="str">
        <f t="shared" si="29"/>
        <v>-</v>
      </c>
      <c r="F179" s="513" t="str">
        <f t="shared" si="29"/>
        <v>-</v>
      </c>
      <c r="G179" s="513" t="str">
        <f t="shared" si="29"/>
        <v>-</v>
      </c>
      <c r="H179" s="513" t="str">
        <f t="shared" si="29"/>
        <v>-</v>
      </c>
      <c r="I179" s="422">
        <f t="shared" si="30"/>
        <v>0</v>
      </c>
    </row>
    <row r="180" spans="1:10" hidden="1">
      <c r="A180" s="265"/>
      <c r="B180" s="119">
        <f>'Background Controls'!I19</f>
        <v>0</v>
      </c>
      <c r="C180" s="513" t="str">
        <f t="shared" si="28"/>
        <v>-</v>
      </c>
      <c r="D180" s="513" t="str">
        <f t="shared" si="31"/>
        <v>-</v>
      </c>
      <c r="E180" s="513" t="str">
        <f t="shared" si="29"/>
        <v>-</v>
      </c>
      <c r="F180" s="513" t="str">
        <f t="shared" si="29"/>
        <v>-</v>
      </c>
      <c r="G180" s="513" t="str">
        <f t="shared" si="29"/>
        <v>-</v>
      </c>
      <c r="H180" s="513" t="str">
        <f t="shared" si="29"/>
        <v>-</v>
      </c>
      <c r="I180" s="422">
        <f t="shared" si="30"/>
        <v>0</v>
      </c>
    </row>
    <row r="181" spans="1:10" hidden="1">
      <c r="A181" s="265"/>
      <c r="B181" s="119">
        <f>'Background Controls'!I20</f>
        <v>0</v>
      </c>
      <c r="C181" s="513" t="str">
        <f t="shared" si="28"/>
        <v>-</v>
      </c>
      <c r="D181" s="513" t="str">
        <f t="shared" si="31"/>
        <v>-</v>
      </c>
      <c r="E181" s="513" t="str">
        <f t="shared" si="29"/>
        <v>-</v>
      </c>
      <c r="F181" s="513" t="str">
        <f t="shared" si="29"/>
        <v>-</v>
      </c>
      <c r="G181" s="513" t="str">
        <f t="shared" si="29"/>
        <v>-</v>
      </c>
      <c r="H181" s="513" t="str">
        <f t="shared" si="29"/>
        <v>-</v>
      </c>
      <c r="I181" s="422">
        <f t="shared" si="30"/>
        <v>0</v>
      </c>
    </row>
    <row r="182" spans="1:10" hidden="1">
      <c r="A182" s="265"/>
      <c r="B182" s="119">
        <f>'Background Controls'!I21</f>
        <v>0</v>
      </c>
      <c r="C182" s="513" t="str">
        <f t="shared" si="28"/>
        <v>-</v>
      </c>
      <c r="D182" s="513" t="str">
        <f t="shared" si="31"/>
        <v>-</v>
      </c>
      <c r="E182" s="513" t="str">
        <f t="shared" si="29"/>
        <v>-</v>
      </c>
      <c r="F182" s="513" t="str">
        <f t="shared" si="29"/>
        <v>-</v>
      </c>
      <c r="G182" s="513" t="str">
        <f t="shared" si="29"/>
        <v>-</v>
      </c>
      <c r="H182" s="513" t="str">
        <f t="shared" si="29"/>
        <v>-</v>
      </c>
      <c r="I182" s="422">
        <f t="shared" si="30"/>
        <v>0</v>
      </c>
    </row>
    <row r="183" spans="1:10" hidden="1">
      <c r="A183" s="265"/>
      <c r="B183" s="119">
        <f>'Background Controls'!I22</f>
        <v>0</v>
      </c>
      <c r="C183" s="513" t="str">
        <f t="shared" si="28"/>
        <v>-</v>
      </c>
      <c r="D183" s="513" t="str">
        <f t="shared" si="31"/>
        <v>-</v>
      </c>
      <c r="E183" s="513" t="str">
        <f t="shared" si="29"/>
        <v>-</v>
      </c>
      <c r="F183" s="513" t="str">
        <f t="shared" si="29"/>
        <v>-</v>
      </c>
      <c r="G183" s="513" t="str">
        <f t="shared" si="29"/>
        <v>-</v>
      </c>
      <c r="H183" s="513" t="str">
        <f t="shared" si="29"/>
        <v>-</v>
      </c>
      <c r="I183" s="422">
        <f t="shared" si="30"/>
        <v>0</v>
      </c>
    </row>
    <row r="184" spans="1:10" hidden="1">
      <c r="A184" s="265"/>
      <c r="B184" s="119">
        <f>'Background Controls'!I23</f>
        <v>0</v>
      </c>
      <c r="C184" s="513" t="str">
        <f t="shared" si="28"/>
        <v>-</v>
      </c>
      <c r="D184" s="513" t="str">
        <f t="shared" si="31"/>
        <v>-</v>
      </c>
      <c r="E184" s="513" t="str">
        <f t="shared" si="29"/>
        <v>-</v>
      </c>
      <c r="F184" s="513" t="str">
        <f t="shared" si="29"/>
        <v>-</v>
      </c>
      <c r="G184" s="513" t="str">
        <f t="shared" si="29"/>
        <v>-</v>
      </c>
      <c r="H184" s="513" t="str">
        <f t="shared" si="29"/>
        <v>-</v>
      </c>
      <c r="I184" s="422">
        <f t="shared" si="30"/>
        <v>0</v>
      </c>
    </row>
    <row r="185" spans="1:10" hidden="1">
      <c r="A185" s="265"/>
      <c r="B185" s="119">
        <f>'Background Controls'!I24</f>
        <v>0</v>
      </c>
      <c r="C185" s="513" t="str">
        <f t="shared" si="28"/>
        <v>-</v>
      </c>
      <c r="D185" s="513" t="str">
        <f t="shared" si="31"/>
        <v>-</v>
      </c>
      <c r="E185" s="513" t="str">
        <f t="shared" si="29"/>
        <v>-</v>
      </c>
      <c r="F185" s="513" t="str">
        <f t="shared" si="29"/>
        <v>-</v>
      </c>
      <c r="G185" s="513" t="str">
        <f t="shared" si="29"/>
        <v>-</v>
      </c>
      <c r="H185" s="513" t="str">
        <f t="shared" si="29"/>
        <v>-</v>
      </c>
      <c r="I185" s="422">
        <f t="shared" si="30"/>
        <v>0</v>
      </c>
    </row>
    <row r="186" spans="1:10">
      <c r="A186" s="265"/>
      <c r="B186" s="860" t="s">
        <v>253</v>
      </c>
      <c r="C186" s="512">
        <f t="shared" ref="C186:H186" si="32">SUM(C166:C185)</f>
        <v>0</v>
      </c>
      <c r="D186" s="512">
        <f t="shared" si="32"/>
        <v>0</v>
      </c>
      <c r="E186" s="512">
        <f t="shared" si="32"/>
        <v>0</v>
      </c>
      <c r="F186" s="512">
        <f t="shared" si="32"/>
        <v>0</v>
      </c>
      <c r="G186" s="512">
        <f t="shared" si="32"/>
        <v>0</v>
      </c>
      <c r="H186" s="512">
        <f t="shared" si="32"/>
        <v>0</v>
      </c>
      <c r="I186" s="889">
        <f>SUM(I166:I185)</f>
        <v>0</v>
      </c>
    </row>
    <row r="187" spans="1:10">
      <c r="A187" s="265"/>
      <c r="C187" s="50"/>
      <c r="D187" s="50"/>
      <c r="E187" s="50"/>
      <c r="F187" s="50"/>
      <c r="G187" s="50"/>
      <c r="H187" s="50"/>
      <c r="I187" s="50"/>
    </row>
    <row r="188" spans="1:10" ht="16.5">
      <c r="A188" s="268" t="s">
        <v>669</v>
      </c>
    </row>
    <row r="189" spans="1:10" ht="16.5">
      <c r="A189" s="286" t="s">
        <v>670</v>
      </c>
    </row>
    <row r="190" spans="1:10" ht="29">
      <c r="A190" s="287"/>
      <c r="B190" s="893" t="s">
        <v>152</v>
      </c>
      <c r="C190" s="96" t="str">
        <f>IF('Background Controls'!$B$62=0,"-",'Background Controls'!$B$62)</f>
        <v>AKGD eGRID subregion</v>
      </c>
      <c r="D190" s="96" t="str">
        <f>IF('Background Controls'!$B$63=0,"-",'Background Controls'!$B$63)</f>
        <v>-</v>
      </c>
      <c r="E190" s="96" t="str">
        <f>IF('Background Controls'!$B$64=0,"-",'Background Controls'!$B$64)</f>
        <v>-</v>
      </c>
      <c r="F190" s="96" t="str">
        <f>IF('Background Controls'!$B$65=0,"-",'Background Controls'!$B$65)</f>
        <v>-</v>
      </c>
      <c r="G190" s="96" t="str">
        <f>IF('Background Controls'!$B$66=0,"-",'Background Controls'!$B$66)</f>
        <v>-</v>
      </c>
      <c r="H190" s="96" t="str">
        <f>IF('Background Controls'!$B$67=0,"-",'Background Controls'!$B$67)</f>
        <v>-</v>
      </c>
      <c r="I190" s="868" t="s">
        <v>263</v>
      </c>
      <c r="J190" s="118"/>
    </row>
    <row r="191" spans="1:10">
      <c r="A191" s="284" t="s">
        <v>101</v>
      </c>
      <c r="B191" s="99" t="str">
        <f>'Background Controls'!I5</f>
        <v>Residential</v>
      </c>
      <c r="C191" s="559" t="str">
        <f>IFERROR(C141*VLOOKUP(C$165, elec_control_factors,3, FALSE)*kWh_MWh*lb_mt*CH4_CO2e,"-")</f>
        <v>-</v>
      </c>
      <c r="D191" s="559" t="str">
        <f>IFERROR(D141*VLOOKUP($C$165, elec_control_factors,3, FALSE)*kWh_MWh*lb_mt*CH4_CO2e,"-")</f>
        <v>-</v>
      </c>
      <c r="E191" s="559" t="str">
        <f t="shared" ref="D191:H200" si="33">IFERROR(E141*VLOOKUP($C$165, elec_control_factors,3, FALSE)*kWh_MWh*lb_mt*CH4_CO2e,"-")</f>
        <v>-</v>
      </c>
      <c r="F191" s="559" t="str">
        <f t="shared" si="33"/>
        <v>-</v>
      </c>
      <c r="G191" s="559" t="str">
        <f t="shared" si="33"/>
        <v>-</v>
      </c>
      <c r="H191" s="559" t="str">
        <f t="shared" si="33"/>
        <v>-</v>
      </c>
      <c r="I191" s="336">
        <f t="shared" ref="I191:I210" si="34">SUM(C191:H191)</f>
        <v>0</v>
      </c>
    </row>
    <row r="192" spans="1:10">
      <c r="A192" s="265"/>
      <c r="B192" s="99" t="str">
        <f>'Background Controls'!I6</f>
        <v>Commercial/Institutional</v>
      </c>
      <c r="C192" s="559" t="str">
        <f t="shared" ref="C192:C200" si="35">IFERROR(C142*VLOOKUP(C$165, elec_control_factors,3, FALSE)*kWh_MWh*lb_mt*CH4_CO2e,"-")</f>
        <v>-</v>
      </c>
      <c r="D192" s="559" t="str">
        <f t="shared" si="33"/>
        <v>-</v>
      </c>
      <c r="E192" s="559" t="str">
        <f t="shared" si="33"/>
        <v>-</v>
      </c>
      <c r="F192" s="559" t="str">
        <f t="shared" si="33"/>
        <v>-</v>
      </c>
      <c r="G192" s="559" t="str">
        <f>IFERROR(G142*VLOOKUP($C$165, elec_control_factors,3, FALSE)*kWh_MWh*lb_mt*CH4_CO2e,"-")</f>
        <v>-</v>
      </c>
      <c r="H192" s="559" t="str">
        <f t="shared" si="33"/>
        <v>-</v>
      </c>
      <c r="I192" s="336">
        <f t="shared" si="34"/>
        <v>0</v>
      </c>
    </row>
    <row r="193" spans="1:9">
      <c r="A193" s="265"/>
      <c r="B193" s="99" t="str">
        <f>'Background Controls'!I7</f>
        <v>Industrial</v>
      </c>
      <c r="C193" s="559" t="str">
        <f t="shared" si="35"/>
        <v>-</v>
      </c>
      <c r="D193" s="559" t="str">
        <f t="shared" si="33"/>
        <v>-</v>
      </c>
      <c r="E193" s="559" t="str">
        <f>IFERROR(E143*VLOOKUP($C$165, elec_control_factors,3, FALSE)*kWh_MWh*lb_mt*CH4_CO2e,"-")</f>
        <v>-</v>
      </c>
      <c r="F193" s="559" t="str">
        <f t="shared" si="33"/>
        <v>-</v>
      </c>
      <c r="G193" s="559" t="str">
        <f t="shared" si="33"/>
        <v>-</v>
      </c>
      <c r="H193" s="559" t="str">
        <f>IFERROR(H143*VLOOKUP($C$165, elec_control_factors,3, FALSE)*kWh_MWh*lb_mt*CH4_CO2e,"-")</f>
        <v>-</v>
      </c>
      <c r="I193" s="336">
        <f t="shared" si="34"/>
        <v>0</v>
      </c>
    </row>
    <row r="194" spans="1:9">
      <c r="A194" s="265"/>
      <c r="B194" s="99" t="str">
        <f>'Background Controls'!I8</f>
        <v>Energy Generation</v>
      </c>
      <c r="C194" s="559" t="str">
        <f t="shared" si="35"/>
        <v>-</v>
      </c>
      <c r="D194" s="559" t="str">
        <f t="shared" si="33"/>
        <v>-</v>
      </c>
      <c r="E194" s="559" t="str">
        <f t="shared" si="33"/>
        <v>-</v>
      </c>
      <c r="F194" s="559" t="str">
        <f t="shared" si="33"/>
        <v>-</v>
      </c>
      <c r="G194" s="559" t="str">
        <f t="shared" si="33"/>
        <v>-</v>
      </c>
      <c r="H194" s="559" t="str">
        <f t="shared" si="33"/>
        <v>-</v>
      </c>
      <c r="I194" s="336">
        <f t="shared" si="34"/>
        <v>0</v>
      </c>
    </row>
    <row r="195" spans="1:9" hidden="1">
      <c r="A195" s="265"/>
      <c r="B195" s="119">
        <f>'Background Controls'!I9</f>
        <v>0</v>
      </c>
      <c r="C195" s="559" t="str">
        <f t="shared" si="35"/>
        <v>-</v>
      </c>
      <c r="D195" s="559" t="str">
        <f t="shared" si="33"/>
        <v>-</v>
      </c>
      <c r="E195" s="559" t="str">
        <f t="shared" si="33"/>
        <v>-</v>
      </c>
      <c r="F195" s="559" t="str">
        <f t="shared" si="33"/>
        <v>-</v>
      </c>
      <c r="G195" s="559" t="str">
        <f t="shared" si="33"/>
        <v>-</v>
      </c>
      <c r="H195" s="559" t="str">
        <f t="shared" si="33"/>
        <v>-</v>
      </c>
      <c r="I195" s="336">
        <f t="shared" si="34"/>
        <v>0</v>
      </c>
    </row>
    <row r="196" spans="1:9" hidden="1">
      <c r="A196" s="265"/>
      <c r="B196" s="119">
        <f>'Background Controls'!I10</f>
        <v>0</v>
      </c>
      <c r="C196" s="559" t="str">
        <f t="shared" si="35"/>
        <v>-</v>
      </c>
      <c r="D196" s="559" t="str">
        <f t="shared" si="33"/>
        <v>-</v>
      </c>
      <c r="E196" s="559" t="str">
        <f t="shared" si="33"/>
        <v>-</v>
      </c>
      <c r="F196" s="559" t="str">
        <f t="shared" si="33"/>
        <v>-</v>
      </c>
      <c r="G196" s="559" t="str">
        <f t="shared" si="33"/>
        <v>-</v>
      </c>
      <c r="H196" s="559" t="str">
        <f t="shared" si="33"/>
        <v>-</v>
      </c>
      <c r="I196" s="336">
        <f t="shared" si="34"/>
        <v>0</v>
      </c>
    </row>
    <row r="197" spans="1:9" hidden="1">
      <c r="A197" s="265"/>
      <c r="B197" s="119">
        <f>'Background Controls'!I11</f>
        <v>0</v>
      </c>
      <c r="C197" s="559" t="str">
        <f t="shared" si="35"/>
        <v>-</v>
      </c>
      <c r="D197" s="559" t="str">
        <f t="shared" si="33"/>
        <v>-</v>
      </c>
      <c r="E197" s="559" t="str">
        <f t="shared" si="33"/>
        <v>-</v>
      </c>
      <c r="F197" s="559" t="str">
        <f t="shared" si="33"/>
        <v>-</v>
      </c>
      <c r="G197" s="559" t="str">
        <f t="shared" si="33"/>
        <v>-</v>
      </c>
      <c r="H197" s="559" t="str">
        <f t="shared" si="33"/>
        <v>-</v>
      </c>
      <c r="I197" s="336">
        <f t="shared" si="34"/>
        <v>0</v>
      </c>
    </row>
    <row r="198" spans="1:9" hidden="1">
      <c r="A198" s="265"/>
      <c r="B198" s="119">
        <f>'Background Controls'!I12</f>
        <v>0</v>
      </c>
      <c r="C198" s="559" t="str">
        <f t="shared" si="35"/>
        <v>-</v>
      </c>
      <c r="D198" s="559" t="str">
        <f t="shared" si="33"/>
        <v>-</v>
      </c>
      <c r="E198" s="559" t="str">
        <f t="shared" si="33"/>
        <v>-</v>
      </c>
      <c r="F198" s="559" t="str">
        <f t="shared" si="33"/>
        <v>-</v>
      </c>
      <c r="G198" s="559" t="str">
        <f t="shared" si="33"/>
        <v>-</v>
      </c>
      <c r="H198" s="559" t="str">
        <f t="shared" si="33"/>
        <v>-</v>
      </c>
      <c r="I198" s="336">
        <f t="shared" si="34"/>
        <v>0</v>
      </c>
    </row>
    <row r="199" spans="1:9" hidden="1">
      <c r="A199" s="265"/>
      <c r="B199" s="119">
        <f>'Background Controls'!I13</f>
        <v>0</v>
      </c>
      <c r="C199" s="559" t="str">
        <f t="shared" si="35"/>
        <v>-</v>
      </c>
      <c r="D199" s="559" t="str">
        <f t="shared" si="33"/>
        <v>-</v>
      </c>
      <c r="E199" s="559" t="str">
        <f t="shared" si="33"/>
        <v>-</v>
      </c>
      <c r="F199" s="559" t="str">
        <f t="shared" si="33"/>
        <v>-</v>
      </c>
      <c r="G199" s="559" t="str">
        <f t="shared" si="33"/>
        <v>-</v>
      </c>
      <c r="H199" s="559" t="str">
        <f t="shared" si="33"/>
        <v>-</v>
      </c>
      <c r="I199" s="336">
        <f t="shared" si="34"/>
        <v>0</v>
      </c>
    </row>
    <row r="200" spans="1:9" hidden="1">
      <c r="A200" s="265"/>
      <c r="B200" s="119">
        <f>'Background Controls'!I14</f>
        <v>0</v>
      </c>
      <c r="C200" s="559" t="str">
        <f t="shared" si="35"/>
        <v>-</v>
      </c>
      <c r="D200" s="559" t="str">
        <f t="shared" si="33"/>
        <v>-</v>
      </c>
      <c r="E200" s="559" t="str">
        <f t="shared" si="33"/>
        <v>-</v>
      </c>
      <c r="F200" s="559" t="str">
        <f t="shared" si="33"/>
        <v>-</v>
      </c>
      <c r="G200" s="559" t="str">
        <f t="shared" si="33"/>
        <v>-</v>
      </c>
      <c r="H200" s="559" t="str">
        <f t="shared" si="33"/>
        <v>-</v>
      </c>
      <c r="I200" s="336">
        <f t="shared" si="34"/>
        <v>0</v>
      </c>
    </row>
    <row r="201" spans="1:9" hidden="1">
      <c r="A201" s="265"/>
      <c r="B201" s="119">
        <f>'Background Controls'!I15</f>
        <v>0</v>
      </c>
      <c r="C201" s="559" t="str">
        <f t="shared" ref="C201:C210" si="36">IFERROR(C151*VLOOKUP(C$165, elec_control_factors,3, FALSE)*kWh_MWh*lb_mt*CH4_CO2e,"-")</f>
        <v>-</v>
      </c>
      <c r="D201" s="559" t="str">
        <f t="shared" ref="D201:H210" si="37">IFERROR(D151*VLOOKUP($C$165, elec_control_factors,3, FALSE)*kWh_MWh*lb_mt*CH4_CO2e,"-")</f>
        <v>-</v>
      </c>
      <c r="E201" s="559" t="str">
        <f t="shared" si="37"/>
        <v>-</v>
      </c>
      <c r="F201" s="559" t="str">
        <f t="shared" si="37"/>
        <v>-</v>
      </c>
      <c r="G201" s="559" t="str">
        <f t="shared" si="37"/>
        <v>-</v>
      </c>
      <c r="H201" s="559" t="str">
        <f t="shared" si="37"/>
        <v>-</v>
      </c>
      <c r="I201" s="336">
        <f t="shared" si="34"/>
        <v>0</v>
      </c>
    </row>
    <row r="202" spans="1:9" hidden="1">
      <c r="A202" s="265"/>
      <c r="B202" s="119">
        <f>'Background Controls'!I16</f>
        <v>0</v>
      </c>
      <c r="C202" s="559" t="str">
        <f t="shared" si="36"/>
        <v>-</v>
      </c>
      <c r="D202" s="559" t="str">
        <f t="shared" si="37"/>
        <v>-</v>
      </c>
      <c r="E202" s="559" t="str">
        <f t="shared" si="37"/>
        <v>-</v>
      </c>
      <c r="F202" s="559" t="str">
        <f t="shared" si="37"/>
        <v>-</v>
      </c>
      <c r="G202" s="559" t="str">
        <f t="shared" si="37"/>
        <v>-</v>
      </c>
      <c r="H202" s="559" t="str">
        <f t="shared" si="37"/>
        <v>-</v>
      </c>
      <c r="I202" s="336">
        <f t="shared" si="34"/>
        <v>0</v>
      </c>
    </row>
    <row r="203" spans="1:9" hidden="1">
      <c r="A203" s="265"/>
      <c r="B203" s="119">
        <f>'Background Controls'!I17</f>
        <v>0</v>
      </c>
      <c r="C203" s="559" t="str">
        <f t="shared" si="36"/>
        <v>-</v>
      </c>
      <c r="D203" s="559" t="str">
        <f t="shared" si="37"/>
        <v>-</v>
      </c>
      <c r="E203" s="559" t="str">
        <f t="shared" si="37"/>
        <v>-</v>
      </c>
      <c r="F203" s="559" t="str">
        <f t="shared" si="37"/>
        <v>-</v>
      </c>
      <c r="G203" s="559" t="str">
        <f t="shared" si="37"/>
        <v>-</v>
      </c>
      <c r="H203" s="559" t="str">
        <f t="shared" si="37"/>
        <v>-</v>
      </c>
      <c r="I203" s="336">
        <f t="shared" si="34"/>
        <v>0</v>
      </c>
    </row>
    <row r="204" spans="1:9" hidden="1">
      <c r="A204" s="265"/>
      <c r="B204" s="119">
        <f>'Background Controls'!I18</f>
        <v>0</v>
      </c>
      <c r="C204" s="559" t="str">
        <f t="shared" si="36"/>
        <v>-</v>
      </c>
      <c r="D204" s="559" t="str">
        <f t="shared" si="37"/>
        <v>-</v>
      </c>
      <c r="E204" s="559" t="str">
        <f t="shared" si="37"/>
        <v>-</v>
      </c>
      <c r="F204" s="559" t="str">
        <f t="shared" si="37"/>
        <v>-</v>
      </c>
      <c r="G204" s="559" t="str">
        <f t="shared" si="37"/>
        <v>-</v>
      </c>
      <c r="H204" s="559" t="str">
        <f t="shared" si="37"/>
        <v>-</v>
      </c>
      <c r="I204" s="336">
        <f t="shared" si="34"/>
        <v>0</v>
      </c>
    </row>
    <row r="205" spans="1:9" hidden="1">
      <c r="A205" s="265"/>
      <c r="B205" s="119">
        <f>'Background Controls'!I19</f>
        <v>0</v>
      </c>
      <c r="C205" s="559" t="str">
        <f t="shared" si="36"/>
        <v>-</v>
      </c>
      <c r="D205" s="559" t="str">
        <f t="shared" si="37"/>
        <v>-</v>
      </c>
      <c r="E205" s="559" t="str">
        <f t="shared" si="37"/>
        <v>-</v>
      </c>
      <c r="F205" s="559" t="str">
        <f t="shared" si="37"/>
        <v>-</v>
      </c>
      <c r="G205" s="559" t="str">
        <f t="shared" si="37"/>
        <v>-</v>
      </c>
      <c r="H205" s="559" t="str">
        <f t="shared" si="37"/>
        <v>-</v>
      </c>
      <c r="I205" s="336">
        <f t="shared" si="34"/>
        <v>0</v>
      </c>
    </row>
    <row r="206" spans="1:9" hidden="1">
      <c r="A206" s="265"/>
      <c r="B206" s="119">
        <f>'Background Controls'!I20</f>
        <v>0</v>
      </c>
      <c r="C206" s="559" t="str">
        <f t="shared" si="36"/>
        <v>-</v>
      </c>
      <c r="D206" s="559" t="str">
        <f t="shared" si="37"/>
        <v>-</v>
      </c>
      <c r="E206" s="559" t="str">
        <f t="shared" si="37"/>
        <v>-</v>
      </c>
      <c r="F206" s="559" t="str">
        <f t="shared" si="37"/>
        <v>-</v>
      </c>
      <c r="G206" s="559" t="str">
        <f t="shared" si="37"/>
        <v>-</v>
      </c>
      <c r="H206" s="559" t="str">
        <f t="shared" si="37"/>
        <v>-</v>
      </c>
      <c r="I206" s="336">
        <f t="shared" si="34"/>
        <v>0</v>
      </c>
    </row>
    <row r="207" spans="1:9" hidden="1">
      <c r="A207" s="265"/>
      <c r="B207" s="119">
        <f>'Background Controls'!I21</f>
        <v>0</v>
      </c>
      <c r="C207" s="559" t="str">
        <f t="shared" si="36"/>
        <v>-</v>
      </c>
      <c r="D207" s="559" t="str">
        <f t="shared" si="37"/>
        <v>-</v>
      </c>
      <c r="E207" s="559" t="str">
        <f t="shared" si="37"/>
        <v>-</v>
      </c>
      <c r="F207" s="559" t="str">
        <f t="shared" si="37"/>
        <v>-</v>
      </c>
      <c r="G207" s="559" t="str">
        <f t="shared" si="37"/>
        <v>-</v>
      </c>
      <c r="H207" s="559" t="str">
        <f t="shared" si="37"/>
        <v>-</v>
      </c>
      <c r="I207" s="336">
        <f t="shared" si="34"/>
        <v>0</v>
      </c>
    </row>
    <row r="208" spans="1:9" hidden="1">
      <c r="A208" s="265"/>
      <c r="B208" s="119">
        <f>'Background Controls'!I22</f>
        <v>0</v>
      </c>
      <c r="C208" s="559" t="str">
        <f t="shared" si="36"/>
        <v>-</v>
      </c>
      <c r="D208" s="559" t="str">
        <f t="shared" si="37"/>
        <v>-</v>
      </c>
      <c r="E208" s="559" t="str">
        <f t="shared" si="37"/>
        <v>-</v>
      </c>
      <c r="F208" s="559" t="str">
        <f t="shared" si="37"/>
        <v>-</v>
      </c>
      <c r="G208" s="559" t="str">
        <f t="shared" si="37"/>
        <v>-</v>
      </c>
      <c r="H208" s="559" t="str">
        <f t="shared" si="37"/>
        <v>-</v>
      </c>
      <c r="I208" s="336">
        <f t="shared" si="34"/>
        <v>0</v>
      </c>
    </row>
    <row r="209" spans="1:10" hidden="1">
      <c r="A209" s="265"/>
      <c r="B209" s="119">
        <f>'Background Controls'!I23</f>
        <v>0</v>
      </c>
      <c r="C209" s="559" t="str">
        <f t="shared" si="36"/>
        <v>-</v>
      </c>
      <c r="D209" s="559" t="str">
        <f t="shared" si="37"/>
        <v>-</v>
      </c>
      <c r="E209" s="559" t="str">
        <f t="shared" si="37"/>
        <v>-</v>
      </c>
      <c r="F209" s="559" t="str">
        <f t="shared" si="37"/>
        <v>-</v>
      </c>
      <c r="G209" s="559" t="str">
        <f t="shared" si="37"/>
        <v>-</v>
      </c>
      <c r="H209" s="559" t="str">
        <f t="shared" si="37"/>
        <v>-</v>
      </c>
      <c r="I209" s="336">
        <f t="shared" si="34"/>
        <v>0</v>
      </c>
    </row>
    <row r="210" spans="1:10" hidden="1">
      <c r="A210" s="265"/>
      <c r="B210" s="99">
        <f>'Background Controls'!I24</f>
        <v>0</v>
      </c>
      <c r="C210" s="559" t="str">
        <f t="shared" si="36"/>
        <v>-</v>
      </c>
      <c r="D210" s="559" t="str">
        <f t="shared" si="37"/>
        <v>-</v>
      </c>
      <c r="E210" s="559" t="str">
        <f t="shared" si="37"/>
        <v>-</v>
      </c>
      <c r="F210" s="559" t="str">
        <f t="shared" si="37"/>
        <v>-</v>
      </c>
      <c r="G210" s="559" t="str">
        <f t="shared" si="37"/>
        <v>-</v>
      </c>
      <c r="H210" s="559" t="str">
        <f t="shared" si="37"/>
        <v>-</v>
      </c>
      <c r="I210" s="336">
        <f t="shared" si="34"/>
        <v>0</v>
      </c>
    </row>
    <row r="211" spans="1:10">
      <c r="A211" s="265"/>
      <c r="B211" s="860" t="s">
        <v>253</v>
      </c>
      <c r="C211" s="560">
        <f t="shared" ref="C211:H211" si="38">SUM(C191:C210)</f>
        <v>0</v>
      </c>
      <c r="D211" s="560">
        <f t="shared" si="38"/>
        <v>0</v>
      </c>
      <c r="E211" s="560">
        <f t="shared" si="38"/>
        <v>0</v>
      </c>
      <c r="F211" s="560">
        <f t="shared" si="38"/>
        <v>0</v>
      </c>
      <c r="G211" s="560">
        <f t="shared" si="38"/>
        <v>0</v>
      </c>
      <c r="H211" s="560">
        <f t="shared" si="38"/>
        <v>0</v>
      </c>
      <c r="I211" s="863">
        <f>SUM(I191:I210)</f>
        <v>0</v>
      </c>
    </row>
    <row r="212" spans="1:10">
      <c r="A212" s="265"/>
      <c r="C212" s="51"/>
      <c r="D212" s="51"/>
      <c r="E212" s="51"/>
      <c r="F212" s="51"/>
      <c r="G212" s="51"/>
      <c r="H212" s="51"/>
      <c r="I212" s="51"/>
    </row>
    <row r="213" spans="1:10" ht="16.5">
      <c r="A213" s="268" t="s">
        <v>671</v>
      </c>
    </row>
    <row r="214" spans="1:10" ht="16.5">
      <c r="A214" s="286" t="s">
        <v>672</v>
      </c>
    </row>
    <row r="215" spans="1:10" ht="29">
      <c r="A215" s="271"/>
      <c r="B215" s="893" t="s">
        <v>152</v>
      </c>
      <c r="C215" s="96" t="str">
        <f>IF('Background Controls'!$B$62=0,"-",'Background Controls'!$B$62)</f>
        <v>AKGD eGRID subregion</v>
      </c>
      <c r="D215" s="96" t="str">
        <f>IF('Background Controls'!$B$63=0,"-",'Background Controls'!$B$63)</f>
        <v>-</v>
      </c>
      <c r="E215" s="96" t="str">
        <f>IF('Background Controls'!$B$64=0,"-",'Background Controls'!$B$64)</f>
        <v>-</v>
      </c>
      <c r="F215" s="96" t="str">
        <f>IF('Background Controls'!$B$65=0,"-",'Background Controls'!$B$65)</f>
        <v>-</v>
      </c>
      <c r="G215" s="96" t="str">
        <f>IF('Background Controls'!$B$66=0,"-",'Background Controls'!$B$66)</f>
        <v>-</v>
      </c>
      <c r="H215" s="96" t="str">
        <f>IF('Background Controls'!$B$67=0,"-",'Background Controls'!$B$67)</f>
        <v>-</v>
      </c>
      <c r="I215" s="893" t="s">
        <v>263</v>
      </c>
      <c r="J215" s="56"/>
    </row>
    <row r="216" spans="1:10">
      <c r="A216" s="284" t="s">
        <v>101</v>
      </c>
      <c r="B216" s="99" t="str">
        <f>'Background Controls'!I5</f>
        <v>Residential</v>
      </c>
      <c r="C216" s="559" t="str">
        <f t="shared" ref="C216:C225" si="39">IFERROR(C141*VLOOKUP(C$165, elec_control_factors,4, FALSE)*kWh_MWh*lb_mt*N2O_CO2e,"-")</f>
        <v>-</v>
      </c>
      <c r="D216" s="559" t="str">
        <f t="shared" ref="D216:H225" si="40">IFERROR(D141*VLOOKUP($C$165, elec_control_factors,4, FALSE)*kWh_MWh*lb_mt*N2O_CO2e,"-")</f>
        <v>-</v>
      </c>
      <c r="E216" s="559" t="str">
        <f t="shared" si="40"/>
        <v>-</v>
      </c>
      <c r="F216" s="559" t="str">
        <f t="shared" si="40"/>
        <v>-</v>
      </c>
      <c r="G216" s="559" t="str">
        <f>IFERROR(G141*VLOOKUP($C$165, elec_control_factors,4, FALSE)*kWh_MWh*lb_mt*N2O_CO2e,"-")</f>
        <v>-</v>
      </c>
      <c r="H216" s="559" t="str">
        <f t="shared" si="40"/>
        <v>-</v>
      </c>
      <c r="I216" s="336">
        <f t="shared" ref="I216:I235" si="41">SUM(C216:H216)</f>
        <v>0</v>
      </c>
    </row>
    <row r="217" spans="1:10">
      <c r="A217" s="265"/>
      <c r="B217" s="99" t="str">
        <f>'Background Controls'!I6</f>
        <v>Commercial/Institutional</v>
      </c>
      <c r="C217" s="559" t="str">
        <f t="shared" si="39"/>
        <v>-</v>
      </c>
      <c r="D217" s="559" t="str">
        <f t="shared" si="40"/>
        <v>-</v>
      </c>
      <c r="E217" s="559" t="str">
        <f t="shared" si="40"/>
        <v>-</v>
      </c>
      <c r="F217" s="559" t="str">
        <f t="shared" si="40"/>
        <v>-</v>
      </c>
      <c r="G217" s="559" t="str">
        <f t="shared" si="40"/>
        <v>-</v>
      </c>
      <c r="H217" s="559" t="str">
        <f t="shared" si="40"/>
        <v>-</v>
      </c>
      <c r="I217" s="336">
        <f t="shared" si="41"/>
        <v>0</v>
      </c>
    </row>
    <row r="218" spans="1:10">
      <c r="A218" s="265"/>
      <c r="B218" s="99" t="str">
        <f>'Background Controls'!I7</f>
        <v>Industrial</v>
      </c>
      <c r="C218" s="559" t="str">
        <f t="shared" si="39"/>
        <v>-</v>
      </c>
      <c r="D218" s="559" t="str">
        <f t="shared" si="40"/>
        <v>-</v>
      </c>
      <c r="E218" s="559" t="str">
        <f t="shared" si="40"/>
        <v>-</v>
      </c>
      <c r="F218" s="559" t="str">
        <f>IFERROR(F143*VLOOKUP($C$165, elec_control_factors,4, FALSE)*kWh_MWh*lb_mt*N2O_CO2e,"-")</f>
        <v>-</v>
      </c>
      <c r="G218" s="559" t="str">
        <f t="shared" si="40"/>
        <v>-</v>
      </c>
      <c r="H218" s="559" t="str">
        <f>IFERROR(H143*VLOOKUP($C$165, elec_control_factors,4, FALSE)*kWh_MWh*lb_mt*N2O_CO2e,"-")</f>
        <v>-</v>
      </c>
      <c r="I218" s="336">
        <f t="shared" si="41"/>
        <v>0</v>
      </c>
    </row>
    <row r="219" spans="1:10">
      <c r="A219" s="265"/>
      <c r="B219" s="99" t="str">
        <f>'Background Controls'!I8</f>
        <v>Energy Generation</v>
      </c>
      <c r="C219" s="559" t="str">
        <f t="shared" si="39"/>
        <v>-</v>
      </c>
      <c r="D219" s="559" t="str">
        <f t="shared" si="40"/>
        <v>-</v>
      </c>
      <c r="E219" s="559" t="str">
        <f t="shared" si="40"/>
        <v>-</v>
      </c>
      <c r="F219" s="559" t="str">
        <f t="shared" si="40"/>
        <v>-</v>
      </c>
      <c r="G219" s="559" t="str">
        <f t="shared" si="40"/>
        <v>-</v>
      </c>
      <c r="H219" s="559" t="str">
        <f t="shared" si="40"/>
        <v>-</v>
      </c>
      <c r="I219" s="336">
        <f t="shared" si="41"/>
        <v>0</v>
      </c>
    </row>
    <row r="220" spans="1:10" hidden="1">
      <c r="A220" s="265"/>
      <c r="B220" s="119">
        <f>'Background Controls'!I9</f>
        <v>0</v>
      </c>
      <c r="C220" s="559" t="str">
        <f t="shared" si="39"/>
        <v>-</v>
      </c>
      <c r="D220" s="559" t="str">
        <f t="shared" si="40"/>
        <v>-</v>
      </c>
      <c r="E220" s="559" t="str">
        <f t="shared" si="40"/>
        <v>-</v>
      </c>
      <c r="F220" s="559" t="str">
        <f t="shared" si="40"/>
        <v>-</v>
      </c>
      <c r="G220" s="559" t="str">
        <f t="shared" si="40"/>
        <v>-</v>
      </c>
      <c r="H220" s="559" t="str">
        <f t="shared" si="40"/>
        <v>-</v>
      </c>
      <c r="I220" s="336">
        <f t="shared" si="41"/>
        <v>0</v>
      </c>
    </row>
    <row r="221" spans="1:10" hidden="1">
      <c r="A221" s="265"/>
      <c r="B221" s="119">
        <f>'Background Controls'!I10</f>
        <v>0</v>
      </c>
      <c r="C221" s="559" t="str">
        <f t="shared" si="39"/>
        <v>-</v>
      </c>
      <c r="D221" s="559" t="str">
        <f t="shared" si="40"/>
        <v>-</v>
      </c>
      <c r="E221" s="559" t="str">
        <f t="shared" si="40"/>
        <v>-</v>
      </c>
      <c r="F221" s="559" t="str">
        <f t="shared" si="40"/>
        <v>-</v>
      </c>
      <c r="G221" s="559" t="str">
        <f t="shared" si="40"/>
        <v>-</v>
      </c>
      <c r="H221" s="559" t="str">
        <f t="shared" si="40"/>
        <v>-</v>
      </c>
      <c r="I221" s="336">
        <f t="shared" si="41"/>
        <v>0</v>
      </c>
    </row>
    <row r="222" spans="1:10" hidden="1">
      <c r="A222" s="265"/>
      <c r="B222" s="119">
        <f>'Background Controls'!I11</f>
        <v>0</v>
      </c>
      <c r="C222" s="559" t="str">
        <f t="shared" si="39"/>
        <v>-</v>
      </c>
      <c r="D222" s="559" t="str">
        <f t="shared" si="40"/>
        <v>-</v>
      </c>
      <c r="E222" s="559" t="str">
        <f t="shared" si="40"/>
        <v>-</v>
      </c>
      <c r="F222" s="559" t="str">
        <f t="shared" si="40"/>
        <v>-</v>
      </c>
      <c r="G222" s="559" t="str">
        <f t="shared" si="40"/>
        <v>-</v>
      </c>
      <c r="H222" s="559" t="str">
        <f t="shared" si="40"/>
        <v>-</v>
      </c>
      <c r="I222" s="336">
        <f t="shared" si="41"/>
        <v>0</v>
      </c>
    </row>
    <row r="223" spans="1:10" hidden="1">
      <c r="A223" s="265"/>
      <c r="B223" s="119">
        <f>'Background Controls'!I12</f>
        <v>0</v>
      </c>
      <c r="C223" s="559" t="str">
        <f t="shared" si="39"/>
        <v>-</v>
      </c>
      <c r="D223" s="559" t="str">
        <f t="shared" si="40"/>
        <v>-</v>
      </c>
      <c r="E223" s="559" t="str">
        <f t="shared" si="40"/>
        <v>-</v>
      </c>
      <c r="F223" s="559" t="str">
        <f t="shared" si="40"/>
        <v>-</v>
      </c>
      <c r="G223" s="559" t="str">
        <f t="shared" si="40"/>
        <v>-</v>
      </c>
      <c r="H223" s="559" t="str">
        <f t="shared" si="40"/>
        <v>-</v>
      </c>
      <c r="I223" s="336">
        <f t="shared" si="41"/>
        <v>0</v>
      </c>
    </row>
    <row r="224" spans="1:10" hidden="1">
      <c r="A224" s="265"/>
      <c r="B224" s="119">
        <f>'Background Controls'!I13</f>
        <v>0</v>
      </c>
      <c r="C224" s="559" t="str">
        <f t="shared" si="39"/>
        <v>-</v>
      </c>
      <c r="D224" s="559" t="str">
        <f t="shared" si="40"/>
        <v>-</v>
      </c>
      <c r="E224" s="559" t="str">
        <f t="shared" si="40"/>
        <v>-</v>
      </c>
      <c r="F224" s="559" t="str">
        <f t="shared" si="40"/>
        <v>-</v>
      </c>
      <c r="G224" s="559" t="str">
        <f t="shared" si="40"/>
        <v>-</v>
      </c>
      <c r="H224" s="559" t="str">
        <f t="shared" si="40"/>
        <v>-</v>
      </c>
      <c r="I224" s="336">
        <f t="shared" si="41"/>
        <v>0</v>
      </c>
    </row>
    <row r="225" spans="1:13" hidden="1">
      <c r="A225" s="265"/>
      <c r="B225" s="119">
        <f>'Background Controls'!I14</f>
        <v>0</v>
      </c>
      <c r="C225" s="559" t="str">
        <f t="shared" si="39"/>
        <v>-</v>
      </c>
      <c r="D225" s="559" t="str">
        <f t="shared" si="40"/>
        <v>-</v>
      </c>
      <c r="E225" s="559" t="str">
        <f t="shared" si="40"/>
        <v>-</v>
      </c>
      <c r="F225" s="559" t="str">
        <f t="shared" si="40"/>
        <v>-</v>
      </c>
      <c r="G225" s="559" t="str">
        <f t="shared" si="40"/>
        <v>-</v>
      </c>
      <c r="H225" s="559" t="str">
        <f t="shared" si="40"/>
        <v>-</v>
      </c>
      <c r="I225" s="336">
        <f t="shared" si="41"/>
        <v>0</v>
      </c>
    </row>
    <row r="226" spans="1:13" hidden="1">
      <c r="A226" s="265"/>
      <c r="B226" s="119">
        <f>'Background Controls'!I15</f>
        <v>0</v>
      </c>
      <c r="C226" s="559" t="str">
        <f t="shared" ref="C226:C235" si="42">IFERROR(C151*VLOOKUP(C$165, elec_control_factors,4, FALSE)*kWh_MWh*lb_mt*N2O_CO2e,"-")</f>
        <v>-</v>
      </c>
      <c r="D226" s="559" t="str">
        <f t="shared" ref="D226:H235" si="43">IFERROR(D151*VLOOKUP($C$165, elec_control_factors,4, FALSE)*kWh_MWh*lb_mt*N2O_CO2e,"-")</f>
        <v>-</v>
      </c>
      <c r="E226" s="559" t="str">
        <f t="shared" si="43"/>
        <v>-</v>
      </c>
      <c r="F226" s="559" t="str">
        <f t="shared" si="43"/>
        <v>-</v>
      </c>
      <c r="G226" s="559" t="str">
        <f t="shared" si="43"/>
        <v>-</v>
      </c>
      <c r="H226" s="559" t="str">
        <f t="shared" si="43"/>
        <v>-</v>
      </c>
      <c r="I226" s="336">
        <f t="shared" si="41"/>
        <v>0</v>
      </c>
    </row>
    <row r="227" spans="1:13" hidden="1">
      <c r="A227" s="265"/>
      <c r="B227" s="119">
        <f>'Background Controls'!I16</f>
        <v>0</v>
      </c>
      <c r="C227" s="559" t="str">
        <f t="shared" si="42"/>
        <v>-</v>
      </c>
      <c r="D227" s="559" t="str">
        <f t="shared" si="43"/>
        <v>-</v>
      </c>
      <c r="E227" s="559" t="str">
        <f t="shared" si="43"/>
        <v>-</v>
      </c>
      <c r="F227" s="559" t="str">
        <f t="shared" si="43"/>
        <v>-</v>
      </c>
      <c r="G227" s="559" t="str">
        <f t="shared" si="43"/>
        <v>-</v>
      </c>
      <c r="H227" s="559" t="str">
        <f t="shared" si="43"/>
        <v>-</v>
      </c>
      <c r="I227" s="336">
        <f t="shared" si="41"/>
        <v>0</v>
      </c>
    </row>
    <row r="228" spans="1:13" hidden="1">
      <c r="A228" s="265"/>
      <c r="B228" s="119">
        <f>'Background Controls'!I17</f>
        <v>0</v>
      </c>
      <c r="C228" s="559" t="str">
        <f t="shared" si="42"/>
        <v>-</v>
      </c>
      <c r="D228" s="559" t="str">
        <f t="shared" si="43"/>
        <v>-</v>
      </c>
      <c r="E228" s="559" t="str">
        <f t="shared" si="43"/>
        <v>-</v>
      </c>
      <c r="F228" s="559" t="str">
        <f t="shared" si="43"/>
        <v>-</v>
      </c>
      <c r="G228" s="559" t="str">
        <f t="shared" si="43"/>
        <v>-</v>
      </c>
      <c r="H228" s="559" t="str">
        <f t="shared" si="43"/>
        <v>-</v>
      </c>
      <c r="I228" s="336">
        <f t="shared" si="41"/>
        <v>0</v>
      </c>
    </row>
    <row r="229" spans="1:13" hidden="1">
      <c r="A229" s="265"/>
      <c r="B229" s="119">
        <f>'Background Controls'!I18</f>
        <v>0</v>
      </c>
      <c r="C229" s="559" t="str">
        <f t="shared" si="42"/>
        <v>-</v>
      </c>
      <c r="D229" s="559" t="str">
        <f t="shared" si="43"/>
        <v>-</v>
      </c>
      <c r="E229" s="559" t="str">
        <f t="shared" si="43"/>
        <v>-</v>
      </c>
      <c r="F229" s="559" t="str">
        <f t="shared" si="43"/>
        <v>-</v>
      </c>
      <c r="G229" s="559" t="str">
        <f t="shared" si="43"/>
        <v>-</v>
      </c>
      <c r="H229" s="559" t="str">
        <f t="shared" si="43"/>
        <v>-</v>
      </c>
      <c r="I229" s="336">
        <f t="shared" si="41"/>
        <v>0</v>
      </c>
    </row>
    <row r="230" spans="1:13" hidden="1">
      <c r="A230" s="265"/>
      <c r="B230" s="119">
        <f>'Background Controls'!I19</f>
        <v>0</v>
      </c>
      <c r="C230" s="559" t="str">
        <f t="shared" si="42"/>
        <v>-</v>
      </c>
      <c r="D230" s="559" t="str">
        <f t="shared" si="43"/>
        <v>-</v>
      </c>
      <c r="E230" s="559" t="str">
        <f t="shared" si="43"/>
        <v>-</v>
      </c>
      <c r="F230" s="559" t="str">
        <f t="shared" si="43"/>
        <v>-</v>
      </c>
      <c r="G230" s="559" t="str">
        <f t="shared" si="43"/>
        <v>-</v>
      </c>
      <c r="H230" s="559" t="str">
        <f t="shared" si="43"/>
        <v>-</v>
      </c>
      <c r="I230" s="336">
        <f t="shared" si="41"/>
        <v>0</v>
      </c>
    </row>
    <row r="231" spans="1:13" hidden="1">
      <c r="A231" s="265"/>
      <c r="B231" s="119">
        <f>'Background Controls'!I20</f>
        <v>0</v>
      </c>
      <c r="C231" s="559" t="str">
        <f t="shared" si="42"/>
        <v>-</v>
      </c>
      <c r="D231" s="559" t="str">
        <f t="shared" si="43"/>
        <v>-</v>
      </c>
      <c r="E231" s="559" t="str">
        <f t="shared" si="43"/>
        <v>-</v>
      </c>
      <c r="F231" s="559" t="str">
        <f t="shared" si="43"/>
        <v>-</v>
      </c>
      <c r="G231" s="559" t="str">
        <f t="shared" si="43"/>
        <v>-</v>
      </c>
      <c r="H231" s="559" t="str">
        <f t="shared" si="43"/>
        <v>-</v>
      </c>
      <c r="I231" s="336">
        <f t="shared" si="41"/>
        <v>0</v>
      </c>
    </row>
    <row r="232" spans="1:13" hidden="1">
      <c r="A232" s="265"/>
      <c r="B232" s="119">
        <f>'Background Controls'!I21</f>
        <v>0</v>
      </c>
      <c r="C232" s="559" t="str">
        <f t="shared" si="42"/>
        <v>-</v>
      </c>
      <c r="D232" s="559" t="str">
        <f t="shared" si="43"/>
        <v>-</v>
      </c>
      <c r="E232" s="559" t="str">
        <f t="shared" si="43"/>
        <v>-</v>
      </c>
      <c r="F232" s="559" t="str">
        <f t="shared" si="43"/>
        <v>-</v>
      </c>
      <c r="G232" s="559" t="str">
        <f t="shared" si="43"/>
        <v>-</v>
      </c>
      <c r="H232" s="559" t="str">
        <f t="shared" si="43"/>
        <v>-</v>
      </c>
      <c r="I232" s="336">
        <f t="shared" si="41"/>
        <v>0</v>
      </c>
    </row>
    <row r="233" spans="1:13" hidden="1">
      <c r="A233" s="265"/>
      <c r="B233" s="119">
        <f>'Background Controls'!I22</f>
        <v>0</v>
      </c>
      <c r="C233" s="559" t="str">
        <f t="shared" si="42"/>
        <v>-</v>
      </c>
      <c r="D233" s="559" t="str">
        <f t="shared" si="43"/>
        <v>-</v>
      </c>
      <c r="E233" s="559" t="str">
        <f t="shared" si="43"/>
        <v>-</v>
      </c>
      <c r="F233" s="559" t="str">
        <f t="shared" si="43"/>
        <v>-</v>
      </c>
      <c r="G233" s="559" t="str">
        <f t="shared" si="43"/>
        <v>-</v>
      </c>
      <c r="H233" s="559" t="str">
        <f t="shared" si="43"/>
        <v>-</v>
      </c>
      <c r="I233" s="336">
        <f t="shared" si="41"/>
        <v>0</v>
      </c>
    </row>
    <row r="234" spans="1:13" hidden="1">
      <c r="A234" s="265"/>
      <c r="B234" s="119">
        <f>'Background Controls'!I23</f>
        <v>0</v>
      </c>
      <c r="C234" s="559" t="str">
        <f t="shared" si="42"/>
        <v>-</v>
      </c>
      <c r="D234" s="559" t="str">
        <f t="shared" si="43"/>
        <v>-</v>
      </c>
      <c r="E234" s="559" t="str">
        <f t="shared" si="43"/>
        <v>-</v>
      </c>
      <c r="F234" s="559" t="str">
        <f t="shared" si="43"/>
        <v>-</v>
      </c>
      <c r="G234" s="559" t="str">
        <f t="shared" si="43"/>
        <v>-</v>
      </c>
      <c r="H234" s="559" t="str">
        <f t="shared" si="43"/>
        <v>-</v>
      </c>
      <c r="I234" s="336">
        <f t="shared" si="41"/>
        <v>0</v>
      </c>
    </row>
    <row r="235" spans="1:13" hidden="1">
      <c r="A235" s="265"/>
      <c r="B235" s="119">
        <f>'Background Controls'!I24</f>
        <v>0</v>
      </c>
      <c r="C235" s="559" t="str">
        <f t="shared" si="42"/>
        <v>-</v>
      </c>
      <c r="D235" s="559" t="str">
        <f t="shared" si="43"/>
        <v>-</v>
      </c>
      <c r="E235" s="559" t="str">
        <f t="shared" si="43"/>
        <v>-</v>
      </c>
      <c r="F235" s="559" t="str">
        <f t="shared" si="43"/>
        <v>-</v>
      </c>
      <c r="G235" s="559" t="str">
        <f t="shared" si="43"/>
        <v>-</v>
      </c>
      <c r="H235" s="559" t="str">
        <f t="shared" si="43"/>
        <v>-</v>
      </c>
      <c r="I235" s="336">
        <f t="shared" si="41"/>
        <v>0</v>
      </c>
    </row>
    <row r="236" spans="1:13">
      <c r="A236" s="265"/>
      <c r="B236" s="892" t="s">
        <v>253</v>
      </c>
      <c r="C236" s="560">
        <f t="shared" ref="C236:H236" si="44">SUM(C216:C235)</f>
        <v>0</v>
      </c>
      <c r="D236" s="560">
        <f t="shared" si="44"/>
        <v>0</v>
      </c>
      <c r="E236" s="560">
        <f t="shared" si="44"/>
        <v>0</v>
      </c>
      <c r="F236" s="560">
        <f t="shared" si="44"/>
        <v>0</v>
      </c>
      <c r="G236" s="560">
        <f t="shared" si="44"/>
        <v>0</v>
      </c>
      <c r="H236" s="560">
        <f t="shared" si="44"/>
        <v>0</v>
      </c>
      <c r="I236" s="863">
        <f>SUM(I216:I235)</f>
        <v>0</v>
      </c>
      <c r="J236" s="353"/>
    </row>
    <row r="237" spans="1:13">
      <c r="A237" s="265"/>
    </row>
    <row r="238" spans="1:13">
      <c r="A238" s="265"/>
    </row>
    <row r="239" spans="1:13" ht="15" thickBot="1">
      <c r="A239" s="265"/>
    </row>
    <row r="240" spans="1:13" ht="65.150000000000006" customHeight="1" thickBot="1">
      <c r="A240" s="1037" t="s">
        <v>1</v>
      </c>
      <c r="B240" s="1038"/>
      <c r="C240" s="1038"/>
      <c r="D240" s="1038"/>
      <c r="E240" s="1038"/>
      <c r="F240" s="1038"/>
      <c r="G240" s="1038"/>
      <c r="H240" s="1038"/>
      <c r="I240" s="1038"/>
      <c r="J240" s="1038"/>
      <c r="K240" s="1038"/>
      <c r="L240" s="1038"/>
      <c r="M240" s="1039"/>
    </row>
  </sheetData>
  <mergeCells count="3">
    <mergeCell ref="B18:F18"/>
    <mergeCell ref="B62:C62"/>
    <mergeCell ref="A240:M240"/>
  </mergeCells>
  <hyperlinks>
    <hyperlink ref="A4:B4" location="elec_calcs_emissionsTable" display="Emissions by Department" xr:uid="{00000000-0004-0000-1700-000000000000}"/>
    <hyperlink ref="A6:B6" location="elec_calcs_elecTable" display="Electricity Use by Department" xr:uid="{00000000-0004-0000-1700-000001000000}"/>
    <hyperlink ref="A8:B8" location="elec_calcs_back1" display="CO2 emissions by utility" xr:uid="{00000000-0004-0000-1700-000002000000}"/>
    <hyperlink ref="A9:B9" location="elec_calcs_back2" display="CH4 emissions by utility" xr:uid="{00000000-0004-0000-1700-000003000000}"/>
    <hyperlink ref="A10:B10" location="elec_calcs_back3" display="N2O emissions by utility" xr:uid="{00000000-0004-0000-1700-000004000000}"/>
    <hyperlink ref="A11:C11" location="elec_calcs_back4" display="Activity data by department and utility" xr:uid="{00000000-0004-0000-1700-000005000000}"/>
    <hyperlink ref="A12:C12" location="elec_calcs_back5" display="CO2 emissions by department and utility" xr:uid="{00000000-0004-0000-1700-000006000000}"/>
    <hyperlink ref="A13:C13" location="elec_calcs_back6" display="CH4 emissions by department and utility" xr:uid="{00000000-0004-0000-1700-000007000000}"/>
    <hyperlink ref="A14:C14" location="elec_calcs_back7" display="N2O emissions by department and utility" xr:uid="{00000000-0004-0000-1700-000008000000}"/>
  </hyperlinks>
  <pageMargins left="0.7" right="0.7" top="0.75" bottom="0.75" header="0.3" footer="0.3"/>
  <pageSetup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theme="5"/>
  </sheetPr>
  <dimension ref="A1:AA188"/>
  <sheetViews>
    <sheetView topLeftCell="A108" workbookViewId="0"/>
  </sheetViews>
  <sheetFormatPr defaultColWidth="8.81640625" defaultRowHeight="14.5"/>
  <cols>
    <col min="1" max="1" width="9.1796875" style="265" customWidth="1"/>
    <col min="2" max="2" width="35.54296875" customWidth="1"/>
    <col min="3" max="3" width="16.81640625" customWidth="1"/>
    <col min="4" max="4" width="11.453125" customWidth="1"/>
    <col min="5" max="5" width="15.453125" bestFit="1" customWidth="1"/>
    <col min="6" max="6" width="11.81640625" customWidth="1"/>
    <col min="7" max="7" width="8.7265625" customWidth="1"/>
    <col min="8" max="8" width="7.7265625" customWidth="1"/>
    <col min="9" max="9" width="12.453125" customWidth="1"/>
    <col min="10" max="10" width="9.81640625" customWidth="1"/>
    <col min="11" max="11" width="11.26953125" customWidth="1"/>
    <col min="12" max="14" width="9.1796875" customWidth="1"/>
    <col min="15" max="15" width="9.1796875" style="308" customWidth="1"/>
    <col min="16" max="17" width="9.1796875" style="109" customWidth="1"/>
    <col min="18" max="16384" width="8.81640625" style="109"/>
  </cols>
  <sheetData>
    <row r="1" spans="1:14" ht="38.25" customHeight="1" thickBot="1">
      <c r="A1" s="488" t="s">
        <v>673</v>
      </c>
      <c r="B1" s="483"/>
      <c r="C1" s="483"/>
      <c r="D1" s="483"/>
      <c r="E1" s="483"/>
      <c r="F1" s="483"/>
      <c r="G1" s="483"/>
      <c r="H1" s="483"/>
      <c r="I1" s="483"/>
      <c r="J1" s="483"/>
      <c r="K1" s="483"/>
      <c r="L1" s="483"/>
      <c r="M1" s="483"/>
      <c r="N1" s="483"/>
    </row>
    <row r="2" spans="1:14">
      <c r="A2" s="471" t="s">
        <v>235</v>
      </c>
    </row>
    <row r="3" spans="1:14">
      <c r="A3" s="527" t="s">
        <v>674</v>
      </c>
      <c r="B3" s="178"/>
      <c r="C3" s="178"/>
    </row>
    <row r="4" spans="1:14">
      <c r="A4" s="527" t="s">
        <v>675</v>
      </c>
      <c r="B4" s="178"/>
      <c r="C4" s="178"/>
    </row>
    <row r="5" spans="1:14">
      <c r="A5" s="527" t="s">
        <v>676</v>
      </c>
      <c r="B5" s="390"/>
      <c r="C5" s="178"/>
    </row>
    <row r="6" spans="1:14">
      <c r="A6" s="527" t="s">
        <v>677</v>
      </c>
      <c r="B6" s="178"/>
      <c r="C6" s="178"/>
    </row>
    <row r="7" spans="1:14">
      <c r="A7" s="528" t="s">
        <v>242</v>
      </c>
      <c r="B7" s="178"/>
      <c r="C7" s="235"/>
    </row>
    <row r="8" spans="1:14">
      <c r="A8" s="298"/>
      <c r="B8" s="178"/>
      <c r="C8" s="178"/>
    </row>
    <row r="9" spans="1:14" ht="23.25" customHeight="1">
      <c r="A9" s="298"/>
      <c r="B9" s="234"/>
      <c r="C9" s="234"/>
    </row>
    <row r="10" spans="1:14" ht="15" thickBot="1">
      <c r="A10" s="299"/>
      <c r="B10" s="179"/>
      <c r="C10" s="179"/>
      <c r="D10" s="177"/>
      <c r="E10" s="177"/>
      <c r="F10" s="177"/>
      <c r="G10" s="177"/>
      <c r="H10" s="177"/>
      <c r="I10" s="177"/>
      <c r="J10" s="177"/>
      <c r="K10" s="177"/>
      <c r="L10" s="177"/>
      <c r="M10" s="177"/>
      <c r="N10" s="177"/>
    </row>
    <row r="11" spans="1:14" ht="15" thickTop="1"/>
    <row r="12" spans="1:14" ht="18.5">
      <c r="A12" s="300" t="s">
        <v>678</v>
      </c>
    </row>
    <row r="13" spans="1:14">
      <c r="A13" s="286" t="s">
        <v>679</v>
      </c>
      <c r="B13" s="205"/>
    </row>
    <row r="14" spans="1:14" ht="29">
      <c r="B14" s="840" t="s">
        <v>680</v>
      </c>
      <c r="C14" s="123" t="s">
        <v>681</v>
      </c>
    </row>
    <row r="15" spans="1:14">
      <c r="A15" s="284" t="s">
        <v>101</v>
      </c>
      <c r="B15" s="860" t="str">
        <f>'Background Controls'!I5</f>
        <v>Residential</v>
      </c>
      <c r="C15" s="841"/>
    </row>
    <row r="16" spans="1:14">
      <c r="B16" s="860" t="str">
        <f>'Background Controls'!I6</f>
        <v>Commercial/Institutional</v>
      </c>
      <c r="C16" s="841"/>
    </row>
    <row r="17" spans="2:3">
      <c r="B17" s="860" t="str">
        <f>'Background Controls'!I7</f>
        <v>Industrial</v>
      </c>
      <c r="C17" s="841"/>
    </row>
    <row r="18" spans="2:3">
      <c r="B18" s="860" t="str">
        <f>'Background Controls'!I8</f>
        <v>Energy Generation</v>
      </c>
      <c r="C18" s="841"/>
    </row>
    <row r="19" spans="2:3" hidden="1">
      <c r="B19" s="860">
        <f>'Background Controls'!I9</f>
        <v>0</v>
      </c>
      <c r="C19" s="841"/>
    </row>
    <row r="20" spans="2:3" hidden="1">
      <c r="B20" s="860">
        <f>'Background Controls'!I10</f>
        <v>0</v>
      </c>
      <c r="C20" s="841"/>
    </row>
    <row r="21" spans="2:3" hidden="1">
      <c r="B21" s="860">
        <f>'Background Controls'!I11</f>
        <v>0</v>
      </c>
      <c r="C21" s="841"/>
    </row>
    <row r="22" spans="2:3" hidden="1">
      <c r="B22" s="860">
        <f>'Background Controls'!I12</f>
        <v>0</v>
      </c>
      <c r="C22" s="841"/>
    </row>
    <row r="23" spans="2:3" hidden="1">
      <c r="B23" s="860">
        <f>'Background Controls'!I13</f>
        <v>0</v>
      </c>
      <c r="C23" s="841"/>
    </row>
    <row r="24" spans="2:3" hidden="1">
      <c r="B24" s="860">
        <f>'Background Controls'!I14</f>
        <v>0</v>
      </c>
      <c r="C24" s="841"/>
    </row>
    <row r="25" spans="2:3" hidden="1">
      <c r="B25" s="860">
        <f>'Background Controls'!I15</f>
        <v>0</v>
      </c>
      <c r="C25" s="841"/>
    </row>
    <row r="26" spans="2:3" hidden="1">
      <c r="B26" s="860">
        <f>'Background Controls'!I16</f>
        <v>0</v>
      </c>
      <c r="C26" s="841"/>
    </row>
    <row r="27" spans="2:3" hidden="1">
      <c r="B27" s="860">
        <f>'Background Controls'!I17</f>
        <v>0</v>
      </c>
      <c r="C27" s="841"/>
    </row>
    <row r="28" spans="2:3" hidden="1">
      <c r="B28" s="860">
        <f>'Background Controls'!I18</f>
        <v>0</v>
      </c>
      <c r="C28" s="841"/>
    </row>
    <row r="29" spans="2:3" hidden="1">
      <c r="B29" s="860">
        <f>'Background Controls'!I19</f>
        <v>0</v>
      </c>
      <c r="C29" s="841"/>
    </row>
    <row r="30" spans="2:3" hidden="1">
      <c r="B30" s="860">
        <f>'Background Controls'!I20</f>
        <v>0</v>
      </c>
      <c r="C30" s="841"/>
    </row>
    <row r="31" spans="2:3" hidden="1">
      <c r="B31" s="860">
        <f>'Background Controls'!I21</f>
        <v>0</v>
      </c>
      <c r="C31" s="841"/>
    </row>
    <row r="32" spans="2:3" hidden="1">
      <c r="B32" s="860">
        <f>'Background Controls'!I22</f>
        <v>0</v>
      </c>
      <c r="C32" s="841"/>
    </row>
    <row r="33" spans="1:13" hidden="1">
      <c r="B33" s="860">
        <f>'Background Controls'!I23</f>
        <v>0</v>
      </c>
      <c r="C33" s="841"/>
    </row>
    <row r="34" spans="1:13" hidden="1">
      <c r="B34" s="860">
        <f>'Background Controls'!I24</f>
        <v>0</v>
      </c>
      <c r="C34" s="841"/>
    </row>
    <row r="36" spans="1:13" ht="18.5">
      <c r="A36" s="283" t="s">
        <v>682</v>
      </c>
    </row>
    <row r="37" spans="1:13">
      <c r="A37" s="510" t="s">
        <v>683</v>
      </c>
      <c r="B37" s="205"/>
      <c r="C37" s="71"/>
      <c r="D37" s="71"/>
      <c r="E37" s="71"/>
      <c r="F37" s="71"/>
      <c r="G37" s="71"/>
      <c r="H37" s="71"/>
      <c r="I37" s="71"/>
      <c r="J37" s="71"/>
      <c r="K37" s="71"/>
      <c r="L37" s="71"/>
      <c r="M37" s="71"/>
    </row>
    <row r="38" spans="1:13">
      <c r="A38" s="1112" t="s">
        <v>684</v>
      </c>
      <c r="B38" s="1113"/>
      <c r="C38" s="1113"/>
      <c r="D38" s="1113"/>
      <c r="E38" s="1113"/>
      <c r="F38" s="1113"/>
      <c r="G38" s="1113"/>
      <c r="H38" s="1113"/>
      <c r="I38" s="1113"/>
      <c r="J38" s="1113"/>
      <c r="K38" s="1113"/>
      <c r="L38" s="1113"/>
      <c r="M38" s="1113"/>
    </row>
    <row r="39" spans="1:13">
      <c r="A39" s="1112"/>
      <c r="B39" s="1113"/>
      <c r="C39" s="1113"/>
      <c r="D39" s="1113"/>
      <c r="E39" s="1113"/>
      <c r="F39" s="1113"/>
      <c r="G39" s="1113"/>
      <c r="H39" s="1113"/>
      <c r="I39" s="1113"/>
      <c r="J39" s="1113"/>
      <c r="K39" s="1113"/>
      <c r="L39" s="1113"/>
      <c r="M39" s="1113"/>
    </row>
    <row r="40" spans="1:13" ht="29">
      <c r="B40" s="899" t="s">
        <v>685</v>
      </c>
      <c r="C40" s="887" t="s">
        <v>686</v>
      </c>
      <c r="D40" s="887" t="s">
        <v>687</v>
      </c>
    </row>
    <row r="41" spans="1:13">
      <c r="B41" s="919" t="s">
        <v>688</v>
      </c>
      <c r="C41" s="900"/>
      <c r="D41" s="920">
        <v>0.76400000000000001</v>
      </c>
    </row>
    <row r="42" spans="1:13">
      <c r="B42" s="860" t="s">
        <v>689</v>
      </c>
      <c r="C42" s="900"/>
      <c r="D42" s="920">
        <v>9.7000000000000003E-2</v>
      </c>
    </row>
    <row r="43" spans="1:13">
      <c r="B43" s="860" t="s">
        <v>352</v>
      </c>
      <c r="C43" s="900"/>
      <c r="D43" s="920">
        <v>2E-3</v>
      </c>
    </row>
    <row r="44" spans="1:13">
      <c r="B44" s="860" t="s">
        <v>690</v>
      </c>
      <c r="C44" s="900"/>
      <c r="D44" s="920">
        <v>0.05</v>
      </c>
    </row>
    <row r="45" spans="1:13">
      <c r="B45" s="860" t="s">
        <v>691</v>
      </c>
      <c r="C45" s="900"/>
      <c r="D45" s="920">
        <v>6.0000000000000001E-3</v>
      </c>
    </row>
    <row r="46" spans="1:13">
      <c r="B46" s="860" t="s">
        <v>692</v>
      </c>
      <c r="C46" s="900"/>
      <c r="D46" s="920">
        <v>2.8000000000000001E-2</v>
      </c>
    </row>
    <row r="47" spans="1:13">
      <c r="B47" s="860" t="s">
        <v>693</v>
      </c>
      <c r="C47" s="900"/>
      <c r="D47" s="920">
        <v>4.2999999999999997E-2</v>
      </c>
    </row>
    <row r="48" spans="1:13">
      <c r="B48" s="860" t="s">
        <v>219</v>
      </c>
      <c r="C48" s="900"/>
      <c r="D48" s="920">
        <f>1-SUM(D41:D47)</f>
        <v>9.9999999999998979E-3</v>
      </c>
    </row>
    <row r="49" spans="1:27">
      <c r="B49" s="921" t="s">
        <v>253</v>
      </c>
      <c r="C49" s="922">
        <f>SUM(C41:C48)</f>
        <v>0</v>
      </c>
      <c r="D49" s="903"/>
    </row>
    <row r="50" spans="1:27">
      <c r="B50" s="1"/>
      <c r="C50" s="210"/>
    </row>
    <row r="51" spans="1:27" customFormat="1" ht="30.75" customHeight="1">
      <c r="A51" s="1116" t="s">
        <v>694</v>
      </c>
      <c r="B51" s="1036"/>
      <c r="C51" s="1036"/>
      <c r="D51" s="1036"/>
      <c r="E51" s="1036"/>
      <c r="F51" s="1036"/>
      <c r="G51" s="1036"/>
      <c r="H51" s="1036"/>
      <c r="I51" s="1036"/>
      <c r="J51" s="1036"/>
      <c r="K51" s="1036"/>
      <c r="L51" s="1036"/>
      <c r="M51" s="1036"/>
      <c r="N51" s="1117"/>
      <c r="O51" s="308"/>
      <c r="P51" s="109"/>
      <c r="Q51" s="109"/>
      <c r="R51" s="109"/>
      <c r="S51" s="109"/>
      <c r="T51" s="109"/>
      <c r="U51" s="109"/>
      <c r="V51" s="109"/>
      <c r="W51" s="109"/>
      <c r="X51" s="109"/>
      <c r="Y51" s="109"/>
      <c r="Z51" s="109"/>
      <c r="AA51" s="109"/>
    </row>
    <row r="52" spans="1:27" customFormat="1">
      <c r="A52" s="286" t="s">
        <v>695</v>
      </c>
      <c r="B52" s="1"/>
      <c r="C52" s="210"/>
      <c r="O52" s="308"/>
      <c r="P52" s="109"/>
      <c r="Q52" s="109"/>
      <c r="R52" s="109"/>
      <c r="S52" s="109"/>
      <c r="T52" s="109"/>
      <c r="U52" s="109"/>
      <c r="V52" s="109"/>
      <c r="W52" s="109"/>
      <c r="X52" s="109"/>
      <c r="Y52" s="109"/>
      <c r="Z52" s="109"/>
      <c r="AA52" s="109"/>
    </row>
    <row r="53" spans="1:27" ht="29">
      <c r="B53" s="854" t="s">
        <v>696</v>
      </c>
      <c r="C53" s="923"/>
      <c r="D53" s="860">
        <v>12.6</v>
      </c>
      <c r="E53" s="1110"/>
      <c r="F53" s="1111"/>
      <c r="G53" s="1111"/>
      <c r="H53" s="1111"/>
      <c r="I53" s="1111"/>
      <c r="J53" s="1111"/>
      <c r="K53" s="1111"/>
      <c r="L53" s="1111"/>
      <c r="M53" s="1111"/>
    </row>
    <row r="54" spans="1:27">
      <c r="B54" s="1"/>
      <c r="C54" s="210"/>
    </row>
    <row r="55" spans="1:27">
      <c r="A55" s="1114" t="s">
        <v>697</v>
      </c>
      <c r="B55" s="1114"/>
      <c r="C55" s="1114"/>
      <c r="D55" s="1114"/>
      <c r="E55" s="1114"/>
      <c r="F55" s="1114"/>
      <c r="G55" s="1114"/>
      <c r="H55" s="1114"/>
      <c r="I55" s="1114"/>
      <c r="J55" s="1114"/>
      <c r="K55" s="1114"/>
      <c r="L55" s="1114"/>
      <c r="M55" s="1114"/>
    </row>
    <row r="56" spans="1:27">
      <c r="A56" s="1114"/>
      <c r="B56" s="1114"/>
      <c r="C56" s="1114"/>
      <c r="D56" s="1114"/>
      <c r="E56" s="1114"/>
      <c r="F56" s="1114"/>
      <c r="G56" s="1114"/>
      <c r="H56" s="1114"/>
      <c r="I56" s="1114"/>
      <c r="J56" s="1114"/>
      <c r="K56" s="1114"/>
      <c r="L56" s="1114"/>
      <c r="M56" s="1114"/>
    </row>
    <row r="57" spans="1:27" ht="27" customHeight="1">
      <c r="B57" s="924" t="s">
        <v>698</v>
      </c>
      <c r="C57" s="925"/>
      <c r="D57" s="860">
        <v>240</v>
      </c>
    </row>
    <row r="59" spans="1:27" ht="18.5">
      <c r="A59" s="283" t="s">
        <v>676</v>
      </c>
    </row>
    <row r="61" spans="1:27" ht="16.5">
      <c r="B61" s="1077" t="s">
        <v>699</v>
      </c>
      <c r="C61" s="1079"/>
    </row>
    <row r="62" spans="1:27" ht="16.5">
      <c r="B62" s="47"/>
      <c r="C62" s="224" t="s">
        <v>16</v>
      </c>
      <c r="D62" s="62"/>
    </row>
    <row r="63" spans="1:27" ht="15.75" customHeight="1">
      <c r="A63" s="284" t="s">
        <v>101</v>
      </c>
      <c r="B63" s="220" t="str">
        <f>'Background Controls'!I5</f>
        <v>Residential</v>
      </c>
      <c r="C63" s="339" t="e">
        <f>K164</f>
        <v>#DIV/0!</v>
      </c>
    </row>
    <row r="64" spans="1:27">
      <c r="B64" s="99" t="str">
        <f>'Background Controls'!I6</f>
        <v>Commercial/Institutional</v>
      </c>
      <c r="C64" s="339" t="e">
        <f t="shared" ref="C64:C82" si="0">K165</f>
        <v>#DIV/0!</v>
      </c>
    </row>
    <row r="65" spans="2:3">
      <c r="B65" s="99" t="str">
        <f>'Background Controls'!I7</f>
        <v>Industrial</v>
      </c>
      <c r="C65" s="339" t="e">
        <f t="shared" si="0"/>
        <v>#DIV/0!</v>
      </c>
    </row>
    <row r="66" spans="2:3">
      <c r="B66" s="99" t="str">
        <f>'Background Controls'!I8</f>
        <v>Energy Generation</v>
      </c>
      <c r="C66" s="339" t="e">
        <f t="shared" si="0"/>
        <v>#DIV/0!</v>
      </c>
    </row>
    <row r="67" spans="2:3" hidden="1">
      <c r="B67" s="99">
        <f>'Background Controls'!I9</f>
        <v>0</v>
      </c>
      <c r="C67" s="339" t="e">
        <f t="shared" si="0"/>
        <v>#DIV/0!</v>
      </c>
    </row>
    <row r="68" spans="2:3" hidden="1">
      <c r="B68" s="99">
        <f>'Background Controls'!I10</f>
        <v>0</v>
      </c>
      <c r="C68" s="339" t="e">
        <f t="shared" si="0"/>
        <v>#DIV/0!</v>
      </c>
    </row>
    <row r="69" spans="2:3" hidden="1">
      <c r="B69" s="99">
        <f>'Background Controls'!I11</f>
        <v>0</v>
      </c>
      <c r="C69" s="339" t="e">
        <f t="shared" si="0"/>
        <v>#DIV/0!</v>
      </c>
    </row>
    <row r="70" spans="2:3" hidden="1">
      <c r="B70" s="99">
        <f>'Background Controls'!I12</f>
        <v>0</v>
      </c>
      <c r="C70" s="339" t="e">
        <f t="shared" si="0"/>
        <v>#DIV/0!</v>
      </c>
    </row>
    <row r="71" spans="2:3" hidden="1">
      <c r="B71" s="99">
        <f>'Background Controls'!I13</f>
        <v>0</v>
      </c>
      <c r="C71" s="339" t="e">
        <f t="shared" si="0"/>
        <v>#DIV/0!</v>
      </c>
    </row>
    <row r="72" spans="2:3" hidden="1">
      <c r="B72" s="99">
        <f>'Background Controls'!I14</f>
        <v>0</v>
      </c>
      <c r="C72" s="339" t="e">
        <f t="shared" si="0"/>
        <v>#DIV/0!</v>
      </c>
    </row>
    <row r="73" spans="2:3" hidden="1">
      <c r="B73" s="99">
        <f>'Background Controls'!I15</f>
        <v>0</v>
      </c>
      <c r="C73" s="339" t="e">
        <f t="shared" si="0"/>
        <v>#DIV/0!</v>
      </c>
    </row>
    <row r="74" spans="2:3" hidden="1">
      <c r="B74" s="99">
        <f>'Background Controls'!I16</f>
        <v>0</v>
      </c>
      <c r="C74" s="339" t="e">
        <f t="shared" si="0"/>
        <v>#DIV/0!</v>
      </c>
    </row>
    <row r="75" spans="2:3" hidden="1">
      <c r="B75" s="99">
        <f>'Background Controls'!I17</f>
        <v>0</v>
      </c>
      <c r="C75" s="339" t="e">
        <f t="shared" si="0"/>
        <v>#DIV/0!</v>
      </c>
    </row>
    <row r="76" spans="2:3" hidden="1">
      <c r="B76" s="99">
        <f>'Background Controls'!I18</f>
        <v>0</v>
      </c>
      <c r="C76" s="339" t="e">
        <f t="shared" si="0"/>
        <v>#DIV/0!</v>
      </c>
    </row>
    <row r="77" spans="2:3" hidden="1">
      <c r="B77" s="99">
        <f>'Background Controls'!I19</f>
        <v>0</v>
      </c>
      <c r="C77" s="339" t="e">
        <f t="shared" si="0"/>
        <v>#DIV/0!</v>
      </c>
    </row>
    <row r="78" spans="2:3" hidden="1">
      <c r="B78" s="99">
        <f>'Background Controls'!I20</f>
        <v>0</v>
      </c>
      <c r="C78" s="339" t="e">
        <f t="shared" si="0"/>
        <v>#DIV/0!</v>
      </c>
    </row>
    <row r="79" spans="2:3" hidden="1">
      <c r="B79" s="99">
        <f>'Background Controls'!I21</f>
        <v>0</v>
      </c>
      <c r="C79" s="339" t="e">
        <f t="shared" si="0"/>
        <v>#DIV/0!</v>
      </c>
    </row>
    <row r="80" spans="2:3" hidden="1">
      <c r="B80" s="99">
        <f>'Background Controls'!I22</f>
        <v>0</v>
      </c>
      <c r="C80" s="339" t="e">
        <f t="shared" si="0"/>
        <v>#DIV/0!</v>
      </c>
    </row>
    <row r="81" spans="2:4" hidden="1">
      <c r="B81" s="99">
        <f>'Background Controls'!I23</f>
        <v>0</v>
      </c>
      <c r="C81" s="339" t="e">
        <f t="shared" si="0"/>
        <v>#DIV/0!</v>
      </c>
    </row>
    <row r="82" spans="2:4" hidden="1">
      <c r="B82" s="100">
        <f>'Background Controls'!I24</f>
        <v>0</v>
      </c>
      <c r="C82" s="339" t="e">
        <f t="shared" si="0"/>
        <v>#DIV/0!</v>
      </c>
    </row>
    <row r="83" spans="2:4">
      <c r="B83" s="860" t="s">
        <v>253</v>
      </c>
      <c r="C83" s="926" t="e">
        <f>SUM(C63:C82)</f>
        <v>#DIV/0!</v>
      </c>
      <c r="D83" s="52"/>
    </row>
    <row r="105" spans="1:15" ht="15" thickBot="1"/>
    <row r="106" spans="1:15" ht="18.5">
      <c r="A106" s="301" t="s">
        <v>242</v>
      </c>
      <c r="B106" s="73"/>
      <c r="C106" s="73"/>
      <c r="D106" s="73"/>
      <c r="E106" s="73"/>
      <c r="F106" s="73"/>
      <c r="G106" s="73"/>
      <c r="H106" s="73"/>
      <c r="I106" s="73"/>
      <c r="J106" s="73"/>
      <c r="K106" s="73"/>
      <c r="L106" s="73"/>
      <c r="M106" s="73"/>
      <c r="N106" s="73"/>
    </row>
    <row r="108" spans="1:15">
      <c r="A108" s="268" t="s">
        <v>700</v>
      </c>
    </row>
    <row r="109" spans="1:15">
      <c r="A109" s="286" t="s">
        <v>701</v>
      </c>
    </row>
    <row r="110" spans="1:15" s="376" customFormat="1" ht="29">
      <c r="A110" s="271"/>
      <c r="B110" s="919"/>
      <c r="C110" s="96" t="s">
        <v>688</v>
      </c>
      <c r="D110" s="96" t="s">
        <v>689</v>
      </c>
      <c r="E110" s="96" t="s">
        <v>352</v>
      </c>
      <c r="F110" s="96" t="s">
        <v>690</v>
      </c>
      <c r="G110" s="96" t="s">
        <v>691</v>
      </c>
      <c r="H110" s="96" t="s">
        <v>692</v>
      </c>
      <c r="I110" s="96" t="s">
        <v>702</v>
      </c>
      <c r="J110" s="103" t="s">
        <v>219</v>
      </c>
      <c r="K110" s="56"/>
      <c r="L110" s="56"/>
      <c r="M110" s="56"/>
      <c r="N110" s="56"/>
      <c r="O110" s="374"/>
    </row>
    <row r="111" spans="1:15">
      <c r="A111" s="284" t="s">
        <v>101</v>
      </c>
      <c r="B111" s="220" t="str">
        <f>'Background Controls'!I5</f>
        <v>Residential</v>
      </c>
      <c r="C111" s="206">
        <f>VLOOKUP(C$110,$B$41:$C$48, 2, FALSE)*VLOOKUP($B111, $B$15:$C$34, 2, FALSE)</f>
        <v>0</v>
      </c>
      <c r="D111" s="206">
        <f t="shared" ref="C111:J120" si="1">VLOOKUP(D$110,$B$41:$C$48, 2, FALSE)*VLOOKUP($B111, $B$15:$C$34, 2, FALSE)</f>
        <v>0</v>
      </c>
      <c r="E111" s="458">
        <f t="shared" si="1"/>
        <v>0</v>
      </c>
      <c r="F111" s="206">
        <f t="shared" si="1"/>
        <v>0</v>
      </c>
      <c r="G111" s="206">
        <f t="shared" si="1"/>
        <v>0</v>
      </c>
      <c r="H111" s="206">
        <f t="shared" si="1"/>
        <v>0</v>
      </c>
      <c r="I111" s="206">
        <f t="shared" si="1"/>
        <v>0</v>
      </c>
      <c r="J111" s="207">
        <f t="shared" si="1"/>
        <v>0</v>
      </c>
    </row>
    <row r="112" spans="1:15">
      <c r="B112" s="99" t="str">
        <f>'Background Controls'!I6</f>
        <v>Commercial/Institutional</v>
      </c>
      <c r="C112" s="206">
        <f t="shared" si="1"/>
        <v>0</v>
      </c>
      <c r="D112" s="206">
        <f t="shared" si="1"/>
        <v>0</v>
      </c>
      <c r="E112" s="458">
        <f t="shared" si="1"/>
        <v>0</v>
      </c>
      <c r="F112" s="206">
        <f t="shared" si="1"/>
        <v>0</v>
      </c>
      <c r="G112" s="206">
        <f t="shared" si="1"/>
        <v>0</v>
      </c>
      <c r="H112" s="206">
        <f t="shared" si="1"/>
        <v>0</v>
      </c>
      <c r="I112" s="206">
        <f t="shared" si="1"/>
        <v>0</v>
      </c>
      <c r="J112" s="207">
        <f t="shared" si="1"/>
        <v>0</v>
      </c>
    </row>
    <row r="113" spans="2:10">
      <c r="B113" s="99" t="str">
        <f>'Background Controls'!I7</f>
        <v>Industrial</v>
      </c>
      <c r="C113" s="206">
        <f t="shared" si="1"/>
        <v>0</v>
      </c>
      <c r="D113" s="206">
        <f t="shared" si="1"/>
        <v>0</v>
      </c>
      <c r="E113" s="458">
        <f t="shared" si="1"/>
        <v>0</v>
      </c>
      <c r="F113" s="206">
        <f t="shared" si="1"/>
        <v>0</v>
      </c>
      <c r="G113" s="206">
        <f t="shared" si="1"/>
        <v>0</v>
      </c>
      <c r="H113" s="206">
        <f t="shared" si="1"/>
        <v>0</v>
      </c>
      <c r="I113" s="206">
        <f t="shared" si="1"/>
        <v>0</v>
      </c>
      <c r="J113" s="207">
        <f t="shared" si="1"/>
        <v>0</v>
      </c>
    </row>
    <row r="114" spans="2:10">
      <c r="B114" s="99" t="str">
        <f>'Background Controls'!I8</f>
        <v>Energy Generation</v>
      </c>
      <c r="C114" s="206">
        <f t="shared" si="1"/>
        <v>0</v>
      </c>
      <c r="D114" s="206">
        <f t="shared" si="1"/>
        <v>0</v>
      </c>
      <c r="E114" s="458">
        <f t="shared" si="1"/>
        <v>0</v>
      </c>
      <c r="F114" s="206">
        <f t="shared" si="1"/>
        <v>0</v>
      </c>
      <c r="G114" s="206">
        <f t="shared" si="1"/>
        <v>0</v>
      </c>
      <c r="H114" s="206">
        <f t="shared" si="1"/>
        <v>0</v>
      </c>
      <c r="I114" s="206">
        <f t="shared" si="1"/>
        <v>0</v>
      </c>
      <c r="J114" s="207">
        <f t="shared" si="1"/>
        <v>0</v>
      </c>
    </row>
    <row r="115" spans="2:10" hidden="1">
      <c r="B115" s="99">
        <f>'Background Controls'!I9</f>
        <v>0</v>
      </c>
      <c r="C115" s="206">
        <f t="shared" si="1"/>
        <v>0</v>
      </c>
      <c r="D115" s="206">
        <f t="shared" si="1"/>
        <v>0</v>
      </c>
      <c r="E115" s="458">
        <f t="shared" si="1"/>
        <v>0</v>
      </c>
      <c r="F115" s="206">
        <f t="shared" si="1"/>
        <v>0</v>
      </c>
      <c r="G115" s="206">
        <f t="shared" si="1"/>
        <v>0</v>
      </c>
      <c r="H115" s="206">
        <f t="shared" si="1"/>
        <v>0</v>
      </c>
      <c r="I115" s="206">
        <f t="shared" si="1"/>
        <v>0</v>
      </c>
      <c r="J115" s="207">
        <f t="shared" si="1"/>
        <v>0</v>
      </c>
    </row>
    <row r="116" spans="2:10" hidden="1">
      <c r="B116" s="99">
        <f>'Background Controls'!I10</f>
        <v>0</v>
      </c>
      <c r="C116" s="206">
        <f t="shared" si="1"/>
        <v>0</v>
      </c>
      <c r="D116" s="206">
        <f t="shared" si="1"/>
        <v>0</v>
      </c>
      <c r="E116" s="458">
        <f t="shared" si="1"/>
        <v>0</v>
      </c>
      <c r="F116" s="206">
        <f t="shared" si="1"/>
        <v>0</v>
      </c>
      <c r="G116" s="206">
        <f t="shared" si="1"/>
        <v>0</v>
      </c>
      <c r="H116" s="206">
        <f t="shared" si="1"/>
        <v>0</v>
      </c>
      <c r="I116" s="206">
        <f t="shared" si="1"/>
        <v>0</v>
      </c>
      <c r="J116" s="207">
        <f t="shared" si="1"/>
        <v>0</v>
      </c>
    </row>
    <row r="117" spans="2:10" hidden="1">
      <c r="B117" s="99">
        <f>'Background Controls'!I11</f>
        <v>0</v>
      </c>
      <c r="C117" s="206">
        <f t="shared" si="1"/>
        <v>0</v>
      </c>
      <c r="D117" s="206">
        <f t="shared" si="1"/>
        <v>0</v>
      </c>
      <c r="E117" s="458">
        <f t="shared" si="1"/>
        <v>0</v>
      </c>
      <c r="F117" s="206">
        <f t="shared" si="1"/>
        <v>0</v>
      </c>
      <c r="G117" s="206">
        <f t="shared" si="1"/>
        <v>0</v>
      </c>
      <c r="H117" s="206">
        <f t="shared" si="1"/>
        <v>0</v>
      </c>
      <c r="I117" s="206">
        <f t="shared" si="1"/>
        <v>0</v>
      </c>
      <c r="J117" s="207">
        <f t="shared" si="1"/>
        <v>0</v>
      </c>
    </row>
    <row r="118" spans="2:10" hidden="1">
      <c r="B118" s="99">
        <f>'Background Controls'!I12</f>
        <v>0</v>
      </c>
      <c r="C118" s="206">
        <f t="shared" si="1"/>
        <v>0</v>
      </c>
      <c r="D118" s="206">
        <f t="shared" si="1"/>
        <v>0</v>
      </c>
      <c r="E118" s="458">
        <f t="shared" si="1"/>
        <v>0</v>
      </c>
      <c r="F118" s="206">
        <f t="shared" si="1"/>
        <v>0</v>
      </c>
      <c r="G118" s="206">
        <f t="shared" si="1"/>
        <v>0</v>
      </c>
      <c r="H118" s="206">
        <f t="shared" si="1"/>
        <v>0</v>
      </c>
      <c r="I118" s="206">
        <f t="shared" si="1"/>
        <v>0</v>
      </c>
      <c r="J118" s="207">
        <f t="shared" si="1"/>
        <v>0</v>
      </c>
    </row>
    <row r="119" spans="2:10" hidden="1">
      <c r="B119" s="99">
        <f>'Background Controls'!I13</f>
        <v>0</v>
      </c>
      <c r="C119" s="206">
        <f t="shared" si="1"/>
        <v>0</v>
      </c>
      <c r="D119" s="206">
        <f t="shared" si="1"/>
        <v>0</v>
      </c>
      <c r="E119" s="458">
        <f t="shared" si="1"/>
        <v>0</v>
      </c>
      <c r="F119" s="206">
        <f t="shared" si="1"/>
        <v>0</v>
      </c>
      <c r="G119" s="206">
        <f t="shared" si="1"/>
        <v>0</v>
      </c>
      <c r="H119" s="206">
        <f t="shared" si="1"/>
        <v>0</v>
      </c>
      <c r="I119" s="206">
        <f t="shared" si="1"/>
        <v>0</v>
      </c>
      <c r="J119" s="207">
        <f t="shared" si="1"/>
        <v>0</v>
      </c>
    </row>
    <row r="120" spans="2:10" hidden="1">
      <c r="B120" s="99">
        <f>'Background Controls'!I14</f>
        <v>0</v>
      </c>
      <c r="C120" s="206">
        <f t="shared" si="1"/>
        <v>0</v>
      </c>
      <c r="D120" s="206">
        <f t="shared" si="1"/>
        <v>0</v>
      </c>
      <c r="E120" s="458">
        <f t="shared" si="1"/>
        <v>0</v>
      </c>
      <c r="F120" s="206">
        <f t="shared" si="1"/>
        <v>0</v>
      </c>
      <c r="G120" s="206">
        <f t="shared" si="1"/>
        <v>0</v>
      </c>
      <c r="H120" s="206">
        <f t="shared" si="1"/>
        <v>0</v>
      </c>
      <c r="I120" s="206">
        <f t="shared" si="1"/>
        <v>0</v>
      </c>
      <c r="J120" s="207">
        <f t="shared" si="1"/>
        <v>0</v>
      </c>
    </row>
    <row r="121" spans="2:10" hidden="1">
      <c r="B121" s="99">
        <f>'Background Controls'!I15</f>
        <v>0</v>
      </c>
      <c r="C121" s="206">
        <f t="shared" ref="C121:J130" si="2">VLOOKUP(C$110,$B$41:$C$48, 2, FALSE)*VLOOKUP($B121, $B$15:$C$34, 2, FALSE)</f>
        <v>0</v>
      </c>
      <c r="D121" s="206">
        <f t="shared" si="2"/>
        <v>0</v>
      </c>
      <c r="E121" s="458">
        <f t="shared" si="2"/>
        <v>0</v>
      </c>
      <c r="F121" s="206">
        <f t="shared" si="2"/>
        <v>0</v>
      </c>
      <c r="G121" s="206">
        <f t="shared" si="2"/>
        <v>0</v>
      </c>
      <c r="H121" s="206">
        <f t="shared" si="2"/>
        <v>0</v>
      </c>
      <c r="I121" s="206">
        <f t="shared" si="2"/>
        <v>0</v>
      </c>
      <c r="J121" s="207">
        <f t="shared" si="2"/>
        <v>0</v>
      </c>
    </row>
    <row r="122" spans="2:10" hidden="1">
      <c r="B122" s="99">
        <f>'Background Controls'!I16</f>
        <v>0</v>
      </c>
      <c r="C122" s="206">
        <f t="shared" si="2"/>
        <v>0</v>
      </c>
      <c r="D122" s="206">
        <f t="shared" si="2"/>
        <v>0</v>
      </c>
      <c r="E122" s="458">
        <f t="shared" si="2"/>
        <v>0</v>
      </c>
      <c r="F122" s="206">
        <f t="shared" si="2"/>
        <v>0</v>
      </c>
      <c r="G122" s="206">
        <f t="shared" si="2"/>
        <v>0</v>
      </c>
      <c r="H122" s="206">
        <f t="shared" si="2"/>
        <v>0</v>
      </c>
      <c r="I122" s="206">
        <f t="shared" si="2"/>
        <v>0</v>
      </c>
      <c r="J122" s="207">
        <f t="shared" si="2"/>
        <v>0</v>
      </c>
    </row>
    <row r="123" spans="2:10" hidden="1">
      <c r="B123" s="99">
        <f>'Background Controls'!I17</f>
        <v>0</v>
      </c>
      <c r="C123" s="206">
        <f t="shared" si="2"/>
        <v>0</v>
      </c>
      <c r="D123" s="206">
        <f t="shared" si="2"/>
        <v>0</v>
      </c>
      <c r="E123" s="458">
        <f t="shared" si="2"/>
        <v>0</v>
      </c>
      <c r="F123" s="206">
        <f t="shared" si="2"/>
        <v>0</v>
      </c>
      <c r="G123" s="206">
        <f t="shared" si="2"/>
        <v>0</v>
      </c>
      <c r="H123" s="206">
        <f t="shared" si="2"/>
        <v>0</v>
      </c>
      <c r="I123" s="206">
        <f t="shared" si="2"/>
        <v>0</v>
      </c>
      <c r="J123" s="207">
        <f t="shared" si="2"/>
        <v>0</v>
      </c>
    </row>
    <row r="124" spans="2:10" hidden="1">
      <c r="B124" s="99">
        <f>'Background Controls'!I18</f>
        <v>0</v>
      </c>
      <c r="C124" s="206">
        <f t="shared" si="2"/>
        <v>0</v>
      </c>
      <c r="D124" s="206">
        <f t="shared" si="2"/>
        <v>0</v>
      </c>
      <c r="E124" s="458">
        <f t="shared" si="2"/>
        <v>0</v>
      </c>
      <c r="F124" s="206">
        <f t="shared" si="2"/>
        <v>0</v>
      </c>
      <c r="G124" s="206">
        <f t="shared" si="2"/>
        <v>0</v>
      </c>
      <c r="H124" s="206">
        <f t="shared" si="2"/>
        <v>0</v>
      </c>
      <c r="I124" s="206">
        <f t="shared" si="2"/>
        <v>0</v>
      </c>
      <c r="J124" s="207">
        <f t="shared" si="2"/>
        <v>0</v>
      </c>
    </row>
    <row r="125" spans="2:10" hidden="1">
      <c r="B125" s="99">
        <f>'Background Controls'!I19</f>
        <v>0</v>
      </c>
      <c r="C125" s="206">
        <f t="shared" si="2"/>
        <v>0</v>
      </c>
      <c r="D125" s="206">
        <f t="shared" si="2"/>
        <v>0</v>
      </c>
      <c r="E125" s="458">
        <f t="shared" si="2"/>
        <v>0</v>
      </c>
      <c r="F125" s="206">
        <f t="shared" si="2"/>
        <v>0</v>
      </c>
      <c r="G125" s="206">
        <f t="shared" si="2"/>
        <v>0</v>
      </c>
      <c r="H125" s="206">
        <f t="shared" si="2"/>
        <v>0</v>
      </c>
      <c r="I125" s="206">
        <f t="shared" si="2"/>
        <v>0</v>
      </c>
      <c r="J125" s="207">
        <f t="shared" si="2"/>
        <v>0</v>
      </c>
    </row>
    <row r="126" spans="2:10" hidden="1">
      <c r="B126" s="99">
        <f>'Background Controls'!I20</f>
        <v>0</v>
      </c>
      <c r="C126" s="206">
        <f t="shared" si="2"/>
        <v>0</v>
      </c>
      <c r="D126" s="206">
        <f t="shared" si="2"/>
        <v>0</v>
      </c>
      <c r="E126" s="458">
        <f t="shared" si="2"/>
        <v>0</v>
      </c>
      <c r="F126" s="206">
        <f t="shared" si="2"/>
        <v>0</v>
      </c>
      <c r="G126" s="206">
        <f t="shared" si="2"/>
        <v>0</v>
      </c>
      <c r="H126" s="206">
        <f t="shared" si="2"/>
        <v>0</v>
      </c>
      <c r="I126" s="206">
        <f t="shared" si="2"/>
        <v>0</v>
      </c>
      <c r="J126" s="207">
        <f t="shared" si="2"/>
        <v>0</v>
      </c>
    </row>
    <row r="127" spans="2:10" hidden="1">
      <c r="B127" s="99">
        <f>'Background Controls'!I21</f>
        <v>0</v>
      </c>
      <c r="C127" s="206">
        <f t="shared" si="2"/>
        <v>0</v>
      </c>
      <c r="D127" s="206">
        <f t="shared" si="2"/>
        <v>0</v>
      </c>
      <c r="E127" s="458">
        <f t="shared" si="2"/>
        <v>0</v>
      </c>
      <c r="F127" s="206">
        <f t="shared" si="2"/>
        <v>0</v>
      </c>
      <c r="G127" s="206">
        <f t="shared" si="2"/>
        <v>0</v>
      </c>
      <c r="H127" s="206">
        <f t="shared" si="2"/>
        <v>0</v>
      </c>
      <c r="I127" s="206">
        <f t="shared" si="2"/>
        <v>0</v>
      </c>
      <c r="J127" s="207">
        <f t="shared" si="2"/>
        <v>0</v>
      </c>
    </row>
    <row r="128" spans="2:10" hidden="1">
      <c r="B128" s="99">
        <f>'Background Controls'!I22</f>
        <v>0</v>
      </c>
      <c r="C128" s="206">
        <f t="shared" si="2"/>
        <v>0</v>
      </c>
      <c r="D128" s="206">
        <f t="shared" si="2"/>
        <v>0</v>
      </c>
      <c r="E128" s="458">
        <f t="shared" si="2"/>
        <v>0</v>
      </c>
      <c r="F128" s="206">
        <f t="shared" si="2"/>
        <v>0</v>
      </c>
      <c r="G128" s="206">
        <f t="shared" si="2"/>
        <v>0</v>
      </c>
      <c r="H128" s="206">
        <f t="shared" si="2"/>
        <v>0</v>
      </c>
      <c r="I128" s="206">
        <f t="shared" si="2"/>
        <v>0</v>
      </c>
      <c r="J128" s="207">
        <f t="shared" si="2"/>
        <v>0</v>
      </c>
    </row>
    <row r="129" spans="1:14" hidden="1">
      <c r="B129" s="99">
        <f>'Background Controls'!I23</f>
        <v>0</v>
      </c>
      <c r="C129" s="206">
        <f t="shared" si="2"/>
        <v>0</v>
      </c>
      <c r="D129" s="206">
        <f t="shared" si="2"/>
        <v>0</v>
      </c>
      <c r="E129" s="458">
        <f t="shared" si="2"/>
        <v>0</v>
      </c>
      <c r="F129" s="206">
        <f t="shared" si="2"/>
        <v>0</v>
      </c>
      <c r="G129" s="206">
        <f t="shared" si="2"/>
        <v>0</v>
      </c>
      <c r="H129" s="206">
        <f t="shared" si="2"/>
        <v>0</v>
      </c>
      <c r="I129" s="206">
        <f t="shared" si="2"/>
        <v>0</v>
      </c>
      <c r="J129" s="207">
        <f t="shared" si="2"/>
        <v>0</v>
      </c>
    </row>
    <row r="130" spans="1:14" hidden="1">
      <c r="B130" s="100">
        <f>'Background Controls'!I24</f>
        <v>0</v>
      </c>
      <c r="C130" s="208">
        <f t="shared" si="2"/>
        <v>0</v>
      </c>
      <c r="D130" s="208">
        <f t="shared" si="2"/>
        <v>0</v>
      </c>
      <c r="E130" s="459">
        <f t="shared" si="2"/>
        <v>0</v>
      </c>
      <c r="F130" s="208">
        <f t="shared" si="2"/>
        <v>0</v>
      </c>
      <c r="G130" s="208">
        <f t="shared" si="2"/>
        <v>0</v>
      </c>
      <c r="H130" s="208">
        <f t="shared" si="2"/>
        <v>0</v>
      </c>
      <c r="I130" s="208">
        <f t="shared" si="2"/>
        <v>0</v>
      </c>
      <c r="J130" s="209">
        <f t="shared" si="2"/>
        <v>0</v>
      </c>
    </row>
    <row r="131" spans="1:14">
      <c r="B131" s="860" t="s">
        <v>253</v>
      </c>
      <c r="C131" s="261">
        <f>SUM(C111:C130)</f>
        <v>0</v>
      </c>
      <c r="D131" s="261">
        <f t="shared" ref="D131:J131" si="3">SUM(D111:D130)</f>
        <v>0</v>
      </c>
      <c r="E131" s="261">
        <f t="shared" si="3"/>
        <v>0</v>
      </c>
      <c r="F131" s="261">
        <f t="shared" si="3"/>
        <v>0</v>
      </c>
      <c r="G131" s="261">
        <f t="shared" si="3"/>
        <v>0</v>
      </c>
      <c r="H131" s="261">
        <f t="shared" si="3"/>
        <v>0</v>
      </c>
      <c r="I131" s="261">
        <f t="shared" si="3"/>
        <v>0</v>
      </c>
      <c r="J131" s="262">
        <f t="shared" si="3"/>
        <v>0</v>
      </c>
    </row>
    <row r="133" spans="1:14" ht="16.5">
      <c r="A133" s="268" t="s">
        <v>703</v>
      </c>
    </row>
    <row r="134" spans="1:14" ht="36" customHeight="1">
      <c r="A134" s="1115" t="s">
        <v>704</v>
      </c>
      <c r="B134" s="1114"/>
      <c r="C134" s="1114"/>
      <c r="D134" s="1114"/>
      <c r="E134" s="1114"/>
      <c r="F134" s="1114"/>
      <c r="G134" s="1114"/>
      <c r="H134" s="1114"/>
      <c r="I134" s="1114"/>
      <c r="J134" s="1114"/>
      <c r="K134" s="1114"/>
      <c r="L134" s="1114"/>
      <c r="M134" s="1114"/>
      <c r="N134" s="1114"/>
    </row>
    <row r="135" spans="1:14" ht="29">
      <c r="A135" s="271"/>
      <c r="B135" s="214"/>
      <c r="C135" s="215" t="s">
        <v>688</v>
      </c>
      <c r="D135" s="215" t="s">
        <v>689</v>
      </c>
      <c r="E135" s="215" t="s">
        <v>352</v>
      </c>
      <c r="F135" s="215" t="s">
        <v>690</v>
      </c>
      <c r="G135" s="215" t="s">
        <v>691</v>
      </c>
      <c r="H135" s="215" t="s">
        <v>692</v>
      </c>
      <c r="I135" s="215" t="s">
        <v>702</v>
      </c>
      <c r="J135" s="215" t="s">
        <v>219</v>
      </c>
      <c r="K135" s="174" t="s">
        <v>263</v>
      </c>
    </row>
    <row r="136" spans="1:14" ht="16" customHeight="1">
      <c r="A136" s="271"/>
      <c r="B136" s="216" t="s">
        <v>705</v>
      </c>
      <c r="C136" s="227">
        <f t="shared" ref="C136:J136" si="4">VLOOKUP(C135, commute_factors, 4, FALSE)</f>
        <v>8.7799999999999994</v>
      </c>
      <c r="D136" s="232">
        <f t="shared" si="4"/>
        <v>8.7799999999999994</v>
      </c>
      <c r="E136" s="232">
        <f t="shared" si="4"/>
        <v>8.7799999999999994</v>
      </c>
      <c r="F136" s="232">
        <f>VLOOKUP(F135, commute_factors, 4, FALSE)</f>
        <v>0</v>
      </c>
      <c r="G136" s="232">
        <f t="shared" si="4"/>
        <v>0</v>
      </c>
      <c r="H136" s="232">
        <f t="shared" si="4"/>
        <v>0</v>
      </c>
      <c r="I136" s="232">
        <f t="shared" si="4"/>
        <v>0</v>
      </c>
      <c r="J136" s="233">
        <f t="shared" si="4"/>
        <v>0</v>
      </c>
      <c r="K136" s="217"/>
    </row>
    <row r="137" spans="1:14">
      <c r="A137" s="271"/>
      <c r="B137" s="226" t="s">
        <v>706</v>
      </c>
      <c r="C137" s="228">
        <f>VLOOKUP(C$135, commute_factors, 2, FALSE)</f>
        <v>21.6</v>
      </c>
      <c r="D137" s="229">
        <f>VLOOKUP(D$135, commute_factors, 2, FALSE)</f>
        <v>21.6</v>
      </c>
      <c r="E137" s="229">
        <f>VLOOKUP(E$135, commute_factors, 2, FALSE)</f>
        <v>43.4</v>
      </c>
      <c r="F137" s="230">
        <v>0</v>
      </c>
      <c r="G137" s="230">
        <v>0</v>
      </c>
      <c r="H137" s="230">
        <v>0</v>
      </c>
      <c r="I137" s="230">
        <v>0</v>
      </c>
      <c r="J137" s="231">
        <v>0</v>
      </c>
      <c r="K137" s="213"/>
    </row>
    <row r="138" spans="1:14">
      <c r="A138" s="271"/>
      <c r="B138" s="218" t="s">
        <v>707</v>
      </c>
      <c r="C138" s="562">
        <f>VLOOKUP(C135, commute_factors, 3, FALSE)</f>
        <v>1</v>
      </c>
      <c r="D138" s="561">
        <f>VLOOKUP(D135, commute_factors, 3, FALSE)</f>
        <v>2.4160314135984864</v>
      </c>
      <c r="E138" s="561">
        <f>VLOOKUP(E135, commute_factors, 3, FALSE)</f>
        <v>1</v>
      </c>
      <c r="F138" s="561">
        <v>0</v>
      </c>
      <c r="G138" s="561">
        <v>0</v>
      </c>
      <c r="H138" s="561">
        <v>0</v>
      </c>
      <c r="I138" s="561">
        <v>0</v>
      </c>
      <c r="J138" s="563">
        <v>0</v>
      </c>
      <c r="K138" s="219"/>
    </row>
    <row r="139" spans="1:14">
      <c r="A139" s="284" t="s">
        <v>101</v>
      </c>
      <c r="B139" s="99" t="str">
        <f>'Background Controls'!I5</f>
        <v>Residential</v>
      </c>
      <c r="C139" s="105">
        <f t="shared" ref="C139:E158" si="5">C111*(1/C$138)*(2*$C$53)*(1/C$137)*C$136*kg_mt*CO2_CO2e</f>
        <v>0</v>
      </c>
      <c r="D139" s="105">
        <f t="shared" si="5"/>
        <v>0</v>
      </c>
      <c r="E139" s="105">
        <f>E111*(1/E$138)*(2*$C$53)*(1/E$137)*E$136*kg_mt*CO2_CO2e</f>
        <v>0</v>
      </c>
      <c r="F139" s="206" t="e">
        <f t="shared" ref="F139:J148" si="6">F111*F$136*F$137*(1/(2*$C$53))*kg_mt*CO2_CO2e</f>
        <v>#DIV/0!</v>
      </c>
      <c r="G139" s="206" t="e">
        <f t="shared" si="6"/>
        <v>#DIV/0!</v>
      </c>
      <c r="H139" s="206" t="e">
        <f t="shared" si="6"/>
        <v>#DIV/0!</v>
      </c>
      <c r="I139" s="206" t="e">
        <f t="shared" si="6"/>
        <v>#DIV/0!</v>
      </c>
      <c r="J139" s="206" t="e">
        <f t="shared" si="6"/>
        <v>#DIV/0!</v>
      </c>
      <c r="K139" s="66" t="e">
        <f>SUM(C139:J139)</f>
        <v>#DIV/0!</v>
      </c>
      <c r="L139" s="457"/>
    </row>
    <row r="140" spans="1:14">
      <c r="B140" s="99" t="str">
        <f>'Background Controls'!I6</f>
        <v>Commercial/Institutional</v>
      </c>
      <c r="C140" s="105">
        <f t="shared" si="5"/>
        <v>0</v>
      </c>
      <c r="D140" s="105">
        <f t="shared" si="5"/>
        <v>0</v>
      </c>
      <c r="E140" s="105">
        <f t="shared" si="5"/>
        <v>0</v>
      </c>
      <c r="F140" s="206" t="e">
        <f t="shared" si="6"/>
        <v>#DIV/0!</v>
      </c>
      <c r="G140" s="206" t="e">
        <f t="shared" si="6"/>
        <v>#DIV/0!</v>
      </c>
      <c r="H140" s="206" t="e">
        <f t="shared" si="6"/>
        <v>#DIV/0!</v>
      </c>
      <c r="I140" s="206" t="e">
        <f t="shared" si="6"/>
        <v>#DIV/0!</v>
      </c>
      <c r="J140" s="206" t="e">
        <f t="shared" si="6"/>
        <v>#DIV/0!</v>
      </c>
      <c r="K140" s="66" t="e">
        <f t="shared" ref="K140:K158" si="7">SUM(C140:J140)</f>
        <v>#DIV/0!</v>
      </c>
    </row>
    <row r="141" spans="1:14">
      <c r="B141" s="99" t="str">
        <f>'Background Controls'!I7</f>
        <v>Industrial</v>
      </c>
      <c r="C141" s="105">
        <f t="shared" si="5"/>
        <v>0</v>
      </c>
      <c r="D141" s="105">
        <f t="shared" si="5"/>
        <v>0</v>
      </c>
      <c r="E141" s="105">
        <f t="shared" si="5"/>
        <v>0</v>
      </c>
      <c r="F141" s="206" t="e">
        <f t="shared" si="6"/>
        <v>#DIV/0!</v>
      </c>
      <c r="G141" s="206" t="e">
        <f t="shared" si="6"/>
        <v>#DIV/0!</v>
      </c>
      <c r="H141" s="206" t="e">
        <f t="shared" si="6"/>
        <v>#DIV/0!</v>
      </c>
      <c r="I141" s="206" t="e">
        <f t="shared" si="6"/>
        <v>#DIV/0!</v>
      </c>
      <c r="J141" s="206" t="e">
        <f t="shared" si="6"/>
        <v>#DIV/0!</v>
      </c>
      <c r="K141" s="66" t="e">
        <f t="shared" si="7"/>
        <v>#DIV/0!</v>
      </c>
    </row>
    <row r="142" spans="1:14">
      <c r="B142" s="99" t="str">
        <f>'Background Controls'!I8</f>
        <v>Energy Generation</v>
      </c>
      <c r="C142" s="105">
        <f t="shared" si="5"/>
        <v>0</v>
      </c>
      <c r="D142" s="105">
        <f t="shared" si="5"/>
        <v>0</v>
      </c>
      <c r="E142" s="105">
        <f t="shared" si="5"/>
        <v>0</v>
      </c>
      <c r="F142" s="206" t="e">
        <f t="shared" si="6"/>
        <v>#DIV/0!</v>
      </c>
      <c r="G142" s="206" t="e">
        <f t="shared" si="6"/>
        <v>#DIV/0!</v>
      </c>
      <c r="H142" s="206" t="e">
        <f t="shared" si="6"/>
        <v>#DIV/0!</v>
      </c>
      <c r="I142" s="206" t="e">
        <f t="shared" si="6"/>
        <v>#DIV/0!</v>
      </c>
      <c r="J142" s="206" t="e">
        <f t="shared" si="6"/>
        <v>#DIV/0!</v>
      </c>
      <c r="K142" s="66" t="e">
        <f t="shared" si="7"/>
        <v>#DIV/0!</v>
      </c>
    </row>
    <row r="143" spans="1:14" hidden="1">
      <c r="B143" s="99">
        <f>'Background Controls'!I9</f>
        <v>0</v>
      </c>
      <c r="C143" s="105">
        <f t="shared" si="5"/>
        <v>0</v>
      </c>
      <c r="D143" s="105">
        <f t="shared" si="5"/>
        <v>0</v>
      </c>
      <c r="E143" s="105">
        <f t="shared" si="5"/>
        <v>0</v>
      </c>
      <c r="F143" s="206" t="e">
        <f t="shared" si="6"/>
        <v>#DIV/0!</v>
      </c>
      <c r="G143" s="206" t="e">
        <f t="shared" si="6"/>
        <v>#DIV/0!</v>
      </c>
      <c r="H143" s="206" t="e">
        <f t="shared" si="6"/>
        <v>#DIV/0!</v>
      </c>
      <c r="I143" s="206" t="e">
        <f t="shared" si="6"/>
        <v>#DIV/0!</v>
      </c>
      <c r="J143" s="206" t="e">
        <f t="shared" si="6"/>
        <v>#DIV/0!</v>
      </c>
      <c r="K143" s="66" t="e">
        <f t="shared" si="7"/>
        <v>#DIV/0!</v>
      </c>
    </row>
    <row r="144" spans="1:14" hidden="1">
      <c r="B144" s="99">
        <f>'Background Controls'!I10</f>
        <v>0</v>
      </c>
      <c r="C144" s="105">
        <f t="shared" si="5"/>
        <v>0</v>
      </c>
      <c r="D144" s="105">
        <f t="shared" si="5"/>
        <v>0</v>
      </c>
      <c r="E144" s="105">
        <f t="shared" si="5"/>
        <v>0</v>
      </c>
      <c r="F144" s="206" t="e">
        <f t="shared" si="6"/>
        <v>#DIV/0!</v>
      </c>
      <c r="G144" s="206" t="e">
        <f t="shared" si="6"/>
        <v>#DIV/0!</v>
      </c>
      <c r="H144" s="206" t="e">
        <f t="shared" si="6"/>
        <v>#DIV/0!</v>
      </c>
      <c r="I144" s="206" t="e">
        <f t="shared" si="6"/>
        <v>#DIV/0!</v>
      </c>
      <c r="J144" s="206" t="e">
        <f t="shared" si="6"/>
        <v>#DIV/0!</v>
      </c>
      <c r="K144" s="66" t="e">
        <f t="shared" si="7"/>
        <v>#DIV/0!</v>
      </c>
    </row>
    <row r="145" spans="2:11" hidden="1">
      <c r="B145" s="99">
        <f>'Background Controls'!I11</f>
        <v>0</v>
      </c>
      <c r="C145" s="105">
        <f t="shared" si="5"/>
        <v>0</v>
      </c>
      <c r="D145" s="105">
        <f t="shared" si="5"/>
        <v>0</v>
      </c>
      <c r="E145" s="105">
        <f t="shared" si="5"/>
        <v>0</v>
      </c>
      <c r="F145" s="206" t="e">
        <f t="shared" si="6"/>
        <v>#DIV/0!</v>
      </c>
      <c r="G145" s="206" t="e">
        <f t="shared" si="6"/>
        <v>#DIV/0!</v>
      </c>
      <c r="H145" s="206" t="e">
        <f t="shared" si="6"/>
        <v>#DIV/0!</v>
      </c>
      <c r="I145" s="206" t="e">
        <f t="shared" si="6"/>
        <v>#DIV/0!</v>
      </c>
      <c r="J145" s="206" t="e">
        <f t="shared" si="6"/>
        <v>#DIV/0!</v>
      </c>
      <c r="K145" s="66" t="e">
        <f t="shared" si="7"/>
        <v>#DIV/0!</v>
      </c>
    </row>
    <row r="146" spans="2:11" hidden="1">
      <c r="B146" s="99">
        <f>'Background Controls'!I12</f>
        <v>0</v>
      </c>
      <c r="C146" s="105">
        <f t="shared" si="5"/>
        <v>0</v>
      </c>
      <c r="D146" s="105">
        <f t="shared" si="5"/>
        <v>0</v>
      </c>
      <c r="E146" s="105">
        <f t="shared" si="5"/>
        <v>0</v>
      </c>
      <c r="F146" s="206" t="e">
        <f t="shared" si="6"/>
        <v>#DIV/0!</v>
      </c>
      <c r="G146" s="206" t="e">
        <f t="shared" si="6"/>
        <v>#DIV/0!</v>
      </c>
      <c r="H146" s="206" t="e">
        <f t="shared" si="6"/>
        <v>#DIV/0!</v>
      </c>
      <c r="I146" s="206" t="e">
        <f t="shared" si="6"/>
        <v>#DIV/0!</v>
      </c>
      <c r="J146" s="206" t="e">
        <f t="shared" si="6"/>
        <v>#DIV/0!</v>
      </c>
      <c r="K146" s="66" t="e">
        <f t="shared" si="7"/>
        <v>#DIV/0!</v>
      </c>
    </row>
    <row r="147" spans="2:11" hidden="1">
      <c r="B147" s="99">
        <f>'Background Controls'!I13</f>
        <v>0</v>
      </c>
      <c r="C147" s="105">
        <f t="shared" si="5"/>
        <v>0</v>
      </c>
      <c r="D147" s="105">
        <f t="shared" si="5"/>
        <v>0</v>
      </c>
      <c r="E147" s="105">
        <f t="shared" si="5"/>
        <v>0</v>
      </c>
      <c r="F147" s="206" t="e">
        <f t="shared" si="6"/>
        <v>#DIV/0!</v>
      </c>
      <c r="G147" s="206" t="e">
        <f t="shared" si="6"/>
        <v>#DIV/0!</v>
      </c>
      <c r="H147" s="206" t="e">
        <f t="shared" si="6"/>
        <v>#DIV/0!</v>
      </c>
      <c r="I147" s="206" t="e">
        <f t="shared" si="6"/>
        <v>#DIV/0!</v>
      </c>
      <c r="J147" s="206" t="e">
        <f t="shared" si="6"/>
        <v>#DIV/0!</v>
      </c>
      <c r="K147" s="66" t="e">
        <f t="shared" si="7"/>
        <v>#DIV/0!</v>
      </c>
    </row>
    <row r="148" spans="2:11" hidden="1">
      <c r="B148" s="99">
        <f>'Background Controls'!I14</f>
        <v>0</v>
      </c>
      <c r="C148" s="105">
        <f t="shared" si="5"/>
        <v>0</v>
      </c>
      <c r="D148" s="105">
        <f t="shared" si="5"/>
        <v>0</v>
      </c>
      <c r="E148" s="105">
        <f t="shared" si="5"/>
        <v>0</v>
      </c>
      <c r="F148" s="206" t="e">
        <f t="shared" si="6"/>
        <v>#DIV/0!</v>
      </c>
      <c r="G148" s="206" t="e">
        <f t="shared" si="6"/>
        <v>#DIV/0!</v>
      </c>
      <c r="H148" s="206" t="e">
        <f t="shared" si="6"/>
        <v>#DIV/0!</v>
      </c>
      <c r="I148" s="206" t="e">
        <f t="shared" si="6"/>
        <v>#DIV/0!</v>
      </c>
      <c r="J148" s="206" t="e">
        <f t="shared" si="6"/>
        <v>#DIV/0!</v>
      </c>
      <c r="K148" s="66" t="e">
        <f t="shared" si="7"/>
        <v>#DIV/0!</v>
      </c>
    </row>
    <row r="149" spans="2:11" hidden="1">
      <c r="B149" s="99">
        <f>'Background Controls'!I15</f>
        <v>0</v>
      </c>
      <c r="C149" s="105">
        <f t="shared" si="5"/>
        <v>0</v>
      </c>
      <c r="D149" s="105">
        <f t="shared" si="5"/>
        <v>0</v>
      </c>
      <c r="E149" s="105">
        <f t="shared" si="5"/>
        <v>0</v>
      </c>
      <c r="F149" s="206" t="e">
        <f t="shared" ref="F149:J158" si="8">F121*F$136*F$137*(1/(2*$C$53))*kg_mt*CO2_CO2e</f>
        <v>#DIV/0!</v>
      </c>
      <c r="G149" s="206" t="e">
        <f t="shared" si="8"/>
        <v>#DIV/0!</v>
      </c>
      <c r="H149" s="206" t="e">
        <f t="shared" si="8"/>
        <v>#DIV/0!</v>
      </c>
      <c r="I149" s="206" t="e">
        <f t="shared" si="8"/>
        <v>#DIV/0!</v>
      </c>
      <c r="J149" s="206" t="e">
        <f t="shared" si="8"/>
        <v>#DIV/0!</v>
      </c>
      <c r="K149" s="66" t="e">
        <f t="shared" si="7"/>
        <v>#DIV/0!</v>
      </c>
    </row>
    <row r="150" spans="2:11" hidden="1">
      <c r="B150" s="99">
        <f>'Background Controls'!I16</f>
        <v>0</v>
      </c>
      <c r="C150" s="105">
        <f t="shared" si="5"/>
        <v>0</v>
      </c>
      <c r="D150" s="105">
        <f t="shared" si="5"/>
        <v>0</v>
      </c>
      <c r="E150" s="105">
        <f t="shared" si="5"/>
        <v>0</v>
      </c>
      <c r="F150" s="206" t="e">
        <f t="shared" si="8"/>
        <v>#DIV/0!</v>
      </c>
      <c r="G150" s="206" t="e">
        <f t="shared" si="8"/>
        <v>#DIV/0!</v>
      </c>
      <c r="H150" s="206" t="e">
        <f t="shared" si="8"/>
        <v>#DIV/0!</v>
      </c>
      <c r="I150" s="206" t="e">
        <f t="shared" si="8"/>
        <v>#DIV/0!</v>
      </c>
      <c r="J150" s="206" t="e">
        <f t="shared" si="8"/>
        <v>#DIV/0!</v>
      </c>
      <c r="K150" s="66" t="e">
        <f t="shared" si="7"/>
        <v>#DIV/0!</v>
      </c>
    </row>
    <row r="151" spans="2:11" hidden="1">
      <c r="B151" s="99">
        <f>'Background Controls'!I17</f>
        <v>0</v>
      </c>
      <c r="C151" s="105">
        <f t="shared" si="5"/>
        <v>0</v>
      </c>
      <c r="D151" s="105">
        <f t="shared" si="5"/>
        <v>0</v>
      </c>
      <c r="E151" s="105">
        <f t="shared" si="5"/>
        <v>0</v>
      </c>
      <c r="F151" s="206" t="e">
        <f t="shared" si="8"/>
        <v>#DIV/0!</v>
      </c>
      <c r="G151" s="206" t="e">
        <f t="shared" si="8"/>
        <v>#DIV/0!</v>
      </c>
      <c r="H151" s="206" t="e">
        <f t="shared" si="8"/>
        <v>#DIV/0!</v>
      </c>
      <c r="I151" s="206" t="e">
        <f t="shared" si="8"/>
        <v>#DIV/0!</v>
      </c>
      <c r="J151" s="206" t="e">
        <f t="shared" si="8"/>
        <v>#DIV/0!</v>
      </c>
      <c r="K151" s="66" t="e">
        <f t="shared" si="7"/>
        <v>#DIV/0!</v>
      </c>
    </row>
    <row r="152" spans="2:11" hidden="1">
      <c r="B152" s="99">
        <f>'Background Controls'!I18</f>
        <v>0</v>
      </c>
      <c r="C152" s="105">
        <f t="shared" si="5"/>
        <v>0</v>
      </c>
      <c r="D152" s="105">
        <f t="shared" si="5"/>
        <v>0</v>
      </c>
      <c r="E152" s="105">
        <f t="shared" si="5"/>
        <v>0</v>
      </c>
      <c r="F152" s="206" t="e">
        <f t="shared" si="8"/>
        <v>#DIV/0!</v>
      </c>
      <c r="G152" s="206" t="e">
        <f t="shared" si="8"/>
        <v>#DIV/0!</v>
      </c>
      <c r="H152" s="206" t="e">
        <f t="shared" si="8"/>
        <v>#DIV/0!</v>
      </c>
      <c r="I152" s="206" t="e">
        <f t="shared" si="8"/>
        <v>#DIV/0!</v>
      </c>
      <c r="J152" s="206" t="e">
        <f t="shared" si="8"/>
        <v>#DIV/0!</v>
      </c>
      <c r="K152" s="66" t="e">
        <f t="shared" si="7"/>
        <v>#DIV/0!</v>
      </c>
    </row>
    <row r="153" spans="2:11" hidden="1">
      <c r="B153" s="99">
        <f>'Background Controls'!I19</f>
        <v>0</v>
      </c>
      <c r="C153" s="105">
        <f t="shared" si="5"/>
        <v>0</v>
      </c>
      <c r="D153" s="105">
        <f t="shared" si="5"/>
        <v>0</v>
      </c>
      <c r="E153" s="105">
        <f t="shared" si="5"/>
        <v>0</v>
      </c>
      <c r="F153" s="206" t="e">
        <f t="shared" si="8"/>
        <v>#DIV/0!</v>
      </c>
      <c r="G153" s="206" t="e">
        <f t="shared" si="8"/>
        <v>#DIV/0!</v>
      </c>
      <c r="H153" s="206" t="e">
        <f t="shared" si="8"/>
        <v>#DIV/0!</v>
      </c>
      <c r="I153" s="206" t="e">
        <f t="shared" si="8"/>
        <v>#DIV/0!</v>
      </c>
      <c r="J153" s="206" t="e">
        <f t="shared" si="8"/>
        <v>#DIV/0!</v>
      </c>
      <c r="K153" s="66" t="e">
        <f t="shared" si="7"/>
        <v>#DIV/0!</v>
      </c>
    </row>
    <row r="154" spans="2:11" hidden="1">
      <c r="B154" s="99">
        <f>'Background Controls'!I20</f>
        <v>0</v>
      </c>
      <c r="C154" s="105">
        <f t="shared" si="5"/>
        <v>0</v>
      </c>
      <c r="D154" s="105">
        <f t="shared" si="5"/>
        <v>0</v>
      </c>
      <c r="E154" s="105">
        <f t="shared" si="5"/>
        <v>0</v>
      </c>
      <c r="F154" s="206" t="e">
        <f t="shared" si="8"/>
        <v>#DIV/0!</v>
      </c>
      <c r="G154" s="206" t="e">
        <f t="shared" si="8"/>
        <v>#DIV/0!</v>
      </c>
      <c r="H154" s="206" t="e">
        <f t="shared" si="8"/>
        <v>#DIV/0!</v>
      </c>
      <c r="I154" s="206" t="e">
        <f t="shared" si="8"/>
        <v>#DIV/0!</v>
      </c>
      <c r="J154" s="206" t="e">
        <f t="shared" si="8"/>
        <v>#DIV/0!</v>
      </c>
      <c r="K154" s="66" t="e">
        <f t="shared" si="7"/>
        <v>#DIV/0!</v>
      </c>
    </row>
    <row r="155" spans="2:11" hidden="1">
      <c r="B155" s="99">
        <f>'Background Controls'!I21</f>
        <v>0</v>
      </c>
      <c r="C155" s="105">
        <f t="shared" si="5"/>
        <v>0</v>
      </c>
      <c r="D155" s="105">
        <f t="shared" si="5"/>
        <v>0</v>
      </c>
      <c r="E155" s="105">
        <f t="shared" si="5"/>
        <v>0</v>
      </c>
      <c r="F155" s="206" t="e">
        <f t="shared" si="8"/>
        <v>#DIV/0!</v>
      </c>
      <c r="G155" s="206" t="e">
        <f t="shared" si="8"/>
        <v>#DIV/0!</v>
      </c>
      <c r="H155" s="206" t="e">
        <f t="shared" si="8"/>
        <v>#DIV/0!</v>
      </c>
      <c r="I155" s="206" t="e">
        <f t="shared" si="8"/>
        <v>#DIV/0!</v>
      </c>
      <c r="J155" s="206" t="e">
        <f t="shared" si="8"/>
        <v>#DIV/0!</v>
      </c>
      <c r="K155" s="66" t="e">
        <f t="shared" si="7"/>
        <v>#DIV/0!</v>
      </c>
    </row>
    <row r="156" spans="2:11" hidden="1">
      <c r="B156" s="99">
        <f>'Background Controls'!I22</f>
        <v>0</v>
      </c>
      <c r="C156" s="105">
        <f t="shared" si="5"/>
        <v>0</v>
      </c>
      <c r="D156" s="105">
        <f t="shared" si="5"/>
        <v>0</v>
      </c>
      <c r="E156" s="105">
        <f t="shared" si="5"/>
        <v>0</v>
      </c>
      <c r="F156" s="206" t="e">
        <f t="shared" si="8"/>
        <v>#DIV/0!</v>
      </c>
      <c r="G156" s="206" t="e">
        <f t="shared" si="8"/>
        <v>#DIV/0!</v>
      </c>
      <c r="H156" s="206" t="e">
        <f t="shared" si="8"/>
        <v>#DIV/0!</v>
      </c>
      <c r="I156" s="206" t="e">
        <f t="shared" si="8"/>
        <v>#DIV/0!</v>
      </c>
      <c r="J156" s="206" t="e">
        <f t="shared" si="8"/>
        <v>#DIV/0!</v>
      </c>
      <c r="K156" s="66" t="e">
        <f t="shared" si="7"/>
        <v>#DIV/0!</v>
      </c>
    </row>
    <row r="157" spans="2:11" hidden="1">
      <c r="B157" s="99">
        <f>'Background Controls'!I23</f>
        <v>0</v>
      </c>
      <c r="C157" s="105">
        <f t="shared" si="5"/>
        <v>0</v>
      </c>
      <c r="D157" s="105">
        <f t="shared" si="5"/>
        <v>0</v>
      </c>
      <c r="E157" s="105">
        <f t="shared" si="5"/>
        <v>0</v>
      </c>
      <c r="F157" s="206" t="e">
        <f t="shared" si="8"/>
        <v>#DIV/0!</v>
      </c>
      <c r="G157" s="206" t="e">
        <f t="shared" si="8"/>
        <v>#DIV/0!</v>
      </c>
      <c r="H157" s="206" t="e">
        <f t="shared" si="8"/>
        <v>#DIV/0!</v>
      </c>
      <c r="I157" s="206" t="e">
        <f t="shared" si="8"/>
        <v>#DIV/0!</v>
      </c>
      <c r="J157" s="206" t="e">
        <f t="shared" si="8"/>
        <v>#DIV/0!</v>
      </c>
      <c r="K157" s="66" t="e">
        <f t="shared" si="7"/>
        <v>#DIV/0!</v>
      </c>
    </row>
    <row r="158" spans="2:11" hidden="1">
      <c r="B158" s="99">
        <f>'Background Controls'!I24</f>
        <v>0</v>
      </c>
      <c r="C158" s="105">
        <f t="shared" si="5"/>
        <v>0</v>
      </c>
      <c r="D158" s="105">
        <f t="shared" si="5"/>
        <v>0</v>
      </c>
      <c r="E158" s="105">
        <f t="shared" si="5"/>
        <v>0</v>
      </c>
      <c r="F158" s="206" t="e">
        <f t="shared" si="8"/>
        <v>#DIV/0!</v>
      </c>
      <c r="G158" s="206" t="e">
        <f t="shared" si="8"/>
        <v>#DIV/0!</v>
      </c>
      <c r="H158" s="206" t="e">
        <f t="shared" si="8"/>
        <v>#DIV/0!</v>
      </c>
      <c r="I158" s="206" t="e">
        <f t="shared" si="8"/>
        <v>#DIV/0!</v>
      </c>
      <c r="J158" s="206" t="e">
        <f t="shared" si="8"/>
        <v>#DIV/0!</v>
      </c>
      <c r="K158" s="66" t="e">
        <f t="shared" si="7"/>
        <v>#DIV/0!</v>
      </c>
    </row>
    <row r="159" spans="2:11">
      <c r="B159" s="860" t="s">
        <v>253</v>
      </c>
      <c r="C159" s="221">
        <f>SUM(C139:C158)</f>
        <v>0</v>
      </c>
      <c r="D159" s="222">
        <f t="shared" ref="D159:J159" si="9">SUM(D139:D158)</f>
        <v>0</v>
      </c>
      <c r="E159" s="222">
        <f t="shared" si="9"/>
        <v>0</v>
      </c>
      <c r="F159" s="222" t="e">
        <f t="shared" si="9"/>
        <v>#DIV/0!</v>
      </c>
      <c r="G159" s="222" t="e">
        <f t="shared" si="9"/>
        <v>#DIV/0!</v>
      </c>
      <c r="H159" s="222" t="e">
        <f t="shared" si="9"/>
        <v>#DIV/0!</v>
      </c>
      <c r="I159" s="222" t="e">
        <f t="shared" si="9"/>
        <v>#DIV/0!</v>
      </c>
      <c r="J159" s="223" t="e">
        <f t="shared" si="9"/>
        <v>#DIV/0!</v>
      </c>
      <c r="K159" s="883" t="e">
        <f>SUM(K139:K158)</f>
        <v>#DIV/0!</v>
      </c>
    </row>
    <row r="161" spans="1:11" ht="16.5">
      <c r="A161" s="268" t="s">
        <v>708</v>
      </c>
    </row>
    <row r="162" spans="1:11" ht="16.5">
      <c r="A162" s="286" t="s">
        <v>709</v>
      </c>
    </row>
    <row r="163" spans="1:11" ht="29">
      <c r="B163" s="919"/>
      <c r="C163" s="96" t="s">
        <v>688</v>
      </c>
      <c r="D163" s="96" t="s">
        <v>689</v>
      </c>
      <c r="E163" s="96" t="s">
        <v>352</v>
      </c>
      <c r="F163" s="96" t="s">
        <v>690</v>
      </c>
      <c r="G163" s="96" t="s">
        <v>691</v>
      </c>
      <c r="H163" s="96" t="s">
        <v>692</v>
      </c>
      <c r="I163" s="96" t="s">
        <v>702</v>
      </c>
      <c r="J163" s="96" t="s">
        <v>219</v>
      </c>
      <c r="K163" s="868" t="s">
        <v>263</v>
      </c>
    </row>
    <row r="164" spans="1:11">
      <c r="A164" s="284" t="s">
        <v>101</v>
      </c>
      <c r="B164" s="99" t="str">
        <f>'Background Controls'!I5</f>
        <v>Residential</v>
      </c>
      <c r="C164" s="105">
        <f>C139*$C$57</f>
        <v>0</v>
      </c>
      <c r="D164" s="105">
        <f t="shared" ref="D164:J164" si="10">D139*$C$57</f>
        <v>0</v>
      </c>
      <c r="E164" s="105">
        <f t="shared" si="10"/>
        <v>0</v>
      </c>
      <c r="F164" s="105" t="e">
        <f t="shared" si="10"/>
        <v>#DIV/0!</v>
      </c>
      <c r="G164" s="105" t="e">
        <f t="shared" si="10"/>
        <v>#DIV/0!</v>
      </c>
      <c r="H164" s="105" t="e">
        <f t="shared" si="10"/>
        <v>#DIV/0!</v>
      </c>
      <c r="I164" s="105" t="e">
        <f t="shared" si="10"/>
        <v>#DIV/0!</v>
      </c>
      <c r="J164" s="105" t="e">
        <f t="shared" si="10"/>
        <v>#DIV/0!</v>
      </c>
      <c r="K164" s="66" t="e">
        <f>SUM(C164:J164)</f>
        <v>#DIV/0!</v>
      </c>
    </row>
    <row r="165" spans="1:11">
      <c r="B165" s="99" t="str">
        <f>'Background Controls'!I6</f>
        <v>Commercial/Institutional</v>
      </c>
      <c r="C165" s="105">
        <f t="shared" ref="C165:J183" si="11">C140*$C$57</f>
        <v>0</v>
      </c>
      <c r="D165" s="105">
        <f t="shared" si="11"/>
        <v>0</v>
      </c>
      <c r="E165" s="105">
        <f t="shared" si="11"/>
        <v>0</v>
      </c>
      <c r="F165" s="105" t="e">
        <f t="shared" si="11"/>
        <v>#DIV/0!</v>
      </c>
      <c r="G165" s="105" t="e">
        <f t="shared" si="11"/>
        <v>#DIV/0!</v>
      </c>
      <c r="H165" s="105" t="e">
        <f t="shared" si="11"/>
        <v>#DIV/0!</v>
      </c>
      <c r="I165" s="105" t="e">
        <f t="shared" si="11"/>
        <v>#DIV/0!</v>
      </c>
      <c r="J165" s="105" t="e">
        <f t="shared" si="11"/>
        <v>#DIV/0!</v>
      </c>
      <c r="K165" s="66" t="e">
        <f t="shared" ref="K165:K183" si="12">SUM(C165:J165)</f>
        <v>#DIV/0!</v>
      </c>
    </row>
    <row r="166" spans="1:11">
      <c r="B166" s="99" t="str">
        <f>'Background Controls'!I7</f>
        <v>Industrial</v>
      </c>
      <c r="C166" s="105">
        <f t="shared" si="11"/>
        <v>0</v>
      </c>
      <c r="D166" s="105">
        <f t="shared" si="11"/>
        <v>0</v>
      </c>
      <c r="E166" s="105">
        <f t="shared" si="11"/>
        <v>0</v>
      </c>
      <c r="F166" s="105" t="e">
        <f t="shared" si="11"/>
        <v>#DIV/0!</v>
      </c>
      <c r="G166" s="105" t="e">
        <f t="shared" si="11"/>
        <v>#DIV/0!</v>
      </c>
      <c r="H166" s="105" t="e">
        <f t="shared" si="11"/>
        <v>#DIV/0!</v>
      </c>
      <c r="I166" s="105" t="e">
        <f t="shared" si="11"/>
        <v>#DIV/0!</v>
      </c>
      <c r="J166" s="105" t="e">
        <f t="shared" si="11"/>
        <v>#DIV/0!</v>
      </c>
      <c r="K166" s="66" t="e">
        <f t="shared" si="12"/>
        <v>#DIV/0!</v>
      </c>
    </row>
    <row r="167" spans="1:11">
      <c r="B167" s="99" t="str">
        <f>'Background Controls'!I8</f>
        <v>Energy Generation</v>
      </c>
      <c r="C167" s="105">
        <f t="shared" si="11"/>
        <v>0</v>
      </c>
      <c r="D167" s="105">
        <f t="shared" si="11"/>
        <v>0</v>
      </c>
      <c r="E167" s="105">
        <f t="shared" si="11"/>
        <v>0</v>
      </c>
      <c r="F167" s="105" t="e">
        <f t="shared" si="11"/>
        <v>#DIV/0!</v>
      </c>
      <c r="G167" s="105" t="e">
        <f t="shared" si="11"/>
        <v>#DIV/0!</v>
      </c>
      <c r="H167" s="105" t="e">
        <f t="shared" si="11"/>
        <v>#DIV/0!</v>
      </c>
      <c r="I167" s="105" t="e">
        <f t="shared" si="11"/>
        <v>#DIV/0!</v>
      </c>
      <c r="J167" s="105" t="e">
        <f t="shared" si="11"/>
        <v>#DIV/0!</v>
      </c>
      <c r="K167" s="66" t="e">
        <f t="shared" si="12"/>
        <v>#DIV/0!</v>
      </c>
    </row>
    <row r="168" spans="1:11" hidden="1">
      <c r="B168" s="99">
        <f>'Background Controls'!I9</f>
        <v>0</v>
      </c>
      <c r="C168" s="105">
        <f t="shared" si="11"/>
        <v>0</v>
      </c>
      <c r="D168" s="105">
        <f t="shared" si="11"/>
        <v>0</v>
      </c>
      <c r="E168" s="105">
        <f t="shared" si="11"/>
        <v>0</v>
      </c>
      <c r="F168" s="105" t="e">
        <f t="shared" si="11"/>
        <v>#DIV/0!</v>
      </c>
      <c r="G168" s="105" t="e">
        <f t="shared" si="11"/>
        <v>#DIV/0!</v>
      </c>
      <c r="H168" s="105" t="e">
        <f t="shared" si="11"/>
        <v>#DIV/0!</v>
      </c>
      <c r="I168" s="105" t="e">
        <f t="shared" si="11"/>
        <v>#DIV/0!</v>
      </c>
      <c r="J168" s="105" t="e">
        <f t="shared" si="11"/>
        <v>#DIV/0!</v>
      </c>
      <c r="K168" s="66" t="e">
        <f t="shared" si="12"/>
        <v>#DIV/0!</v>
      </c>
    </row>
    <row r="169" spans="1:11" hidden="1">
      <c r="B169" s="99">
        <f>'Background Controls'!I10</f>
        <v>0</v>
      </c>
      <c r="C169" s="105">
        <f t="shared" si="11"/>
        <v>0</v>
      </c>
      <c r="D169" s="105">
        <f t="shared" si="11"/>
        <v>0</v>
      </c>
      <c r="E169" s="105">
        <f t="shared" si="11"/>
        <v>0</v>
      </c>
      <c r="F169" s="105" t="e">
        <f t="shared" si="11"/>
        <v>#DIV/0!</v>
      </c>
      <c r="G169" s="105" t="e">
        <f t="shared" si="11"/>
        <v>#DIV/0!</v>
      </c>
      <c r="H169" s="105" t="e">
        <f t="shared" si="11"/>
        <v>#DIV/0!</v>
      </c>
      <c r="I169" s="105" t="e">
        <f t="shared" si="11"/>
        <v>#DIV/0!</v>
      </c>
      <c r="J169" s="105" t="e">
        <f t="shared" si="11"/>
        <v>#DIV/0!</v>
      </c>
      <c r="K169" s="66" t="e">
        <f t="shared" si="12"/>
        <v>#DIV/0!</v>
      </c>
    </row>
    <row r="170" spans="1:11" hidden="1">
      <c r="B170" s="99">
        <f>'Background Controls'!I11</f>
        <v>0</v>
      </c>
      <c r="C170" s="105">
        <f t="shared" si="11"/>
        <v>0</v>
      </c>
      <c r="D170" s="105">
        <f t="shared" si="11"/>
        <v>0</v>
      </c>
      <c r="E170" s="105">
        <f t="shared" si="11"/>
        <v>0</v>
      </c>
      <c r="F170" s="105" t="e">
        <f t="shared" si="11"/>
        <v>#DIV/0!</v>
      </c>
      <c r="G170" s="105" t="e">
        <f t="shared" si="11"/>
        <v>#DIV/0!</v>
      </c>
      <c r="H170" s="105" t="e">
        <f t="shared" si="11"/>
        <v>#DIV/0!</v>
      </c>
      <c r="I170" s="105" t="e">
        <f t="shared" si="11"/>
        <v>#DIV/0!</v>
      </c>
      <c r="J170" s="105" t="e">
        <f t="shared" si="11"/>
        <v>#DIV/0!</v>
      </c>
      <c r="K170" s="66" t="e">
        <f t="shared" si="12"/>
        <v>#DIV/0!</v>
      </c>
    </row>
    <row r="171" spans="1:11" hidden="1">
      <c r="B171" s="99">
        <f>'Background Controls'!I12</f>
        <v>0</v>
      </c>
      <c r="C171" s="105">
        <f t="shared" si="11"/>
        <v>0</v>
      </c>
      <c r="D171" s="105">
        <f t="shared" si="11"/>
        <v>0</v>
      </c>
      <c r="E171" s="105">
        <f t="shared" si="11"/>
        <v>0</v>
      </c>
      <c r="F171" s="105" t="e">
        <f t="shared" si="11"/>
        <v>#DIV/0!</v>
      </c>
      <c r="G171" s="105" t="e">
        <f t="shared" si="11"/>
        <v>#DIV/0!</v>
      </c>
      <c r="H171" s="105" t="e">
        <f t="shared" si="11"/>
        <v>#DIV/0!</v>
      </c>
      <c r="I171" s="105" t="e">
        <f t="shared" si="11"/>
        <v>#DIV/0!</v>
      </c>
      <c r="J171" s="105" t="e">
        <f t="shared" si="11"/>
        <v>#DIV/0!</v>
      </c>
      <c r="K171" s="66" t="e">
        <f t="shared" si="12"/>
        <v>#DIV/0!</v>
      </c>
    </row>
    <row r="172" spans="1:11" hidden="1">
      <c r="B172" s="99">
        <f>'Background Controls'!I13</f>
        <v>0</v>
      </c>
      <c r="C172" s="105">
        <f t="shared" si="11"/>
        <v>0</v>
      </c>
      <c r="D172" s="105">
        <f t="shared" si="11"/>
        <v>0</v>
      </c>
      <c r="E172" s="105">
        <f t="shared" si="11"/>
        <v>0</v>
      </c>
      <c r="F172" s="105" t="e">
        <f t="shared" si="11"/>
        <v>#DIV/0!</v>
      </c>
      <c r="G172" s="105" t="e">
        <f t="shared" si="11"/>
        <v>#DIV/0!</v>
      </c>
      <c r="H172" s="105" t="e">
        <f t="shared" si="11"/>
        <v>#DIV/0!</v>
      </c>
      <c r="I172" s="105" t="e">
        <f t="shared" si="11"/>
        <v>#DIV/0!</v>
      </c>
      <c r="J172" s="105" t="e">
        <f t="shared" si="11"/>
        <v>#DIV/0!</v>
      </c>
      <c r="K172" s="66" t="e">
        <f t="shared" si="12"/>
        <v>#DIV/0!</v>
      </c>
    </row>
    <row r="173" spans="1:11" hidden="1">
      <c r="B173" s="99">
        <f>'Background Controls'!I14</f>
        <v>0</v>
      </c>
      <c r="C173" s="105">
        <f t="shared" si="11"/>
        <v>0</v>
      </c>
      <c r="D173" s="105">
        <f t="shared" si="11"/>
        <v>0</v>
      </c>
      <c r="E173" s="105">
        <f t="shared" si="11"/>
        <v>0</v>
      </c>
      <c r="F173" s="105" t="e">
        <f t="shared" si="11"/>
        <v>#DIV/0!</v>
      </c>
      <c r="G173" s="105" t="e">
        <f t="shared" si="11"/>
        <v>#DIV/0!</v>
      </c>
      <c r="H173" s="105" t="e">
        <f t="shared" si="11"/>
        <v>#DIV/0!</v>
      </c>
      <c r="I173" s="105" t="e">
        <f t="shared" si="11"/>
        <v>#DIV/0!</v>
      </c>
      <c r="J173" s="105" t="e">
        <f t="shared" si="11"/>
        <v>#DIV/0!</v>
      </c>
      <c r="K173" s="66" t="e">
        <f t="shared" si="12"/>
        <v>#DIV/0!</v>
      </c>
    </row>
    <row r="174" spans="1:11" hidden="1">
      <c r="B174" s="99">
        <f>'Background Controls'!I15</f>
        <v>0</v>
      </c>
      <c r="C174" s="105">
        <f t="shared" si="11"/>
        <v>0</v>
      </c>
      <c r="D174" s="105">
        <f t="shared" si="11"/>
        <v>0</v>
      </c>
      <c r="E174" s="105">
        <f t="shared" si="11"/>
        <v>0</v>
      </c>
      <c r="F174" s="105" t="e">
        <f t="shared" si="11"/>
        <v>#DIV/0!</v>
      </c>
      <c r="G174" s="105" t="e">
        <f t="shared" si="11"/>
        <v>#DIV/0!</v>
      </c>
      <c r="H174" s="105" t="e">
        <f t="shared" si="11"/>
        <v>#DIV/0!</v>
      </c>
      <c r="I174" s="105" t="e">
        <f t="shared" si="11"/>
        <v>#DIV/0!</v>
      </c>
      <c r="J174" s="105" t="e">
        <f t="shared" si="11"/>
        <v>#DIV/0!</v>
      </c>
      <c r="K174" s="66" t="e">
        <f t="shared" si="12"/>
        <v>#DIV/0!</v>
      </c>
    </row>
    <row r="175" spans="1:11" hidden="1">
      <c r="B175" s="99">
        <f>'Background Controls'!I16</f>
        <v>0</v>
      </c>
      <c r="C175" s="105">
        <f t="shared" si="11"/>
        <v>0</v>
      </c>
      <c r="D175" s="105">
        <f t="shared" si="11"/>
        <v>0</v>
      </c>
      <c r="E175" s="105">
        <f t="shared" si="11"/>
        <v>0</v>
      </c>
      <c r="F175" s="105" t="e">
        <f t="shared" si="11"/>
        <v>#DIV/0!</v>
      </c>
      <c r="G175" s="105" t="e">
        <f t="shared" si="11"/>
        <v>#DIV/0!</v>
      </c>
      <c r="H175" s="105" t="e">
        <f t="shared" si="11"/>
        <v>#DIV/0!</v>
      </c>
      <c r="I175" s="105" t="e">
        <f t="shared" si="11"/>
        <v>#DIV/0!</v>
      </c>
      <c r="J175" s="105" t="e">
        <f t="shared" si="11"/>
        <v>#DIV/0!</v>
      </c>
      <c r="K175" s="66" t="e">
        <f t="shared" si="12"/>
        <v>#DIV/0!</v>
      </c>
    </row>
    <row r="176" spans="1:11" hidden="1">
      <c r="B176" s="99">
        <f>'Background Controls'!I17</f>
        <v>0</v>
      </c>
      <c r="C176" s="105">
        <f t="shared" si="11"/>
        <v>0</v>
      </c>
      <c r="D176" s="105">
        <f t="shared" si="11"/>
        <v>0</v>
      </c>
      <c r="E176" s="105">
        <f t="shared" si="11"/>
        <v>0</v>
      </c>
      <c r="F176" s="105" t="e">
        <f t="shared" si="11"/>
        <v>#DIV/0!</v>
      </c>
      <c r="G176" s="105" t="e">
        <f t="shared" si="11"/>
        <v>#DIV/0!</v>
      </c>
      <c r="H176" s="105" t="e">
        <f t="shared" si="11"/>
        <v>#DIV/0!</v>
      </c>
      <c r="I176" s="105" t="e">
        <f t="shared" si="11"/>
        <v>#DIV/0!</v>
      </c>
      <c r="J176" s="105" t="e">
        <f t="shared" si="11"/>
        <v>#DIV/0!</v>
      </c>
      <c r="K176" s="66" t="e">
        <f t="shared" si="12"/>
        <v>#DIV/0!</v>
      </c>
    </row>
    <row r="177" spans="1:14" hidden="1">
      <c r="B177" s="99">
        <f>'Background Controls'!I18</f>
        <v>0</v>
      </c>
      <c r="C177" s="105">
        <f t="shared" si="11"/>
        <v>0</v>
      </c>
      <c r="D177" s="105">
        <f t="shared" si="11"/>
        <v>0</v>
      </c>
      <c r="E177" s="105">
        <f t="shared" si="11"/>
        <v>0</v>
      </c>
      <c r="F177" s="105" t="e">
        <f t="shared" si="11"/>
        <v>#DIV/0!</v>
      </c>
      <c r="G177" s="105" t="e">
        <f t="shared" si="11"/>
        <v>#DIV/0!</v>
      </c>
      <c r="H177" s="105" t="e">
        <f t="shared" si="11"/>
        <v>#DIV/0!</v>
      </c>
      <c r="I177" s="105" t="e">
        <f t="shared" si="11"/>
        <v>#DIV/0!</v>
      </c>
      <c r="J177" s="105" t="e">
        <f t="shared" si="11"/>
        <v>#DIV/0!</v>
      </c>
      <c r="K177" s="66" t="e">
        <f t="shared" si="12"/>
        <v>#DIV/0!</v>
      </c>
    </row>
    <row r="178" spans="1:14" hidden="1">
      <c r="B178" s="99">
        <f>'Background Controls'!I19</f>
        <v>0</v>
      </c>
      <c r="C178" s="105">
        <f t="shared" si="11"/>
        <v>0</v>
      </c>
      <c r="D178" s="105">
        <f t="shared" si="11"/>
        <v>0</v>
      </c>
      <c r="E178" s="105">
        <f t="shared" si="11"/>
        <v>0</v>
      </c>
      <c r="F178" s="105" t="e">
        <f t="shared" si="11"/>
        <v>#DIV/0!</v>
      </c>
      <c r="G178" s="105" t="e">
        <f t="shared" si="11"/>
        <v>#DIV/0!</v>
      </c>
      <c r="H178" s="105" t="e">
        <f t="shared" si="11"/>
        <v>#DIV/0!</v>
      </c>
      <c r="I178" s="105" t="e">
        <f t="shared" si="11"/>
        <v>#DIV/0!</v>
      </c>
      <c r="J178" s="105" t="e">
        <f t="shared" si="11"/>
        <v>#DIV/0!</v>
      </c>
      <c r="K178" s="66" t="e">
        <f t="shared" si="12"/>
        <v>#DIV/0!</v>
      </c>
    </row>
    <row r="179" spans="1:14" hidden="1">
      <c r="B179" s="99">
        <f>'Background Controls'!I20</f>
        <v>0</v>
      </c>
      <c r="C179" s="105">
        <f t="shared" si="11"/>
        <v>0</v>
      </c>
      <c r="D179" s="105">
        <f t="shared" si="11"/>
        <v>0</v>
      </c>
      <c r="E179" s="105">
        <f t="shared" si="11"/>
        <v>0</v>
      </c>
      <c r="F179" s="105" t="e">
        <f t="shared" si="11"/>
        <v>#DIV/0!</v>
      </c>
      <c r="G179" s="105" t="e">
        <f t="shared" si="11"/>
        <v>#DIV/0!</v>
      </c>
      <c r="H179" s="105" t="e">
        <f t="shared" si="11"/>
        <v>#DIV/0!</v>
      </c>
      <c r="I179" s="105" t="e">
        <f t="shared" si="11"/>
        <v>#DIV/0!</v>
      </c>
      <c r="J179" s="105" t="e">
        <f t="shared" si="11"/>
        <v>#DIV/0!</v>
      </c>
      <c r="K179" s="66" t="e">
        <f t="shared" si="12"/>
        <v>#DIV/0!</v>
      </c>
    </row>
    <row r="180" spans="1:14" hidden="1">
      <c r="B180" s="99">
        <f>'Background Controls'!I21</f>
        <v>0</v>
      </c>
      <c r="C180" s="105">
        <f t="shared" si="11"/>
        <v>0</v>
      </c>
      <c r="D180" s="105">
        <f t="shared" si="11"/>
        <v>0</v>
      </c>
      <c r="E180" s="105">
        <f t="shared" si="11"/>
        <v>0</v>
      </c>
      <c r="F180" s="105" t="e">
        <f t="shared" si="11"/>
        <v>#DIV/0!</v>
      </c>
      <c r="G180" s="105" t="e">
        <f t="shared" si="11"/>
        <v>#DIV/0!</v>
      </c>
      <c r="H180" s="105" t="e">
        <f t="shared" si="11"/>
        <v>#DIV/0!</v>
      </c>
      <c r="I180" s="105" t="e">
        <f t="shared" si="11"/>
        <v>#DIV/0!</v>
      </c>
      <c r="J180" s="105" t="e">
        <f t="shared" si="11"/>
        <v>#DIV/0!</v>
      </c>
      <c r="K180" s="66" t="e">
        <f t="shared" si="12"/>
        <v>#DIV/0!</v>
      </c>
    </row>
    <row r="181" spans="1:14" hidden="1">
      <c r="B181" s="99">
        <f>'Background Controls'!I22</f>
        <v>0</v>
      </c>
      <c r="C181" s="105">
        <f t="shared" si="11"/>
        <v>0</v>
      </c>
      <c r="D181" s="105">
        <f t="shared" si="11"/>
        <v>0</v>
      </c>
      <c r="E181" s="105">
        <f t="shared" si="11"/>
        <v>0</v>
      </c>
      <c r="F181" s="105" t="e">
        <f t="shared" si="11"/>
        <v>#DIV/0!</v>
      </c>
      <c r="G181" s="105" t="e">
        <f t="shared" si="11"/>
        <v>#DIV/0!</v>
      </c>
      <c r="H181" s="105" t="e">
        <f t="shared" si="11"/>
        <v>#DIV/0!</v>
      </c>
      <c r="I181" s="105" t="e">
        <f t="shared" si="11"/>
        <v>#DIV/0!</v>
      </c>
      <c r="J181" s="105" t="e">
        <f t="shared" si="11"/>
        <v>#DIV/0!</v>
      </c>
      <c r="K181" s="66" t="e">
        <f t="shared" si="12"/>
        <v>#DIV/0!</v>
      </c>
    </row>
    <row r="182" spans="1:14" hidden="1">
      <c r="B182" s="99">
        <f>'Background Controls'!I23</f>
        <v>0</v>
      </c>
      <c r="C182" s="105">
        <f t="shared" si="11"/>
        <v>0</v>
      </c>
      <c r="D182" s="105">
        <f t="shared" si="11"/>
        <v>0</v>
      </c>
      <c r="E182" s="105">
        <f t="shared" si="11"/>
        <v>0</v>
      </c>
      <c r="F182" s="105" t="e">
        <f t="shared" si="11"/>
        <v>#DIV/0!</v>
      </c>
      <c r="G182" s="105" t="e">
        <f t="shared" si="11"/>
        <v>#DIV/0!</v>
      </c>
      <c r="H182" s="105" t="e">
        <f t="shared" si="11"/>
        <v>#DIV/0!</v>
      </c>
      <c r="I182" s="105" t="e">
        <f t="shared" si="11"/>
        <v>#DIV/0!</v>
      </c>
      <c r="J182" s="105" t="e">
        <f t="shared" si="11"/>
        <v>#DIV/0!</v>
      </c>
      <c r="K182" s="66" t="e">
        <f t="shared" si="12"/>
        <v>#DIV/0!</v>
      </c>
    </row>
    <row r="183" spans="1:14" hidden="1">
      <c r="B183" s="99">
        <f>'Background Controls'!I24</f>
        <v>0</v>
      </c>
      <c r="C183" s="105">
        <f t="shared" si="11"/>
        <v>0</v>
      </c>
      <c r="D183" s="105">
        <f t="shared" si="11"/>
        <v>0</v>
      </c>
      <c r="E183" s="105">
        <f t="shared" si="11"/>
        <v>0</v>
      </c>
      <c r="F183" s="105" t="e">
        <f t="shared" si="11"/>
        <v>#DIV/0!</v>
      </c>
      <c r="G183" s="105" t="e">
        <f t="shared" si="11"/>
        <v>#DIV/0!</v>
      </c>
      <c r="H183" s="105" t="e">
        <f t="shared" si="11"/>
        <v>#DIV/0!</v>
      </c>
      <c r="I183" s="105" t="e">
        <f t="shared" si="11"/>
        <v>#DIV/0!</v>
      </c>
      <c r="J183" s="105" t="e">
        <f t="shared" si="11"/>
        <v>#DIV/0!</v>
      </c>
      <c r="K183" s="66" t="e">
        <f t="shared" si="12"/>
        <v>#DIV/0!</v>
      </c>
    </row>
    <row r="184" spans="1:14">
      <c r="B184" s="860" t="s">
        <v>253</v>
      </c>
      <c r="C184" s="564">
        <f t="shared" ref="C184:K184" si="13">SUM(C164:C183)</f>
        <v>0</v>
      </c>
      <c r="D184" s="222">
        <f t="shared" si="13"/>
        <v>0</v>
      </c>
      <c r="E184" s="222">
        <f t="shared" si="13"/>
        <v>0</v>
      </c>
      <c r="F184" s="222" t="e">
        <f t="shared" si="13"/>
        <v>#DIV/0!</v>
      </c>
      <c r="G184" s="222" t="e">
        <f t="shared" si="13"/>
        <v>#DIV/0!</v>
      </c>
      <c r="H184" s="222" t="e">
        <f t="shared" si="13"/>
        <v>#DIV/0!</v>
      </c>
      <c r="I184" s="222" t="e">
        <f t="shared" si="13"/>
        <v>#DIV/0!</v>
      </c>
      <c r="J184" s="223" t="e">
        <f t="shared" si="13"/>
        <v>#DIV/0!</v>
      </c>
      <c r="K184" s="927" t="e">
        <f t="shared" si="13"/>
        <v>#DIV/0!</v>
      </c>
    </row>
    <row r="188" spans="1:14" ht="65.150000000000006" customHeight="1">
      <c r="A188" s="1108" t="s">
        <v>710</v>
      </c>
      <c r="B188" s="1108"/>
      <c r="C188" s="1108"/>
      <c r="D188" s="1108"/>
      <c r="E188" s="1108"/>
      <c r="F188" s="1108"/>
      <c r="G188" s="1108"/>
      <c r="H188" s="1108"/>
      <c r="I188" s="1108"/>
      <c r="J188" s="1108"/>
      <c r="K188" s="1108"/>
      <c r="L188" s="1108"/>
      <c r="M188" s="1108"/>
      <c r="N188" s="1109"/>
    </row>
  </sheetData>
  <mergeCells count="7">
    <mergeCell ref="A188:N188"/>
    <mergeCell ref="E53:M53"/>
    <mergeCell ref="B61:C61"/>
    <mergeCell ref="A38:M39"/>
    <mergeCell ref="A55:M56"/>
    <mergeCell ref="A134:N134"/>
    <mergeCell ref="A51:N51"/>
  </mergeCells>
  <conditionalFormatting sqref="C49:C50 C52">
    <cfRule type="cellIs" dxfId="2" priority="1" operator="notBetween">
      <formula>0.995</formula>
      <formula>1.005</formula>
    </cfRule>
  </conditionalFormatting>
  <hyperlinks>
    <hyperlink ref="A3:C3" location="'Employee Commutes'!A12" display="Step 1. Enter employee data by department" xr:uid="{00000000-0004-0000-1800-000000000000}"/>
    <hyperlink ref="A4:C4" location="'Employee Commutes'!A36" display="Step 2. Enter mode of transportation proportions" xr:uid="{00000000-0004-0000-1800-000001000000}"/>
    <hyperlink ref="A6:C6" location="'Employee Commutes'!A77" display="Chart: Employee Commute Emissions" xr:uid="{00000000-0004-0000-1800-000002000000}"/>
    <hyperlink ref="A7:B7" location="'Employee Commutes'!A106" display="Background Calculations" xr:uid="{00000000-0004-0000-1800-000003000000}"/>
    <hyperlink ref="A4" location="'Employee Commute'!A36" display="Step 2. Enter mode of transportation proportions" xr:uid="{00000000-0004-0000-1800-000004000000}"/>
    <hyperlink ref="A6" location="'Employee Commute'!A85" display="Chart: Employee Commute Emissions" xr:uid="{00000000-0004-0000-1800-000005000000}"/>
    <hyperlink ref="A7" location="'Employee Commute'!A106" display="Background Calculations" xr:uid="{00000000-0004-0000-1800-000006000000}"/>
    <hyperlink ref="A6:B6" location="'Employee Commutes'!A85" display="Chart: Employee Commute Emissions" xr:uid="{00000000-0004-0000-1800-000007000000}"/>
    <hyperlink ref="A5:B5" location="'Employee Commutes'!A59" display="Employee Commute Emissions Summary" xr:uid="{00000000-0004-0000-1800-000008000000}"/>
    <hyperlink ref="A5" location="'Employee Commute'!A59" display="Employee Commute Emissions Summary" xr:uid="{00000000-0004-0000-1800-000009000000}"/>
    <hyperlink ref="A3" location="'Employee Commute'!A12" display="Step 1. Enter employee data by department" xr:uid="{00000000-0004-0000-1800-00000A000000}"/>
  </hyperlinks>
  <pageMargins left="0.7" right="0.7" top="0.75" bottom="0.75" header="0.3" footer="0.3"/>
  <pageSetup orientation="portrait"/>
  <drawing r:id="rId1"/>
  <legacyDrawing r:id="rId2"/>
  <controls>
    <mc:AlternateContent xmlns:mc="http://schemas.openxmlformats.org/markup-compatibility/2006">
      <mc:Choice Requires="x14">
        <control shapeId="43009" r:id="rId3" name="ck_comp_EmployeeCommute">
          <controlPr autoLine="0" linkedCell="comp_EmployeeCommute" r:id="rId4">
            <anchor moveWithCells="1">
              <from>
                <xdr:col>9</xdr:col>
                <xdr:colOff>431800</xdr:colOff>
                <xdr:row>0</xdr:row>
                <xdr:rowOff>107950</xdr:rowOff>
              </from>
              <to>
                <xdr:col>13</xdr:col>
                <xdr:colOff>228600</xdr:colOff>
                <xdr:row>0</xdr:row>
                <xdr:rowOff>374650</xdr:rowOff>
              </to>
            </anchor>
          </controlPr>
        </control>
      </mc:Choice>
      <mc:Fallback>
        <control shapeId="43009" r:id="rId3" name="ck_comp_EmployeeCommute"/>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96FA7-B89F-4529-A461-331BAFA4A6E0}">
  <sheetPr codeName="Sheet27">
    <tabColor theme="7"/>
  </sheetPr>
  <dimension ref="A1:N342"/>
  <sheetViews>
    <sheetView showGridLines="0" workbookViewId="0"/>
  </sheetViews>
  <sheetFormatPr defaultColWidth="8.81640625" defaultRowHeight="14.5"/>
  <cols>
    <col min="1" max="1" width="7.1796875" customWidth="1"/>
    <col min="2" max="2" width="26" customWidth="1"/>
    <col min="3" max="3" width="14.453125" customWidth="1"/>
    <col min="4" max="6" width="12.1796875" customWidth="1"/>
    <col min="7" max="7" width="10.26953125" customWidth="1"/>
    <col min="8" max="8" width="12.81640625" customWidth="1"/>
    <col min="9" max="9" width="11" customWidth="1"/>
    <col min="10" max="10" width="10.453125" customWidth="1"/>
    <col min="11" max="11" width="12.1796875" customWidth="1"/>
    <col min="12" max="12" width="13.1796875" customWidth="1"/>
    <col min="13" max="13" width="12.81640625" customWidth="1"/>
    <col min="14" max="14" width="13" style="308" bestFit="1" customWidth="1"/>
    <col min="15" max="16384" width="8.81640625" style="109"/>
  </cols>
  <sheetData>
    <row r="1" spans="1:13" ht="38.25" customHeight="1" thickBot="1">
      <c r="A1" s="488" t="s">
        <v>711</v>
      </c>
      <c r="B1" s="490"/>
      <c r="C1" s="490"/>
      <c r="D1" s="490"/>
      <c r="E1" s="490"/>
      <c r="F1" s="490"/>
      <c r="G1" s="490"/>
      <c r="H1" s="490"/>
      <c r="I1" s="490"/>
      <c r="J1" s="490"/>
      <c r="K1" s="490"/>
      <c r="L1" s="490"/>
      <c r="M1" s="490"/>
    </row>
    <row r="2" spans="1:13" ht="15" customHeight="1">
      <c r="A2" s="279" t="s">
        <v>235</v>
      </c>
      <c r="B2" s="71"/>
      <c r="C2" s="71"/>
      <c r="D2" s="71"/>
      <c r="E2" s="71"/>
      <c r="F2" s="71"/>
      <c r="G2" s="71"/>
      <c r="H2" s="71"/>
      <c r="I2" s="71"/>
      <c r="J2" s="71"/>
      <c r="K2" s="71"/>
      <c r="L2" s="71"/>
      <c r="M2" s="71"/>
    </row>
    <row r="3" spans="1:13" ht="15" customHeight="1">
      <c r="A3" s="280" t="s">
        <v>462</v>
      </c>
      <c r="B3" s="71"/>
      <c r="C3" s="71"/>
      <c r="D3" s="71"/>
      <c r="E3" s="71"/>
      <c r="F3" s="71"/>
      <c r="G3" s="71"/>
      <c r="H3" s="71"/>
      <c r="I3" s="71"/>
      <c r="J3" s="71"/>
      <c r="K3" s="71"/>
      <c r="L3" s="71"/>
      <c r="M3" s="71"/>
    </row>
    <row r="4" spans="1:13" ht="15" customHeight="1">
      <c r="A4" s="281" t="s">
        <v>237</v>
      </c>
      <c r="B4" s="82"/>
      <c r="C4" s="71"/>
      <c r="D4" s="71"/>
      <c r="E4" s="71"/>
      <c r="F4" s="71"/>
      <c r="G4" s="71"/>
      <c r="H4" s="71"/>
      <c r="I4" s="71"/>
      <c r="J4" s="71"/>
      <c r="K4" s="71"/>
      <c r="L4" s="71"/>
      <c r="M4" s="71"/>
    </row>
    <row r="5" spans="1:13" ht="15" customHeight="1">
      <c r="A5" s="280" t="s">
        <v>642</v>
      </c>
      <c r="B5" s="71"/>
      <c r="C5" s="71"/>
      <c r="D5" s="71"/>
      <c r="E5" s="71"/>
      <c r="F5" s="71"/>
      <c r="G5" s="71"/>
      <c r="H5" s="71"/>
      <c r="I5" s="71"/>
      <c r="J5" s="71"/>
      <c r="K5" s="71"/>
      <c r="L5" s="71"/>
      <c r="M5" s="71"/>
    </row>
    <row r="6" spans="1:13" ht="15" customHeight="1">
      <c r="A6" s="281" t="s">
        <v>643</v>
      </c>
      <c r="B6" s="82"/>
      <c r="C6" s="71"/>
      <c r="D6" s="71"/>
      <c r="E6" s="71"/>
      <c r="F6" s="71"/>
      <c r="G6" s="71"/>
      <c r="H6" s="71"/>
      <c r="I6" s="71"/>
      <c r="J6" s="71"/>
      <c r="K6" s="71"/>
      <c r="L6" s="71"/>
      <c r="M6" s="71"/>
    </row>
    <row r="7" spans="1:13" ht="15" customHeight="1">
      <c r="A7" s="280" t="s">
        <v>242</v>
      </c>
      <c r="B7" s="71"/>
      <c r="C7" s="71"/>
      <c r="D7" s="71"/>
      <c r="E7" s="71"/>
      <c r="F7" s="71"/>
      <c r="G7" s="71"/>
      <c r="H7" s="71"/>
      <c r="I7" s="71"/>
      <c r="J7" s="71"/>
      <c r="K7" s="71"/>
      <c r="L7" s="71"/>
      <c r="M7" s="71"/>
    </row>
    <row r="8" spans="1:13" ht="15" customHeight="1">
      <c r="A8" s="281" t="s">
        <v>712</v>
      </c>
      <c r="B8" s="82"/>
      <c r="C8" s="71"/>
      <c r="D8" s="71"/>
      <c r="E8" s="71"/>
      <c r="F8" s="71"/>
      <c r="G8" s="71"/>
      <c r="H8" s="71"/>
      <c r="I8" s="71"/>
      <c r="J8" s="71"/>
      <c r="K8" s="71"/>
      <c r="L8" s="71"/>
      <c r="M8" s="71"/>
    </row>
    <row r="9" spans="1:13" ht="15" customHeight="1">
      <c r="A9" s="281" t="s">
        <v>713</v>
      </c>
      <c r="B9" s="82"/>
      <c r="C9" s="71"/>
      <c r="D9" s="71"/>
      <c r="E9" s="71"/>
      <c r="F9" s="71"/>
      <c r="G9" s="71"/>
      <c r="H9" s="71"/>
      <c r="I9" s="71"/>
      <c r="J9" s="71"/>
      <c r="K9" s="71"/>
      <c r="L9" s="71"/>
      <c r="M9" s="71"/>
    </row>
    <row r="10" spans="1:13" ht="15" customHeight="1">
      <c r="A10" s="281" t="s">
        <v>714</v>
      </c>
      <c r="B10" s="82"/>
      <c r="C10" s="71"/>
      <c r="D10" s="71"/>
      <c r="E10" s="71"/>
      <c r="F10" s="71"/>
      <c r="G10" s="71"/>
      <c r="H10" s="71"/>
      <c r="I10" s="71"/>
      <c r="J10" s="71"/>
      <c r="K10" s="71"/>
      <c r="L10" s="71"/>
      <c r="M10" s="71"/>
    </row>
    <row r="11" spans="1:13" ht="15" customHeight="1">
      <c r="A11" s="281" t="s">
        <v>647</v>
      </c>
      <c r="B11" s="82"/>
      <c r="C11" s="82"/>
      <c r="D11" s="71"/>
      <c r="E11" s="71"/>
      <c r="F11" s="71"/>
      <c r="G11" s="71"/>
      <c r="H11" s="71"/>
      <c r="I11" s="71"/>
      <c r="J11" s="71"/>
      <c r="K11" s="71"/>
      <c r="L11" s="71"/>
      <c r="M11" s="71"/>
    </row>
    <row r="12" spans="1:13" ht="15" customHeight="1">
      <c r="A12" s="281" t="s">
        <v>648</v>
      </c>
      <c r="B12" s="82"/>
      <c r="C12" s="82"/>
      <c r="D12" s="71"/>
      <c r="E12" s="71"/>
      <c r="F12" s="71"/>
      <c r="G12" s="71"/>
      <c r="H12" s="71"/>
      <c r="I12" s="71"/>
      <c r="J12" s="71"/>
      <c r="K12" s="71"/>
      <c r="L12" s="71"/>
      <c r="M12" s="71"/>
    </row>
    <row r="13" spans="1:13" ht="15" customHeight="1">
      <c r="A13" s="281" t="s">
        <v>649</v>
      </c>
      <c r="B13" s="82"/>
      <c r="C13" s="82"/>
      <c r="D13" s="71"/>
      <c r="E13" s="71"/>
      <c r="F13" s="71"/>
      <c r="G13" s="71"/>
      <c r="H13" s="71"/>
      <c r="I13" s="71"/>
      <c r="J13" s="71"/>
      <c r="K13" s="71"/>
      <c r="L13" s="71"/>
      <c r="M13" s="71"/>
    </row>
    <row r="14" spans="1:13" ht="15" customHeight="1" thickBot="1">
      <c r="A14" s="305" t="s">
        <v>650</v>
      </c>
      <c r="B14" s="84"/>
      <c r="C14" s="84"/>
      <c r="D14" s="80"/>
      <c r="E14" s="80"/>
      <c r="F14" s="80"/>
      <c r="G14" s="80"/>
      <c r="H14" s="80"/>
      <c r="I14" s="80"/>
      <c r="J14" s="80"/>
      <c r="K14" s="80"/>
      <c r="L14" s="80"/>
      <c r="M14" s="80"/>
    </row>
    <row r="15" spans="1:13" ht="15" thickTop="1">
      <c r="A15" s="282"/>
      <c r="B15" s="71"/>
      <c r="C15" s="71"/>
      <c r="D15" s="71"/>
      <c r="E15" s="71"/>
      <c r="F15" s="71"/>
      <c r="G15" s="71"/>
      <c r="H15" s="71"/>
      <c r="I15" s="71"/>
      <c r="J15" s="71"/>
      <c r="K15" s="71"/>
      <c r="L15" s="71"/>
      <c r="M15" s="71"/>
    </row>
    <row r="16" spans="1:13" ht="18.5">
      <c r="A16" s="283" t="s">
        <v>462</v>
      </c>
    </row>
    <row r="17" spans="1:6">
      <c r="A17" s="265"/>
      <c r="B17" s="1"/>
      <c r="C17" s="52"/>
    </row>
    <row r="18" spans="1:6" ht="17.5">
      <c r="A18" s="265"/>
      <c r="B18" s="1045" t="s">
        <v>715</v>
      </c>
      <c r="C18" s="1046"/>
      <c r="D18" s="1046"/>
      <c r="E18" s="1046"/>
      <c r="F18" s="1047"/>
    </row>
    <row r="19" spans="1:6" ht="16.5">
      <c r="A19" s="265"/>
      <c r="B19" s="860"/>
      <c r="C19" s="113" t="s">
        <v>16</v>
      </c>
      <c r="D19" s="60" t="s">
        <v>20</v>
      </c>
      <c r="E19" s="60" t="s">
        <v>73</v>
      </c>
      <c r="F19" s="104" t="s">
        <v>253</v>
      </c>
    </row>
    <row r="20" spans="1:6">
      <c r="A20" s="284" t="s">
        <v>101</v>
      </c>
      <c r="B20" s="119" t="str">
        <f>'Background Controls'!I5</f>
        <v>Residential</v>
      </c>
      <c r="C20" s="678">
        <f>IF(ISNA(VLOOKUP($B20, elec_calcs_deptCO2_contractual, 8, FALSE)),0, VLOOKUP($B20, elec_calcs_deptCO2_contractual, 8, FALSE))+IF(ISNA(VLOOKUP($B20, elec_calc_deptCO2_location_adjusted, 8, FALSE)),0, VLOOKUP($B20, elec_calc_deptCO2_location_adjusted, 8, FALSE))</f>
        <v>0</v>
      </c>
      <c r="D20" s="678">
        <f t="shared" ref="D20:D39" si="0">IF(ISNA(VLOOKUP($B20, elec_calcs_deptCH4_contractual, 8, FALSE)),0, VLOOKUP($B20, elec_calcs_deptCH4_contractual, 8, FALSE))+IF(ISNA(VLOOKUP($B20, elec_calc_deptCH4_location_adjusted, 8, FALSE)),0, VLOOKUP($B20, elec_calc_deptCH4_location_adjusted, 8, FALSE))</f>
        <v>0</v>
      </c>
      <c r="E20" s="678">
        <f t="shared" ref="E20:E39" si="1">IF(ISNA(VLOOKUP($B20, elec_calcs_deptN2O_contractual, 8, FALSE)),0, VLOOKUP($B20, elec_calcs_deptN2O_contractual, 8, FALSE))+IF(ISNA(VLOOKUP($B20, elec_calc_deptN2O_location_adjusted, 8, FALSE)),0, VLOOKUP($B20, elec_calc_deptN2O_location_adjusted, 8, FALSE))</f>
        <v>0</v>
      </c>
      <c r="F20" s="679">
        <f>SUM(C20:E20)</f>
        <v>0</v>
      </c>
    </row>
    <row r="21" spans="1:6">
      <c r="A21" s="265"/>
      <c r="B21" s="119" t="str">
        <f>'Background Controls'!I6</f>
        <v>Commercial/Institutional</v>
      </c>
      <c r="C21" s="678">
        <f t="shared" ref="C21:C39" si="2">IF(ISNA(VLOOKUP($B21, elec_calcs_deptCO2_contractual, 8, FALSE)),0, VLOOKUP($B21, elec_calcs_deptCO2_contractual, 8, FALSE))+IF(ISNA(VLOOKUP($B21, elec_calc_deptCO2_location_adjusted, 8, FALSE)),0, VLOOKUP($B21, elec_calc_deptCO2_location_adjusted, 8, FALSE))</f>
        <v>0</v>
      </c>
      <c r="D21" s="678">
        <f t="shared" si="0"/>
        <v>0</v>
      </c>
      <c r="E21" s="678">
        <f t="shared" si="1"/>
        <v>0</v>
      </c>
      <c r="F21" s="679">
        <f t="shared" ref="F21:F39" si="3">SUM(C21:E21)</f>
        <v>0</v>
      </c>
    </row>
    <row r="22" spans="1:6">
      <c r="A22" s="265"/>
      <c r="B22" s="119" t="str">
        <f>'Background Controls'!I7</f>
        <v>Industrial</v>
      </c>
      <c r="C22" s="678">
        <f t="shared" si="2"/>
        <v>0</v>
      </c>
      <c r="D22" s="678">
        <f t="shared" si="0"/>
        <v>0</v>
      </c>
      <c r="E22" s="678">
        <f t="shared" si="1"/>
        <v>0</v>
      </c>
      <c r="F22" s="679">
        <f t="shared" si="3"/>
        <v>0</v>
      </c>
    </row>
    <row r="23" spans="1:6">
      <c r="A23" s="265"/>
      <c r="B23" s="119" t="str">
        <f>'Background Controls'!I8</f>
        <v>Energy Generation</v>
      </c>
      <c r="C23" s="678">
        <f t="shared" si="2"/>
        <v>0</v>
      </c>
      <c r="D23" s="678">
        <f t="shared" si="0"/>
        <v>0</v>
      </c>
      <c r="E23" s="678">
        <f t="shared" si="1"/>
        <v>0</v>
      </c>
      <c r="F23" s="679">
        <f t="shared" si="3"/>
        <v>0</v>
      </c>
    </row>
    <row r="24" spans="1:6" hidden="1">
      <c r="A24" s="265"/>
      <c r="B24" s="119">
        <f>'Background Controls'!I9</f>
        <v>0</v>
      </c>
      <c r="C24" s="678">
        <f t="shared" si="2"/>
        <v>0</v>
      </c>
      <c r="D24" s="678">
        <f t="shared" si="0"/>
        <v>0</v>
      </c>
      <c r="E24" s="678">
        <f t="shared" si="1"/>
        <v>0</v>
      </c>
      <c r="F24" s="679">
        <f t="shared" si="3"/>
        <v>0</v>
      </c>
    </row>
    <row r="25" spans="1:6" hidden="1">
      <c r="A25" s="265"/>
      <c r="B25" s="119">
        <f>'Background Controls'!I10</f>
        <v>0</v>
      </c>
      <c r="C25" s="678">
        <f t="shared" si="2"/>
        <v>0</v>
      </c>
      <c r="D25" s="678">
        <f t="shared" si="0"/>
        <v>0</v>
      </c>
      <c r="E25" s="678">
        <f t="shared" si="1"/>
        <v>0</v>
      </c>
      <c r="F25" s="679">
        <f t="shared" si="3"/>
        <v>0</v>
      </c>
    </row>
    <row r="26" spans="1:6" hidden="1">
      <c r="A26" s="265"/>
      <c r="B26" s="119">
        <f>'Background Controls'!I11</f>
        <v>0</v>
      </c>
      <c r="C26" s="678">
        <f t="shared" si="2"/>
        <v>0</v>
      </c>
      <c r="D26" s="678">
        <f t="shared" si="0"/>
        <v>0</v>
      </c>
      <c r="E26" s="678">
        <f t="shared" si="1"/>
        <v>0</v>
      </c>
      <c r="F26" s="679">
        <f t="shared" si="3"/>
        <v>0</v>
      </c>
    </row>
    <row r="27" spans="1:6" hidden="1">
      <c r="A27" s="265"/>
      <c r="B27" s="119">
        <f>'Background Controls'!I12</f>
        <v>0</v>
      </c>
      <c r="C27" s="678">
        <f t="shared" si="2"/>
        <v>0</v>
      </c>
      <c r="D27" s="678">
        <f t="shared" si="0"/>
        <v>0</v>
      </c>
      <c r="E27" s="678">
        <f t="shared" si="1"/>
        <v>0</v>
      </c>
      <c r="F27" s="679">
        <f t="shared" si="3"/>
        <v>0</v>
      </c>
    </row>
    <row r="28" spans="1:6" hidden="1">
      <c r="A28" s="265"/>
      <c r="B28" s="119">
        <f>'Background Controls'!I13</f>
        <v>0</v>
      </c>
      <c r="C28" s="678">
        <f t="shared" si="2"/>
        <v>0</v>
      </c>
      <c r="D28" s="678">
        <f t="shared" si="0"/>
        <v>0</v>
      </c>
      <c r="E28" s="678">
        <f t="shared" si="1"/>
        <v>0</v>
      </c>
      <c r="F28" s="679">
        <f t="shared" si="3"/>
        <v>0</v>
      </c>
    </row>
    <row r="29" spans="1:6" hidden="1">
      <c r="A29" s="265"/>
      <c r="B29" s="119">
        <f>'Background Controls'!I14</f>
        <v>0</v>
      </c>
      <c r="C29" s="678">
        <f t="shared" si="2"/>
        <v>0</v>
      </c>
      <c r="D29" s="678">
        <f t="shared" si="0"/>
        <v>0</v>
      </c>
      <c r="E29" s="678">
        <f t="shared" si="1"/>
        <v>0</v>
      </c>
      <c r="F29" s="679">
        <f t="shared" si="3"/>
        <v>0</v>
      </c>
    </row>
    <row r="30" spans="1:6" hidden="1">
      <c r="A30" s="265"/>
      <c r="B30" s="119">
        <f>'Background Controls'!I15</f>
        <v>0</v>
      </c>
      <c r="C30" s="678">
        <f t="shared" si="2"/>
        <v>0</v>
      </c>
      <c r="D30" s="678">
        <f t="shared" si="0"/>
        <v>0</v>
      </c>
      <c r="E30" s="678">
        <f t="shared" si="1"/>
        <v>0</v>
      </c>
      <c r="F30" s="679">
        <f t="shared" si="3"/>
        <v>0</v>
      </c>
    </row>
    <row r="31" spans="1:6" hidden="1">
      <c r="A31" s="265"/>
      <c r="B31" s="119">
        <f>'Background Controls'!I16</f>
        <v>0</v>
      </c>
      <c r="C31" s="678">
        <f t="shared" si="2"/>
        <v>0</v>
      </c>
      <c r="D31" s="678">
        <f t="shared" si="0"/>
        <v>0</v>
      </c>
      <c r="E31" s="678">
        <f t="shared" si="1"/>
        <v>0</v>
      </c>
      <c r="F31" s="679">
        <f t="shared" si="3"/>
        <v>0</v>
      </c>
    </row>
    <row r="32" spans="1:6" hidden="1">
      <c r="A32" s="265"/>
      <c r="B32" s="119">
        <f>'Background Controls'!I17</f>
        <v>0</v>
      </c>
      <c r="C32" s="678">
        <f t="shared" si="2"/>
        <v>0</v>
      </c>
      <c r="D32" s="678">
        <f t="shared" si="0"/>
        <v>0</v>
      </c>
      <c r="E32" s="678">
        <f t="shared" si="1"/>
        <v>0</v>
      </c>
      <c r="F32" s="679">
        <f t="shared" si="3"/>
        <v>0</v>
      </c>
    </row>
    <row r="33" spans="1:8" hidden="1">
      <c r="A33" s="265"/>
      <c r="B33" s="119">
        <f>'Background Controls'!I18</f>
        <v>0</v>
      </c>
      <c r="C33" s="678">
        <f t="shared" si="2"/>
        <v>0</v>
      </c>
      <c r="D33" s="678">
        <f t="shared" si="0"/>
        <v>0</v>
      </c>
      <c r="E33" s="678">
        <f t="shared" si="1"/>
        <v>0</v>
      </c>
      <c r="F33" s="679">
        <f t="shared" si="3"/>
        <v>0</v>
      </c>
    </row>
    <row r="34" spans="1:8" hidden="1">
      <c r="A34" s="265"/>
      <c r="B34" s="119">
        <f>'Background Controls'!I19</f>
        <v>0</v>
      </c>
      <c r="C34" s="678">
        <f t="shared" si="2"/>
        <v>0</v>
      </c>
      <c r="D34" s="678">
        <f t="shared" si="0"/>
        <v>0</v>
      </c>
      <c r="E34" s="678">
        <f t="shared" si="1"/>
        <v>0</v>
      </c>
      <c r="F34" s="679">
        <f t="shared" si="3"/>
        <v>0</v>
      </c>
    </row>
    <row r="35" spans="1:8" hidden="1">
      <c r="A35" s="265"/>
      <c r="B35" s="119">
        <f>'Background Controls'!I20</f>
        <v>0</v>
      </c>
      <c r="C35" s="678">
        <f t="shared" si="2"/>
        <v>0</v>
      </c>
      <c r="D35" s="678">
        <f t="shared" si="0"/>
        <v>0</v>
      </c>
      <c r="E35" s="678">
        <f t="shared" si="1"/>
        <v>0</v>
      </c>
      <c r="F35" s="679">
        <f t="shared" si="3"/>
        <v>0</v>
      </c>
    </row>
    <row r="36" spans="1:8" hidden="1">
      <c r="A36" s="265"/>
      <c r="B36" s="119">
        <f>'Background Controls'!I21</f>
        <v>0</v>
      </c>
      <c r="C36" s="678">
        <f t="shared" si="2"/>
        <v>0</v>
      </c>
      <c r="D36" s="678">
        <f t="shared" si="0"/>
        <v>0</v>
      </c>
      <c r="E36" s="678">
        <f t="shared" si="1"/>
        <v>0</v>
      </c>
      <c r="F36" s="679">
        <f t="shared" si="3"/>
        <v>0</v>
      </c>
    </row>
    <row r="37" spans="1:8" hidden="1">
      <c r="A37" s="265"/>
      <c r="B37" s="119">
        <f>'Background Controls'!I22</f>
        <v>0</v>
      </c>
      <c r="C37" s="678">
        <f t="shared" si="2"/>
        <v>0</v>
      </c>
      <c r="D37" s="678">
        <f t="shared" si="0"/>
        <v>0</v>
      </c>
      <c r="E37" s="678">
        <f t="shared" si="1"/>
        <v>0</v>
      </c>
      <c r="F37" s="679">
        <f t="shared" si="3"/>
        <v>0</v>
      </c>
    </row>
    <row r="38" spans="1:8" hidden="1">
      <c r="A38" s="265"/>
      <c r="B38" s="119">
        <f>'Background Controls'!I23</f>
        <v>0</v>
      </c>
      <c r="C38" s="678">
        <f t="shared" si="2"/>
        <v>0</v>
      </c>
      <c r="D38" s="678">
        <f t="shared" si="0"/>
        <v>0</v>
      </c>
      <c r="E38" s="678">
        <f t="shared" si="1"/>
        <v>0</v>
      </c>
      <c r="F38" s="679">
        <f t="shared" si="3"/>
        <v>0</v>
      </c>
    </row>
    <row r="39" spans="1:8" hidden="1">
      <c r="A39" s="265"/>
      <c r="B39" s="119">
        <f>'Background Controls'!I24</f>
        <v>0</v>
      </c>
      <c r="C39" s="678">
        <f t="shared" si="2"/>
        <v>0</v>
      </c>
      <c r="D39" s="678">
        <f t="shared" si="0"/>
        <v>0</v>
      </c>
      <c r="E39" s="678">
        <f t="shared" si="1"/>
        <v>0</v>
      </c>
      <c r="F39" s="679">
        <f t="shared" si="3"/>
        <v>0</v>
      </c>
    </row>
    <row r="40" spans="1:8" ht="29">
      <c r="A40" s="265"/>
      <c r="B40" s="928" t="s">
        <v>652</v>
      </c>
      <c r="C40" s="680">
        <f>SUM(C20:C39)</f>
        <v>0</v>
      </c>
      <c r="D40" s="680">
        <f>SUM(D20:D39)</f>
        <v>0</v>
      </c>
      <c r="E40" s="680">
        <f>SUM(E20:E39)</f>
        <v>0</v>
      </c>
      <c r="F40" s="929">
        <f>SUM(F20:F39)</f>
        <v>0</v>
      </c>
      <c r="H40" s="452"/>
    </row>
    <row r="41" spans="1:8">
      <c r="A41" s="265"/>
    </row>
    <row r="42" spans="1:8">
      <c r="A42" s="265"/>
    </row>
    <row r="43" spans="1:8">
      <c r="A43" s="265"/>
    </row>
    <row r="44" spans="1:8">
      <c r="A44" s="265"/>
    </row>
    <row r="45" spans="1:8">
      <c r="A45" s="265"/>
    </row>
    <row r="46" spans="1:8">
      <c r="A46" s="265"/>
    </row>
    <row r="47" spans="1:8">
      <c r="A47" s="265"/>
    </row>
    <row r="48" spans="1:8">
      <c r="A48" s="265"/>
    </row>
    <row r="49" spans="1:5">
      <c r="A49" s="265"/>
    </row>
    <row r="50" spans="1:5">
      <c r="A50" s="265"/>
    </row>
    <row r="51" spans="1:5">
      <c r="A51" s="265"/>
    </row>
    <row r="52" spans="1:5">
      <c r="A52" s="265"/>
    </row>
    <row r="53" spans="1:5">
      <c r="A53" s="265"/>
    </row>
    <row r="54" spans="1:5">
      <c r="A54" s="265"/>
    </row>
    <row r="55" spans="1:5">
      <c r="A55" s="265"/>
    </row>
    <row r="56" spans="1:5">
      <c r="A56" s="265"/>
    </row>
    <row r="57" spans="1:5">
      <c r="A57" s="265"/>
    </row>
    <row r="58" spans="1:5">
      <c r="A58" s="265"/>
    </row>
    <row r="59" spans="1:5">
      <c r="A59" s="265"/>
    </row>
    <row r="60" spans="1:5" ht="18.5">
      <c r="A60" s="283" t="s">
        <v>642</v>
      </c>
    </row>
    <row r="61" spans="1:5">
      <c r="A61" s="265"/>
    </row>
    <row r="62" spans="1:5" ht="15.5">
      <c r="A62" s="265"/>
      <c r="B62" s="1045" t="s">
        <v>653</v>
      </c>
      <c r="C62" s="1046"/>
      <c r="D62" s="1046"/>
      <c r="E62" s="1047"/>
    </row>
    <row r="63" spans="1:5" ht="43.5">
      <c r="A63" s="265"/>
      <c r="B63" s="840" t="s">
        <v>152</v>
      </c>
      <c r="C63" s="930" t="s">
        <v>716</v>
      </c>
      <c r="D63" s="930" t="s">
        <v>717</v>
      </c>
      <c r="E63" s="930" t="s">
        <v>718</v>
      </c>
    </row>
    <row r="64" spans="1:5">
      <c r="A64" s="284" t="s">
        <v>101</v>
      </c>
      <c r="B64" s="119" t="str">
        <f>'Background Controls'!I5</f>
        <v>Residential</v>
      </c>
      <c r="C64" s="681">
        <f>SUMIFS(elec_data_consump,elec_data_dept,B64,elec_data_contract_binary,"No")</f>
        <v>0</v>
      </c>
      <c r="D64" s="681">
        <f>SUMIFS(elec_data_consump,elec_data_dept,B64,elec_data_contract_binary,"Yes")</f>
        <v>0</v>
      </c>
      <c r="E64" s="681">
        <f>C64-D64</f>
        <v>0</v>
      </c>
    </row>
    <row r="65" spans="1:5">
      <c r="A65" s="265"/>
      <c r="B65" s="119" t="str">
        <f>'Background Controls'!I6</f>
        <v>Commercial/Institutional</v>
      </c>
      <c r="C65" s="172">
        <f t="shared" ref="C65:C83" si="4">SUMIFS(elec_data_consump,elec_data_dept,B65,elec_data_contract_binary,"No")</f>
        <v>0</v>
      </c>
      <c r="D65" s="681">
        <f t="shared" ref="D65:D83" si="5">SUMIFS(elec_data_consump,elec_data_dept,B65,elec_data_contract_binary,"Yes")</f>
        <v>0</v>
      </c>
      <c r="E65" s="681">
        <f>C65-D65</f>
        <v>0</v>
      </c>
    </row>
    <row r="66" spans="1:5">
      <c r="A66" s="265"/>
      <c r="B66" s="119" t="str">
        <f>'Background Controls'!I7</f>
        <v>Industrial</v>
      </c>
      <c r="C66" s="172">
        <f t="shared" si="4"/>
        <v>0</v>
      </c>
      <c r="D66" s="681">
        <f t="shared" si="5"/>
        <v>0</v>
      </c>
      <c r="E66" s="681">
        <f>C66-D66</f>
        <v>0</v>
      </c>
    </row>
    <row r="67" spans="1:5">
      <c r="A67" s="265"/>
      <c r="B67" s="119" t="str">
        <f>'Background Controls'!I8</f>
        <v>Energy Generation</v>
      </c>
      <c r="C67" s="172">
        <f t="shared" si="4"/>
        <v>0</v>
      </c>
      <c r="D67" s="681">
        <f t="shared" si="5"/>
        <v>0</v>
      </c>
      <c r="E67" s="172">
        <f t="shared" ref="E67:E83" si="6">SUMIF(elec_data_dept, C67, elec_data_consump)</f>
        <v>0</v>
      </c>
    </row>
    <row r="68" spans="1:5" hidden="1">
      <c r="A68" s="265"/>
      <c r="B68" s="119">
        <f>'Background Controls'!I9</f>
        <v>0</v>
      </c>
      <c r="C68" s="172">
        <f t="shared" si="4"/>
        <v>0</v>
      </c>
      <c r="D68" s="681">
        <f t="shared" si="5"/>
        <v>0</v>
      </c>
      <c r="E68" s="172">
        <f t="shared" si="6"/>
        <v>0</v>
      </c>
    </row>
    <row r="69" spans="1:5" hidden="1">
      <c r="A69" s="265"/>
      <c r="B69" s="119">
        <f>'Background Controls'!I10</f>
        <v>0</v>
      </c>
      <c r="C69" s="172">
        <f t="shared" si="4"/>
        <v>0</v>
      </c>
      <c r="D69" s="681">
        <f t="shared" si="5"/>
        <v>0</v>
      </c>
      <c r="E69" s="172">
        <f t="shared" si="6"/>
        <v>0</v>
      </c>
    </row>
    <row r="70" spans="1:5" hidden="1">
      <c r="A70" s="265"/>
      <c r="B70" s="119">
        <f>'Background Controls'!I11</f>
        <v>0</v>
      </c>
      <c r="C70" s="172">
        <f t="shared" si="4"/>
        <v>0</v>
      </c>
      <c r="D70" s="681">
        <f t="shared" si="5"/>
        <v>0</v>
      </c>
      <c r="E70" s="172">
        <f t="shared" si="6"/>
        <v>0</v>
      </c>
    </row>
    <row r="71" spans="1:5" hidden="1">
      <c r="A71" s="265"/>
      <c r="B71" s="119">
        <f>'Background Controls'!I12</f>
        <v>0</v>
      </c>
      <c r="C71" s="172">
        <f t="shared" si="4"/>
        <v>0</v>
      </c>
      <c r="D71" s="681">
        <f t="shared" si="5"/>
        <v>0</v>
      </c>
      <c r="E71" s="172">
        <f t="shared" si="6"/>
        <v>0</v>
      </c>
    </row>
    <row r="72" spans="1:5" hidden="1">
      <c r="A72" s="265"/>
      <c r="B72" s="119">
        <f>'Background Controls'!I13</f>
        <v>0</v>
      </c>
      <c r="C72" s="172">
        <f t="shared" si="4"/>
        <v>0</v>
      </c>
      <c r="D72" s="681">
        <f t="shared" si="5"/>
        <v>0</v>
      </c>
      <c r="E72" s="172">
        <f t="shared" si="6"/>
        <v>0</v>
      </c>
    </row>
    <row r="73" spans="1:5" hidden="1">
      <c r="A73" s="265"/>
      <c r="B73" s="119">
        <f>'Background Controls'!I14</f>
        <v>0</v>
      </c>
      <c r="C73" s="172">
        <f t="shared" si="4"/>
        <v>0</v>
      </c>
      <c r="D73" s="681">
        <f t="shared" si="5"/>
        <v>0</v>
      </c>
      <c r="E73" s="172">
        <f t="shared" si="6"/>
        <v>0</v>
      </c>
    </row>
    <row r="74" spans="1:5" hidden="1">
      <c r="A74" s="265"/>
      <c r="B74" s="119">
        <f>'Background Controls'!I15</f>
        <v>0</v>
      </c>
      <c r="C74" s="172">
        <f t="shared" si="4"/>
        <v>0</v>
      </c>
      <c r="D74" s="681">
        <f t="shared" si="5"/>
        <v>0</v>
      </c>
      <c r="E74" s="172">
        <f t="shared" si="6"/>
        <v>0</v>
      </c>
    </row>
    <row r="75" spans="1:5" hidden="1">
      <c r="A75" s="265"/>
      <c r="B75" s="119">
        <f>'Background Controls'!I16</f>
        <v>0</v>
      </c>
      <c r="C75" s="172">
        <f t="shared" si="4"/>
        <v>0</v>
      </c>
      <c r="D75" s="681">
        <f t="shared" si="5"/>
        <v>0</v>
      </c>
      <c r="E75" s="172">
        <f t="shared" si="6"/>
        <v>0</v>
      </c>
    </row>
    <row r="76" spans="1:5" hidden="1">
      <c r="A76" s="265"/>
      <c r="B76" s="119">
        <f>'Background Controls'!I17</f>
        <v>0</v>
      </c>
      <c r="C76" s="172">
        <f t="shared" si="4"/>
        <v>0</v>
      </c>
      <c r="D76" s="681">
        <f t="shared" si="5"/>
        <v>0</v>
      </c>
      <c r="E76" s="172">
        <f t="shared" si="6"/>
        <v>0</v>
      </c>
    </row>
    <row r="77" spans="1:5" hidden="1">
      <c r="A77" s="265"/>
      <c r="B77" s="119">
        <f>'Background Controls'!I18</f>
        <v>0</v>
      </c>
      <c r="C77" s="172">
        <f t="shared" si="4"/>
        <v>0</v>
      </c>
      <c r="D77" s="681">
        <f t="shared" si="5"/>
        <v>0</v>
      </c>
      <c r="E77" s="172">
        <f t="shared" si="6"/>
        <v>0</v>
      </c>
    </row>
    <row r="78" spans="1:5" hidden="1">
      <c r="A78" s="265"/>
      <c r="B78" s="119">
        <f>'Background Controls'!I19</f>
        <v>0</v>
      </c>
      <c r="C78" s="172">
        <f t="shared" si="4"/>
        <v>0</v>
      </c>
      <c r="D78" s="681">
        <f t="shared" si="5"/>
        <v>0</v>
      </c>
      <c r="E78" s="172">
        <f t="shared" si="6"/>
        <v>0</v>
      </c>
    </row>
    <row r="79" spans="1:5" hidden="1">
      <c r="A79" s="265"/>
      <c r="B79" s="119">
        <f>'Background Controls'!I20</f>
        <v>0</v>
      </c>
      <c r="C79" s="172">
        <f t="shared" si="4"/>
        <v>0</v>
      </c>
      <c r="D79" s="681">
        <f t="shared" si="5"/>
        <v>0</v>
      </c>
      <c r="E79" s="172">
        <f t="shared" si="6"/>
        <v>0</v>
      </c>
    </row>
    <row r="80" spans="1:5" hidden="1">
      <c r="A80" s="265"/>
      <c r="B80" s="119">
        <f>'Background Controls'!I21</f>
        <v>0</v>
      </c>
      <c r="C80" s="172">
        <f t="shared" si="4"/>
        <v>0</v>
      </c>
      <c r="D80" s="681">
        <f t="shared" si="5"/>
        <v>0</v>
      </c>
      <c r="E80" s="172">
        <f t="shared" si="6"/>
        <v>0</v>
      </c>
    </row>
    <row r="81" spans="1:5" hidden="1">
      <c r="A81" s="265"/>
      <c r="B81" s="119">
        <f>'Background Controls'!I22</f>
        <v>0</v>
      </c>
      <c r="C81" s="172">
        <f t="shared" si="4"/>
        <v>0</v>
      </c>
      <c r="D81" s="681">
        <f t="shared" si="5"/>
        <v>0</v>
      </c>
      <c r="E81" s="172">
        <f t="shared" si="6"/>
        <v>0</v>
      </c>
    </row>
    <row r="82" spans="1:5" hidden="1">
      <c r="A82" s="265"/>
      <c r="B82" s="119">
        <f>'Background Controls'!I23</f>
        <v>0</v>
      </c>
      <c r="C82" s="172">
        <f t="shared" si="4"/>
        <v>0</v>
      </c>
      <c r="D82" s="681">
        <f t="shared" si="5"/>
        <v>0</v>
      </c>
      <c r="E82" s="172">
        <f t="shared" si="6"/>
        <v>0</v>
      </c>
    </row>
    <row r="83" spans="1:5" hidden="1">
      <c r="A83" s="265"/>
      <c r="B83" s="119">
        <f>'Background Controls'!I24</f>
        <v>0</v>
      </c>
      <c r="C83" s="172">
        <f t="shared" si="4"/>
        <v>0</v>
      </c>
      <c r="D83" s="681">
        <f t="shared" si="5"/>
        <v>0</v>
      </c>
      <c r="E83" s="172">
        <f t="shared" si="6"/>
        <v>0</v>
      </c>
    </row>
    <row r="84" spans="1:5">
      <c r="A84" s="265"/>
      <c r="B84" s="928" t="s">
        <v>654</v>
      </c>
      <c r="C84" s="331">
        <f>SUM(C64:C83)</f>
        <v>0</v>
      </c>
      <c r="D84" s="331">
        <f>SUM(D64:D83)</f>
        <v>0</v>
      </c>
      <c r="E84" s="331">
        <f>SUM(E64:E83)</f>
        <v>0</v>
      </c>
    </row>
    <row r="85" spans="1:5">
      <c r="A85" s="265"/>
    </row>
    <row r="86" spans="1:5">
      <c r="A86" s="265"/>
    </row>
    <row r="87" spans="1:5">
      <c r="A87" s="265"/>
    </row>
    <row r="88" spans="1:5">
      <c r="A88" s="265"/>
    </row>
    <row r="89" spans="1:5">
      <c r="A89" s="265"/>
    </row>
    <row r="90" spans="1:5">
      <c r="A90" s="265"/>
    </row>
    <row r="91" spans="1:5">
      <c r="A91" s="265"/>
    </row>
    <row r="92" spans="1:5">
      <c r="A92" s="265"/>
    </row>
    <row r="93" spans="1:5">
      <c r="A93" s="265"/>
    </row>
    <row r="94" spans="1:5">
      <c r="A94" s="265"/>
    </row>
    <row r="95" spans="1:5">
      <c r="A95" s="265"/>
    </row>
    <row r="96" spans="1:5">
      <c r="A96" s="265"/>
    </row>
    <row r="97" spans="1:13">
      <c r="A97" s="265"/>
    </row>
    <row r="98" spans="1:13">
      <c r="A98" s="265"/>
    </row>
    <row r="99" spans="1:13">
      <c r="A99" s="265"/>
    </row>
    <row r="100" spans="1:13">
      <c r="A100" s="265"/>
    </row>
    <row r="101" spans="1:13">
      <c r="A101" s="265"/>
    </row>
    <row r="102" spans="1:13">
      <c r="A102" s="265"/>
    </row>
    <row r="103" spans="1:13">
      <c r="A103" s="265"/>
    </row>
    <row r="104" spans="1:13">
      <c r="A104" s="265"/>
    </row>
    <row r="105" spans="1:13" ht="15" thickBot="1">
      <c r="A105" s="265"/>
    </row>
    <row r="106" spans="1:13" ht="18.5">
      <c r="A106" s="301" t="s">
        <v>242</v>
      </c>
      <c r="B106" s="73"/>
      <c r="C106" s="73"/>
      <c r="D106" s="73"/>
      <c r="E106" s="73"/>
      <c r="F106" s="73"/>
      <c r="G106" s="73"/>
      <c r="H106" s="73"/>
      <c r="I106" s="73"/>
      <c r="J106" s="73"/>
      <c r="K106" s="73"/>
      <c r="L106" s="73"/>
      <c r="M106" s="73"/>
    </row>
    <row r="107" spans="1:13" ht="18.5">
      <c r="A107" s="682" t="s">
        <v>719</v>
      </c>
    </row>
    <row r="108" spans="1:13" ht="16.5">
      <c r="A108" s="268" t="s">
        <v>720</v>
      </c>
    </row>
    <row r="109" spans="1:13" ht="16.5">
      <c r="A109" s="286" t="s">
        <v>721</v>
      </c>
    </row>
    <row r="110" spans="1:13" ht="31">
      <c r="A110" s="265"/>
      <c r="B110" s="253" t="s">
        <v>22</v>
      </c>
      <c r="C110" s="193" t="s">
        <v>51</v>
      </c>
      <c r="D110" s="122" t="s">
        <v>722</v>
      </c>
      <c r="E110" s="122" t="s">
        <v>658</v>
      </c>
      <c r="F110" s="193" t="s">
        <v>659</v>
      </c>
      <c r="G110" s="191" t="s">
        <v>279</v>
      </c>
      <c r="H110" s="193" t="s">
        <v>280</v>
      </c>
      <c r="I110" s="192" t="s">
        <v>71</v>
      </c>
    </row>
    <row r="111" spans="1:13">
      <c r="A111" s="265"/>
      <c r="B111" s="683" t="str">
        <f>IF('Background Controls'!$B$73=0,"-",'Background Controls'!$B$73)</f>
        <v/>
      </c>
      <c r="C111" s="684">
        <f t="shared" ref="C111:C116" si="7">SUMIF(elec_data_contract, B111, elec_data_consump)</f>
        <v>0</v>
      </c>
      <c r="D111" s="685" t="str">
        <f t="shared" ref="D111:D116" si="8">IFERROR(VLOOKUP(B111, elec_contract_factors, 2, FALSE),"-")</f>
        <v>-</v>
      </c>
      <c r="E111">
        <f t="shared" ref="E111:E116" si="9">kWh_MWh</f>
        <v>1E-3</v>
      </c>
      <c r="F111" s="246">
        <f t="shared" ref="F111:F116" si="10">lb_mt</f>
        <v>4.5359236999999999E-4</v>
      </c>
      <c r="G111" s="345" t="str">
        <f t="shared" ref="G111:G116" si="11">IFERROR(C111*D111*E111*F111,"-")</f>
        <v>-</v>
      </c>
      <c r="H111" s="54">
        <f t="shared" ref="H111:H116" si="12">CO2_CO2e</f>
        <v>1</v>
      </c>
      <c r="I111" s="686" t="str">
        <f t="shared" ref="I111:I116" si="13">IFERROR(G111*H111,"-")</f>
        <v>-</v>
      </c>
    </row>
    <row r="112" spans="1:13">
      <c r="A112" s="265"/>
      <c r="B112" s="683" t="str">
        <f>IF('Background Controls'!$B$74=0,"-",'Background Controls'!$B$74)</f>
        <v/>
      </c>
      <c r="C112" s="684">
        <f t="shared" si="7"/>
        <v>0</v>
      </c>
      <c r="D112" s="684" t="str">
        <f t="shared" si="8"/>
        <v>-</v>
      </c>
      <c r="E112">
        <f t="shared" si="9"/>
        <v>1E-3</v>
      </c>
      <c r="F112" s="246">
        <f t="shared" si="10"/>
        <v>4.5359236999999999E-4</v>
      </c>
      <c r="G112" s="345" t="str">
        <f t="shared" si="11"/>
        <v>-</v>
      </c>
      <c r="H112" s="54">
        <f t="shared" si="12"/>
        <v>1</v>
      </c>
      <c r="I112" s="505" t="str">
        <f t="shared" si="13"/>
        <v>-</v>
      </c>
    </row>
    <row r="113" spans="1:9">
      <c r="A113" s="265"/>
      <c r="B113" s="683" t="str">
        <f>IF('Background Controls'!$B$75=0,"-",'Background Controls'!$B$75)</f>
        <v/>
      </c>
      <c r="C113" s="684">
        <f t="shared" si="7"/>
        <v>0</v>
      </c>
      <c r="D113" s="684" t="str">
        <f t="shared" si="8"/>
        <v>-</v>
      </c>
      <c r="E113">
        <f t="shared" si="9"/>
        <v>1E-3</v>
      </c>
      <c r="F113" s="246">
        <f t="shared" si="10"/>
        <v>4.5359236999999999E-4</v>
      </c>
      <c r="G113" s="345" t="str">
        <f>IFERROR(C113*D113*E113*F113,"-")</f>
        <v>-</v>
      </c>
      <c r="H113" s="54">
        <f t="shared" si="12"/>
        <v>1</v>
      </c>
      <c r="I113" s="505" t="str">
        <f>IFERROR(G113*H113,"-")</f>
        <v>-</v>
      </c>
    </row>
    <row r="114" spans="1:9">
      <c r="A114" s="265"/>
      <c r="B114" s="683" t="str">
        <f>IF('Background Controls'!$B$76=0,"-",'Background Controls'!$B$76)</f>
        <v/>
      </c>
      <c r="C114" s="684">
        <f t="shared" si="7"/>
        <v>0</v>
      </c>
      <c r="D114" s="684" t="str">
        <f t="shared" si="8"/>
        <v>-</v>
      </c>
      <c r="E114">
        <f t="shared" si="9"/>
        <v>1E-3</v>
      </c>
      <c r="F114" s="246">
        <f t="shared" si="10"/>
        <v>4.5359236999999999E-4</v>
      </c>
      <c r="G114" s="345" t="str">
        <f t="shared" si="11"/>
        <v>-</v>
      </c>
      <c r="H114" s="54">
        <f t="shared" si="12"/>
        <v>1</v>
      </c>
      <c r="I114" s="505" t="str">
        <f t="shared" si="13"/>
        <v>-</v>
      </c>
    </row>
    <row r="115" spans="1:9">
      <c r="A115" s="265"/>
      <c r="B115" s="683" t="str">
        <f>IF('Background Controls'!$B$77=0,"-",'Background Controls'!$B$77)</f>
        <v/>
      </c>
      <c r="C115" s="684">
        <f t="shared" si="7"/>
        <v>0</v>
      </c>
      <c r="D115" s="684" t="str">
        <f t="shared" si="8"/>
        <v>-</v>
      </c>
      <c r="E115">
        <f t="shared" si="9"/>
        <v>1E-3</v>
      </c>
      <c r="F115" s="246">
        <f t="shared" si="10"/>
        <v>4.5359236999999999E-4</v>
      </c>
      <c r="G115" s="345" t="str">
        <f t="shared" si="11"/>
        <v>-</v>
      </c>
      <c r="H115" s="54">
        <f t="shared" si="12"/>
        <v>1</v>
      </c>
      <c r="I115" s="347" t="str">
        <f t="shared" si="13"/>
        <v>-</v>
      </c>
    </row>
    <row r="116" spans="1:9">
      <c r="A116" s="265"/>
      <c r="B116" s="43" t="str">
        <f>IF('Background Controls'!$B$78=0,"-",'Background Controls'!$B$78)</f>
        <v/>
      </c>
      <c r="C116" s="687">
        <f t="shared" si="7"/>
        <v>0</v>
      </c>
      <c r="D116" s="687" t="str">
        <f t="shared" si="8"/>
        <v>-</v>
      </c>
      <c r="E116" s="44">
        <f t="shared" si="9"/>
        <v>1E-3</v>
      </c>
      <c r="F116" s="553">
        <f t="shared" si="10"/>
        <v>4.5359236999999999E-4</v>
      </c>
      <c r="G116" s="346" t="str">
        <f t="shared" si="11"/>
        <v>-</v>
      </c>
      <c r="H116" s="67">
        <f t="shared" si="12"/>
        <v>1</v>
      </c>
      <c r="I116" s="348" t="str">
        <f t="shared" si="13"/>
        <v>-</v>
      </c>
    </row>
    <row r="117" spans="1:9">
      <c r="A117" s="265"/>
    </row>
    <row r="118" spans="1:9" ht="16.5">
      <c r="A118" s="268" t="s">
        <v>723</v>
      </c>
    </row>
    <row r="119" spans="1:9" ht="16.5">
      <c r="A119" s="286" t="s">
        <v>724</v>
      </c>
    </row>
    <row r="120" spans="1:9" ht="31">
      <c r="A120" s="265"/>
      <c r="B120" s="253" t="s">
        <v>22</v>
      </c>
      <c r="C120" s="193" t="s">
        <v>51</v>
      </c>
      <c r="D120" s="122" t="s">
        <v>725</v>
      </c>
      <c r="E120" s="122" t="s">
        <v>658</v>
      </c>
      <c r="F120" s="193" t="s">
        <v>659</v>
      </c>
      <c r="G120" s="191" t="s">
        <v>284</v>
      </c>
      <c r="H120" s="193" t="s">
        <v>280</v>
      </c>
      <c r="I120" s="192" t="s">
        <v>71</v>
      </c>
    </row>
    <row r="121" spans="1:9">
      <c r="A121" s="265"/>
      <c r="B121" s="683" t="str">
        <f>IF('Background Controls'!$B$73=0,"-",'Background Controls'!$B$73)</f>
        <v/>
      </c>
      <c r="C121" s="463">
        <f t="shared" ref="C121:C126" si="14">SUMIF(elec_data_contract, B121, elec_data_consump)</f>
        <v>0</v>
      </c>
      <c r="D121" s="92" t="str">
        <f t="shared" ref="D121:D126" si="15">IFERROR(VLOOKUP(B121, elec_contract_factors, 3, FALSE),"-")</f>
        <v>-</v>
      </c>
      <c r="E121">
        <f t="shared" ref="E121:E126" si="16">kWh_MWh</f>
        <v>1E-3</v>
      </c>
      <c r="F121" s="54">
        <f t="shared" ref="F121:F126" si="17">lb_mt</f>
        <v>4.5359236999999999E-4</v>
      </c>
      <c r="G121" s="345" t="str">
        <f t="shared" ref="G121:G126" si="18">IFERROR(C121*D121*E121*F121,"-")</f>
        <v>-</v>
      </c>
      <c r="H121" s="54">
        <f t="shared" ref="H121:H126" si="19">CH4_CO2e</f>
        <v>28</v>
      </c>
      <c r="I121" s="555" t="str">
        <f t="shared" ref="I121:I126" si="20">IFERROR(G121*H121,"-")</f>
        <v>-</v>
      </c>
    </row>
    <row r="122" spans="1:9">
      <c r="A122" s="265"/>
      <c r="B122" s="683" t="str">
        <f>IF('Background Controls'!$B$74=0,"-",'Background Controls'!$B$74)</f>
        <v/>
      </c>
      <c r="C122" s="463">
        <f t="shared" si="14"/>
        <v>0</v>
      </c>
      <c r="D122" s="92" t="str">
        <f t="shared" si="15"/>
        <v>-</v>
      </c>
      <c r="E122">
        <f t="shared" si="16"/>
        <v>1E-3</v>
      </c>
      <c r="F122" s="54">
        <f t="shared" si="17"/>
        <v>4.5359236999999999E-4</v>
      </c>
      <c r="G122" s="345" t="str">
        <f t="shared" si="18"/>
        <v>-</v>
      </c>
      <c r="H122" s="54">
        <f t="shared" si="19"/>
        <v>28</v>
      </c>
      <c r="I122" s="556" t="str">
        <f t="shared" si="20"/>
        <v>-</v>
      </c>
    </row>
    <row r="123" spans="1:9">
      <c r="A123" s="265"/>
      <c r="B123" s="683" t="str">
        <f>IF('Background Controls'!$B$75=0,"-",'Background Controls'!$B$75)</f>
        <v/>
      </c>
      <c r="C123" s="463">
        <f t="shared" si="14"/>
        <v>0</v>
      </c>
      <c r="D123" s="92" t="str">
        <f t="shared" si="15"/>
        <v>-</v>
      </c>
      <c r="E123">
        <f t="shared" si="16"/>
        <v>1E-3</v>
      </c>
      <c r="F123" s="54">
        <f t="shared" si="17"/>
        <v>4.5359236999999999E-4</v>
      </c>
      <c r="G123" s="345" t="str">
        <f t="shared" si="18"/>
        <v>-</v>
      </c>
      <c r="H123" s="54">
        <f t="shared" si="19"/>
        <v>28</v>
      </c>
      <c r="I123" s="556" t="str">
        <f t="shared" si="20"/>
        <v>-</v>
      </c>
    </row>
    <row r="124" spans="1:9">
      <c r="A124" s="265"/>
      <c r="B124" s="683" t="str">
        <f>IF('Background Controls'!$B$76=0,"-",'Background Controls'!$B$76)</f>
        <v/>
      </c>
      <c r="C124" s="463">
        <f t="shared" si="14"/>
        <v>0</v>
      </c>
      <c r="D124" s="92" t="str">
        <f t="shared" si="15"/>
        <v>-</v>
      </c>
      <c r="E124">
        <f t="shared" si="16"/>
        <v>1E-3</v>
      </c>
      <c r="F124" s="54">
        <f t="shared" si="17"/>
        <v>4.5359236999999999E-4</v>
      </c>
      <c r="G124" s="345" t="str">
        <f t="shared" si="18"/>
        <v>-</v>
      </c>
      <c r="H124" s="54">
        <f t="shared" si="19"/>
        <v>28</v>
      </c>
      <c r="I124" s="556" t="str">
        <f t="shared" si="20"/>
        <v>-</v>
      </c>
    </row>
    <row r="125" spans="1:9">
      <c r="A125" s="265"/>
      <c r="B125" s="683" t="str">
        <f>IF('Background Controls'!$B$77=0,"-",'Background Controls'!$B$77)</f>
        <v/>
      </c>
      <c r="C125" s="463">
        <f t="shared" si="14"/>
        <v>0</v>
      </c>
      <c r="D125" s="92" t="str">
        <f t="shared" si="15"/>
        <v>-</v>
      </c>
      <c r="E125">
        <f t="shared" si="16"/>
        <v>1E-3</v>
      </c>
      <c r="F125" s="54">
        <f t="shared" si="17"/>
        <v>4.5359236999999999E-4</v>
      </c>
      <c r="G125" s="345" t="str">
        <f t="shared" si="18"/>
        <v>-</v>
      </c>
      <c r="H125" s="54">
        <f t="shared" si="19"/>
        <v>28</v>
      </c>
      <c r="I125" s="557" t="str">
        <f t="shared" si="20"/>
        <v>-</v>
      </c>
    </row>
    <row r="126" spans="1:9">
      <c r="A126" s="265"/>
      <c r="B126" s="43" t="str">
        <f>IF('Background Controls'!$B$78=0,"-",'Background Controls'!$B$78)</f>
        <v/>
      </c>
      <c r="C126" s="568">
        <f t="shared" si="14"/>
        <v>0</v>
      </c>
      <c r="D126" s="554" t="str">
        <f t="shared" si="15"/>
        <v>-</v>
      </c>
      <c r="E126" s="44">
        <f t="shared" si="16"/>
        <v>1E-3</v>
      </c>
      <c r="F126" s="67">
        <f t="shared" si="17"/>
        <v>4.5359236999999999E-4</v>
      </c>
      <c r="G126" s="346" t="str">
        <f t="shared" si="18"/>
        <v>-</v>
      </c>
      <c r="H126" s="67">
        <f t="shared" si="19"/>
        <v>28</v>
      </c>
      <c r="I126" s="558" t="str">
        <f t="shared" si="20"/>
        <v>-</v>
      </c>
    </row>
    <row r="127" spans="1:9">
      <c r="A127" s="265"/>
    </row>
    <row r="128" spans="1:9" ht="16.5">
      <c r="A128" s="268" t="s">
        <v>726</v>
      </c>
    </row>
    <row r="129" spans="1:10" ht="16.5">
      <c r="A129" s="286" t="s">
        <v>727</v>
      </c>
    </row>
    <row r="130" spans="1:10" ht="31">
      <c r="A130" s="265"/>
      <c r="B130" s="253" t="s">
        <v>22</v>
      </c>
      <c r="C130" s="193" t="s">
        <v>51</v>
      </c>
      <c r="D130" s="122" t="s">
        <v>728</v>
      </c>
      <c r="E130" s="122" t="s">
        <v>658</v>
      </c>
      <c r="F130" s="193" t="s">
        <v>659</v>
      </c>
      <c r="G130" s="191" t="s">
        <v>288</v>
      </c>
      <c r="H130" s="193" t="s">
        <v>280</v>
      </c>
      <c r="I130" s="192" t="s">
        <v>71</v>
      </c>
    </row>
    <row r="131" spans="1:10">
      <c r="A131" s="265"/>
      <c r="B131" s="683" t="str">
        <f>IF('Background Controls'!$B$73=0,"-",'Background Controls'!$B$73)</f>
        <v/>
      </c>
      <c r="C131" s="463">
        <f t="shared" ref="C131:C136" si="21">SUMIF(elec_data_contract, B131, elec_data_consump)</f>
        <v>0</v>
      </c>
      <c r="D131" s="58" t="str">
        <f t="shared" ref="D131:D136" si="22">IFERROR(VLOOKUP(B131, elec_contract_factors, 4, FALSE),"-")</f>
        <v>-</v>
      </c>
      <c r="E131">
        <f t="shared" ref="E131:E136" si="23">kWh_MWh</f>
        <v>1E-3</v>
      </c>
      <c r="F131" s="54">
        <f t="shared" ref="F131:F136" si="24">lb_mt</f>
        <v>4.5359236999999999E-4</v>
      </c>
      <c r="G131" s="345" t="str">
        <f t="shared" ref="G131:G136" si="25">IFERROR(C131*D131*E131*F131,"-")</f>
        <v>-</v>
      </c>
      <c r="H131" s="54">
        <f t="shared" ref="H131:H136" si="26">N2O_CO2e</f>
        <v>265</v>
      </c>
      <c r="I131" s="555" t="str">
        <f t="shared" ref="I131:I136" si="27">IFERROR(G131*H131,"-")</f>
        <v>-</v>
      </c>
    </row>
    <row r="132" spans="1:10">
      <c r="A132" s="265"/>
      <c r="B132" s="683" t="str">
        <f>IF('Background Controls'!$B$74=0,"-",'Background Controls'!$B$74)</f>
        <v/>
      </c>
      <c r="C132" s="463">
        <f t="shared" si="21"/>
        <v>0</v>
      </c>
      <c r="D132" s="92" t="str">
        <f t="shared" si="22"/>
        <v>-</v>
      </c>
      <c r="E132">
        <f t="shared" si="23"/>
        <v>1E-3</v>
      </c>
      <c r="F132" s="54">
        <f t="shared" si="24"/>
        <v>4.5359236999999999E-4</v>
      </c>
      <c r="G132" s="345" t="str">
        <f t="shared" si="25"/>
        <v>-</v>
      </c>
      <c r="H132" s="54">
        <f t="shared" si="26"/>
        <v>265</v>
      </c>
      <c r="I132" s="556" t="str">
        <f t="shared" si="27"/>
        <v>-</v>
      </c>
    </row>
    <row r="133" spans="1:10">
      <c r="A133" s="265"/>
      <c r="B133" s="683" t="str">
        <f>IF('Background Controls'!$B$75=0,"-",'Background Controls'!$B$75)</f>
        <v/>
      </c>
      <c r="C133" s="463">
        <f t="shared" si="21"/>
        <v>0</v>
      </c>
      <c r="D133" s="92" t="str">
        <f t="shared" si="22"/>
        <v>-</v>
      </c>
      <c r="E133">
        <f t="shared" si="23"/>
        <v>1E-3</v>
      </c>
      <c r="F133" s="54">
        <f t="shared" si="24"/>
        <v>4.5359236999999999E-4</v>
      </c>
      <c r="G133" s="345" t="str">
        <f t="shared" si="25"/>
        <v>-</v>
      </c>
      <c r="H133" s="54">
        <f t="shared" si="26"/>
        <v>265</v>
      </c>
      <c r="I133" s="556" t="str">
        <f t="shared" si="27"/>
        <v>-</v>
      </c>
    </row>
    <row r="134" spans="1:10">
      <c r="A134" s="265"/>
      <c r="B134" s="683" t="str">
        <f>IF('Background Controls'!$B$76=0,"-",'Background Controls'!$B$76)</f>
        <v/>
      </c>
      <c r="C134" s="463">
        <f t="shared" si="21"/>
        <v>0</v>
      </c>
      <c r="D134" s="92" t="str">
        <f t="shared" si="22"/>
        <v>-</v>
      </c>
      <c r="E134">
        <f t="shared" si="23"/>
        <v>1E-3</v>
      </c>
      <c r="F134" s="54">
        <f t="shared" si="24"/>
        <v>4.5359236999999999E-4</v>
      </c>
      <c r="G134" s="345" t="str">
        <f t="shared" si="25"/>
        <v>-</v>
      </c>
      <c r="H134" s="54">
        <f t="shared" si="26"/>
        <v>265</v>
      </c>
      <c r="I134" s="556" t="str">
        <f t="shared" si="27"/>
        <v>-</v>
      </c>
    </row>
    <row r="135" spans="1:10">
      <c r="A135" s="265"/>
      <c r="B135" s="683" t="str">
        <f>IF('Background Controls'!$B$77=0,"-",'Background Controls'!$B$77)</f>
        <v/>
      </c>
      <c r="C135" s="463">
        <f t="shared" si="21"/>
        <v>0</v>
      </c>
      <c r="D135" s="92" t="str">
        <f t="shared" si="22"/>
        <v>-</v>
      </c>
      <c r="E135">
        <f t="shared" si="23"/>
        <v>1E-3</v>
      </c>
      <c r="F135" s="54">
        <f t="shared" si="24"/>
        <v>4.5359236999999999E-4</v>
      </c>
      <c r="G135" s="345" t="str">
        <f t="shared" si="25"/>
        <v>-</v>
      </c>
      <c r="H135" s="54">
        <f t="shared" si="26"/>
        <v>265</v>
      </c>
      <c r="I135" s="557" t="str">
        <f t="shared" si="27"/>
        <v>-</v>
      </c>
    </row>
    <row r="136" spans="1:10">
      <c r="A136" s="265"/>
      <c r="B136" s="43" t="str">
        <f>IF('Background Controls'!$B$78=0,"-",'Background Controls'!$B$78)</f>
        <v/>
      </c>
      <c r="C136" s="568">
        <f t="shared" si="21"/>
        <v>0</v>
      </c>
      <c r="D136" s="554" t="str">
        <f t="shared" si="22"/>
        <v>-</v>
      </c>
      <c r="E136" s="44">
        <f t="shared" si="23"/>
        <v>1E-3</v>
      </c>
      <c r="F136" s="67">
        <f t="shared" si="24"/>
        <v>4.5359236999999999E-4</v>
      </c>
      <c r="G136" s="346" t="str">
        <f t="shared" si="25"/>
        <v>-</v>
      </c>
      <c r="H136" s="67">
        <f t="shared" si="26"/>
        <v>265</v>
      </c>
      <c r="I136" s="558" t="str">
        <f t="shared" si="27"/>
        <v>-</v>
      </c>
    </row>
    <row r="137" spans="1:10">
      <c r="A137" s="265"/>
    </row>
    <row r="138" spans="1:10">
      <c r="A138" s="268" t="s">
        <v>729</v>
      </c>
    </row>
    <row r="139" spans="1:10">
      <c r="A139" s="286" t="s">
        <v>667</v>
      </c>
    </row>
    <row r="140" spans="1:10">
      <c r="A140" s="271"/>
      <c r="B140" s="919" t="s">
        <v>152</v>
      </c>
      <c r="C140" s="688" t="str">
        <f>IF('Background Controls'!$B$73=0,"-",'Background Controls'!$B$73)</f>
        <v/>
      </c>
      <c r="D140" s="689" t="str">
        <f>IF('Background Controls'!$B$74=0,"-",'Background Controls'!$B$74)</f>
        <v/>
      </c>
      <c r="E140" s="689" t="str">
        <f>IF('Background Controls'!$B$75=0,"-",'Background Controls'!$B$75)</f>
        <v/>
      </c>
      <c r="F140" s="689" t="str">
        <f>IF('Background Controls'!$B$76=0,"-",'Background Controls'!$B$76)</f>
        <v/>
      </c>
      <c r="G140" s="689" t="str">
        <f>IF('Background Controls'!$B$77=0,"-",'Background Controls'!$B$77)</f>
        <v/>
      </c>
      <c r="H140" s="690" t="str">
        <f>IF('Background Controls'!$B$78=0,"-",'Background Controls'!$B$78)</f>
        <v/>
      </c>
      <c r="I140" s="868" t="s">
        <v>263</v>
      </c>
      <c r="J140" s="56"/>
    </row>
    <row r="141" spans="1:10">
      <c r="A141" s="284" t="s">
        <v>101</v>
      </c>
      <c r="B141" s="119" t="str">
        <f>'Background Controls'!I5</f>
        <v>Residential</v>
      </c>
      <c r="C141" s="688">
        <f>SUMIFS(elec_data_consump, elec_data_dept, $B141, elec_data_contract, C$140)</f>
        <v>0</v>
      </c>
      <c r="D141" s="689">
        <f>SUMIFS(elec_data_consump, elec_data_dept, $B141, elec_data_contract, D$140)</f>
        <v>0</v>
      </c>
      <c r="E141" s="689">
        <f t="shared" ref="C141:H150" si="28">SUMIFS(elec_data_consump, elec_data_dept, $B141, elec_data_contract, E$140)</f>
        <v>0</v>
      </c>
      <c r="F141" s="689">
        <f t="shared" si="28"/>
        <v>0</v>
      </c>
      <c r="G141" s="689">
        <f t="shared" si="28"/>
        <v>0</v>
      </c>
      <c r="H141" s="690">
        <f t="shared" si="28"/>
        <v>0</v>
      </c>
      <c r="I141" s="333">
        <f t="shared" ref="I141:I160" si="29">SUM(C141:H141)</f>
        <v>0</v>
      </c>
    </row>
    <row r="142" spans="1:10">
      <c r="A142" s="265"/>
      <c r="B142" s="119" t="str">
        <f>'Background Controls'!I6</f>
        <v>Commercial/Institutional</v>
      </c>
      <c r="C142" s="691">
        <f t="shared" si="28"/>
        <v>0</v>
      </c>
      <c r="D142" s="513">
        <f t="shared" si="28"/>
        <v>0</v>
      </c>
      <c r="E142" s="513">
        <f t="shared" si="28"/>
        <v>0</v>
      </c>
      <c r="F142" s="513">
        <f t="shared" si="28"/>
        <v>0</v>
      </c>
      <c r="G142" s="513">
        <f t="shared" si="28"/>
        <v>0</v>
      </c>
      <c r="H142" s="692">
        <f t="shared" si="28"/>
        <v>0</v>
      </c>
      <c r="I142" s="333">
        <f t="shared" si="29"/>
        <v>0</v>
      </c>
    </row>
    <row r="143" spans="1:10">
      <c r="A143" s="265"/>
      <c r="B143" s="119" t="str">
        <f>'Background Controls'!I7</f>
        <v>Industrial</v>
      </c>
      <c r="C143" s="691">
        <f t="shared" si="28"/>
        <v>0</v>
      </c>
      <c r="D143" s="513">
        <f t="shared" si="28"/>
        <v>0</v>
      </c>
      <c r="E143" s="513">
        <f t="shared" si="28"/>
        <v>0</v>
      </c>
      <c r="F143" s="513">
        <f t="shared" si="28"/>
        <v>0</v>
      </c>
      <c r="G143" s="513">
        <f t="shared" si="28"/>
        <v>0</v>
      </c>
      <c r="H143" s="692">
        <f t="shared" si="28"/>
        <v>0</v>
      </c>
      <c r="I143" s="333">
        <f t="shared" si="29"/>
        <v>0</v>
      </c>
    </row>
    <row r="144" spans="1:10">
      <c r="A144" s="265"/>
      <c r="B144" s="119" t="str">
        <f>'Background Controls'!I8</f>
        <v>Energy Generation</v>
      </c>
      <c r="C144" s="691">
        <f t="shared" si="28"/>
        <v>0</v>
      </c>
      <c r="D144" s="513">
        <f t="shared" si="28"/>
        <v>0</v>
      </c>
      <c r="E144" s="513">
        <f t="shared" si="28"/>
        <v>0</v>
      </c>
      <c r="F144" s="513">
        <f t="shared" si="28"/>
        <v>0</v>
      </c>
      <c r="G144" s="513">
        <f t="shared" si="28"/>
        <v>0</v>
      </c>
      <c r="H144" s="692">
        <f t="shared" si="28"/>
        <v>0</v>
      </c>
      <c r="I144" s="333">
        <f t="shared" si="29"/>
        <v>0</v>
      </c>
    </row>
    <row r="145" spans="1:9" hidden="1">
      <c r="A145" s="265"/>
      <c r="B145" s="119">
        <f>'Background Controls'!I9</f>
        <v>0</v>
      </c>
      <c r="C145" s="691">
        <f t="shared" si="28"/>
        <v>0</v>
      </c>
      <c r="D145" s="513">
        <f t="shared" si="28"/>
        <v>0</v>
      </c>
      <c r="E145" s="513">
        <f t="shared" si="28"/>
        <v>0</v>
      </c>
      <c r="F145" s="513">
        <f t="shared" si="28"/>
        <v>0</v>
      </c>
      <c r="G145" s="513">
        <f t="shared" si="28"/>
        <v>0</v>
      </c>
      <c r="H145" s="692">
        <f t="shared" si="28"/>
        <v>0</v>
      </c>
      <c r="I145" s="333">
        <f t="shared" si="29"/>
        <v>0</v>
      </c>
    </row>
    <row r="146" spans="1:9" hidden="1">
      <c r="A146" s="265"/>
      <c r="B146" s="119">
        <f>'Background Controls'!I10</f>
        <v>0</v>
      </c>
      <c r="C146" s="691">
        <f>SUMIFS(elec_data_consump, elec_data_dept, $B146, elec_data_contract, C$140)</f>
        <v>0</v>
      </c>
      <c r="D146" s="513">
        <f t="shared" si="28"/>
        <v>0</v>
      </c>
      <c r="E146" s="513">
        <f t="shared" si="28"/>
        <v>0</v>
      </c>
      <c r="F146" s="513">
        <f t="shared" si="28"/>
        <v>0</v>
      </c>
      <c r="G146" s="513">
        <f t="shared" si="28"/>
        <v>0</v>
      </c>
      <c r="H146" s="692">
        <f t="shared" si="28"/>
        <v>0</v>
      </c>
      <c r="I146" s="333">
        <f t="shared" si="29"/>
        <v>0</v>
      </c>
    </row>
    <row r="147" spans="1:9" hidden="1">
      <c r="A147" s="265"/>
      <c r="B147" s="119">
        <f>'Background Controls'!I11</f>
        <v>0</v>
      </c>
      <c r="C147" s="691">
        <f t="shared" si="28"/>
        <v>0</v>
      </c>
      <c r="D147" s="513">
        <f t="shared" si="28"/>
        <v>0</v>
      </c>
      <c r="E147" s="513">
        <f t="shared" si="28"/>
        <v>0</v>
      </c>
      <c r="F147" s="513">
        <f t="shared" si="28"/>
        <v>0</v>
      </c>
      <c r="G147" s="513">
        <f t="shared" si="28"/>
        <v>0</v>
      </c>
      <c r="H147" s="692">
        <f t="shared" si="28"/>
        <v>0</v>
      </c>
      <c r="I147" s="333">
        <f t="shared" si="29"/>
        <v>0</v>
      </c>
    </row>
    <row r="148" spans="1:9" hidden="1">
      <c r="A148" s="265"/>
      <c r="B148" s="119">
        <f>'Background Controls'!I12</f>
        <v>0</v>
      </c>
      <c r="C148" s="691">
        <f t="shared" si="28"/>
        <v>0</v>
      </c>
      <c r="D148" s="513">
        <f t="shared" si="28"/>
        <v>0</v>
      </c>
      <c r="E148" s="513">
        <f t="shared" si="28"/>
        <v>0</v>
      </c>
      <c r="F148" s="513">
        <f t="shared" si="28"/>
        <v>0</v>
      </c>
      <c r="G148" s="513">
        <f t="shared" si="28"/>
        <v>0</v>
      </c>
      <c r="H148" s="692">
        <f t="shared" si="28"/>
        <v>0</v>
      </c>
      <c r="I148" s="333">
        <f t="shared" si="29"/>
        <v>0</v>
      </c>
    </row>
    <row r="149" spans="1:9" hidden="1">
      <c r="A149" s="265"/>
      <c r="B149" s="119">
        <f>'Background Controls'!I13</f>
        <v>0</v>
      </c>
      <c r="C149" s="691">
        <f t="shared" si="28"/>
        <v>0</v>
      </c>
      <c r="D149" s="513">
        <f t="shared" si="28"/>
        <v>0</v>
      </c>
      <c r="E149" s="513">
        <f t="shared" si="28"/>
        <v>0</v>
      </c>
      <c r="F149" s="513">
        <f t="shared" si="28"/>
        <v>0</v>
      </c>
      <c r="G149" s="513">
        <f t="shared" si="28"/>
        <v>0</v>
      </c>
      <c r="H149" s="692">
        <f t="shared" si="28"/>
        <v>0</v>
      </c>
      <c r="I149" s="333">
        <f t="shared" si="29"/>
        <v>0</v>
      </c>
    </row>
    <row r="150" spans="1:9" hidden="1">
      <c r="A150" s="265"/>
      <c r="B150" s="119">
        <f>'Background Controls'!I14</f>
        <v>0</v>
      </c>
      <c r="C150" s="691">
        <f t="shared" si="28"/>
        <v>0</v>
      </c>
      <c r="D150" s="513">
        <f t="shared" si="28"/>
        <v>0</v>
      </c>
      <c r="E150" s="513">
        <f t="shared" si="28"/>
        <v>0</v>
      </c>
      <c r="F150" s="513">
        <f t="shared" si="28"/>
        <v>0</v>
      </c>
      <c r="G150" s="513">
        <f t="shared" si="28"/>
        <v>0</v>
      </c>
      <c r="H150" s="692">
        <f t="shared" si="28"/>
        <v>0</v>
      </c>
      <c r="I150" s="333">
        <f t="shared" si="29"/>
        <v>0</v>
      </c>
    </row>
    <row r="151" spans="1:9" hidden="1">
      <c r="A151" s="265"/>
      <c r="B151" s="119">
        <f>'Background Controls'!I15</f>
        <v>0</v>
      </c>
      <c r="C151" s="691">
        <f t="shared" ref="C151:H160" si="30">SUMIFS(elec_data_consump, elec_data_dept, $B151, elec_data_contract, C$140)</f>
        <v>0</v>
      </c>
      <c r="D151" s="513">
        <f t="shared" si="30"/>
        <v>0</v>
      </c>
      <c r="E151" s="513">
        <f t="shared" si="30"/>
        <v>0</v>
      </c>
      <c r="F151" s="513">
        <f t="shared" si="30"/>
        <v>0</v>
      </c>
      <c r="G151" s="513">
        <f t="shared" si="30"/>
        <v>0</v>
      </c>
      <c r="H151" s="692">
        <f t="shared" si="30"/>
        <v>0</v>
      </c>
      <c r="I151" s="333">
        <f t="shared" si="29"/>
        <v>0</v>
      </c>
    </row>
    <row r="152" spans="1:9" hidden="1">
      <c r="A152" s="265"/>
      <c r="B152" s="119">
        <f>'Background Controls'!I16</f>
        <v>0</v>
      </c>
      <c r="C152" s="691">
        <f t="shared" si="30"/>
        <v>0</v>
      </c>
      <c r="D152" s="513">
        <f t="shared" si="30"/>
        <v>0</v>
      </c>
      <c r="E152" s="513">
        <f t="shared" si="30"/>
        <v>0</v>
      </c>
      <c r="F152" s="513">
        <f t="shared" si="30"/>
        <v>0</v>
      </c>
      <c r="G152" s="513">
        <f t="shared" si="30"/>
        <v>0</v>
      </c>
      <c r="H152" s="692">
        <f t="shared" si="30"/>
        <v>0</v>
      </c>
      <c r="I152" s="333">
        <f t="shared" si="29"/>
        <v>0</v>
      </c>
    </row>
    <row r="153" spans="1:9" hidden="1">
      <c r="A153" s="265"/>
      <c r="B153" s="119">
        <f>'Background Controls'!I17</f>
        <v>0</v>
      </c>
      <c r="C153" s="691">
        <f t="shared" si="30"/>
        <v>0</v>
      </c>
      <c r="D153" s="513">
        <f t="shared" si="30"/>
        <v>0</v>
      </c>
      <c r="E153" s="513">
        <f t="shared" si="30"/>
        <v>0</v>
      </c>
      <c r="F153" s="513">
        <f t="shared" si="30"/>
        <v>0</v>
      </c>
      <c r="G153" s="513">
        <f t="shared" si="30"/>
        <v>0</v>
      </c>
      <c r="H153" s="692">
        <f t="shared" si="30"/>
        <v>0</v>
      </c>
      <c r="I153" s="333">
        <f t="shared" si="29"/>
        <v>0</v>
      </c>
    </row>
    <row r="154" spans="1:9" hidden="1">
      <c r="A154" s="265"/>
      <c r="B154" s="119">
        <f>'Background Controls'!I18</f>
        <v>0</v>
      </c>
      <c r="C154" s="691">
        <f t="shared" si="30"/>
        <v>0</v>
      </c>
      <c r="D154" s="513">
        <f t="shared" si="30"/>
        <v>0</v>
      </c>
      <c r="E154" s="513">
        <f t="shared" si="30"/>
        <v>0</v>
      </c>
      <c r="F154" s="513">
        <f t="shared" si="30"/>
        <v>0</v>
      </c>
      <c r="G154" s="513">
        <f t="shared" si="30"/>
        <v>0</v>
      </c>
      <c r="H154" s="692">
        <f t="shared" si="30"/>
        <v>0</v>
      </c>
      <c r="I154" s="333">
        <f t="shared" si="29"/>
        <v>0</v>
      </c>
    </row>
    <row r="155" spans="1:9" hidden="1">
      <c r="A155" s="265"/>
      <c r="B155" s="119">
        <f>'Background Controls'!I19</f>
        <v>0</v>
      </c>
      <c r="C155" s="691">
        <f t="shared" si="30"/>
        <v>0</v>
      </c>
      <c r="D155" s="513">
        <f t="shared" si="30"/>
        <v>0</v>
      </c>
      <c r="E155" s="513">
        <f t="shared" si="30"/>
        <v>0</v>
      </c>
      <c r="F155" s="513">
        <f t="shared" si="30"/>
        <v>0</v>
      </c>
      <c r="G155" s="513">
        <f t="shared" si="30"/>
        <v>0</v>
      </c>
      <c r="H155" s="692">
        <f t="shared" si="30"/>
        <v>0</v>
      </c>
      <c r="I155" s="333">
        <f t="shared" si="29"/>
        <v>0</v>
      </c>
    </row>
    <row r="156" spans="1:9" hidden="1">
      <c r="A156" s="265"/>
      <c r="B156" s="119">
        <f>'Background Controls'!I20</f>
        <v>0</v>
      </c>
      <c r="C156" s="691">
        <f t="shared" si="30"/>
        <v>0</v>
      </c>
      <c r="D156" s="513">
        <f t="shared" si="30"/>
        <v>0</v>
      </c>
      <c r="E156" s="513">
        <f t="shared" si="30"/>
        <v>0</v>
      </c>
      <c r="F156" s="513">
        <f t="shared" si="30"/>
        <v>0</v>
      </c>
      <c r="G156" s="513">
        <f t="shared" si="30"/>
        <v>0</v>
      </c>
      <c r="H156" s="692">
        <f t="shared" si="30"/>
        <v>0</v>
      </c>
      <c r="I156" s="333">
        <f t="shared" si="29"/>
        <v>0</v>
      </c>
    </row>
    <row r="157" spans="1:9" hidden="1">
      <c r="A157" s="265"/>
      <c r="B157" s="119">
        <f>'Background Controls'!I21</f>
        <v>0</v>
      </c>
      <c r="C157" s="691">
        <f t="shared" si="30"/>
        <v>0</v>
      </c>
      <c r="D157" s="513">
        <f t="shared" si="30"/>
        <v>0</v>
      </c>
      <c r="E157" s="513">
        <f t="shared" si="30"/>
        <v>0</v>
      </c>
      <c r="F157" s="513">
        <f t="shared" si="30"/>
        <v>0</v>
      </c>
      <c r="G157" s="513">
        <f t="shared" si="30"/>
        <v>0</v>
      </c>
      <c r="H157" s="692">
        <f t="shared" si="30"/>
        <v>0</v>
      </c>
      <c r="I157" s="333">
        <f t="shared" si="29"/>
        <v>0</v>
      </c>
    </row>
    <row r="158" spans="1:9" hidden="1">
      <c r="A158" s="265"/>
      <c r="B158" s="119">
        <f>'Background Controls'!I22</f>
        <v>0</v>
      </c>
      <c r="C158" s="691">
        <f t="shared" si="30"/>
        <v>0</v>
      </c>
      <c r="D158" s="513">
        <f t="shared" si="30"/>
        <v>0</v>
      </c>
      <c r="E158" s="513">
        <f t="shared" si="30"/>
        <v>0</v>
      </c>
      <c r="F158" s="513">
        <f t="shared" si="30"/>
        <v>0</v>
      </c>
      <c r="G158" s="513">
        <f t="shared" si="30"/>
        <v>0</v>
      </c>
      <c r="H158" s="692">
        <f t="shared" si="30"/>
        <v>0</v>
      </c>
      <c r="I158" s="333">
        <f t="shared" si="29"/>
        <v>0</v>
      </c>
    </row>
    <row r="159" spans="1:9" hidden="1">
      <c r="A159" s="265"/>
      <c r="B159" s="119">
        <f>'Background Controls'!I23</f>
        <v>0</v>
      </c>
      <c r="C159" s="691">
        <f t="shared" si="30"/>
        <v>0</v>
      </c>
      <c r="D159" s="513">
        <f t="shared" si="30"/>
        <v>0</v>
      </c>
      <c r="E159" s="513">
        <f t="shared" si="30"/>
        <v>0</v>
      </c>
      <c r="F159" s="513">
        <f t="shared" si="30"/>
        <v>0</v>
      </c>
      <c r="G159" s="513">
        <f t="shared" si="30"/>
        <v>0</v>
      </c>
      <c r="H159" s="692">
        <f t="shared" si="30"/>
        <v>0</v>
      </c>
      <c r="I159" s="333">
        <f t="shared" si="29"/>
        <v>0</v>
      </c>
    </row>
    <row r="160" spans="1:9" hidden="1">
      <c r="A160" s="265"/>
      <c r="B160" s="119">
        <f>'Background Controls'!I24</f>
        <v>0</v>
      </c>
      <c r="C160" s="691">
        <f t="shared" si="30"/>
        <v>0</v>
      </c>
      <c r="D160" s="513">
        <f t="shared" si="30"/>
        <v>0</v>
      </c>
      <c r="E160" s="513">
        <f t="shared" si="30"/>
        <v>0</v>
      </c>
      <c r="F160" s="513">
        <f t="shared" si="30"/>
        <v>0</v>
      </c>
      <c r="G160" s="513">
        <f t="shared" si="30"/>
        <v>0</v>
      </c>
      <c r="H160" s="692">
        <f t="shared" si="30"/>
        <v>0</v>
      </c>
      <c r="I160" s="333">
        <f t="shared" si="29"/>
        <v>0</v>
      </c>
    </row>
    <row r="161" spans="1:10">
      <c r="A161" s="265"/>
      <c r="B161" s="892" t="s">
        <v>253</v>
      </c>
      <c r="C161" s="512">
        <f t="shared" ref="C161:H161" si="31">SUM(C141:C160)</f>
        <v>0</v>
      </c>
      <c r="D161" s="512">
        <f t="shared" si="31"/>
        <v>0</v>
      </c>
      <c r="E161" s="512">
        <f t="shared" si="31"/>
        <v>0</v>
      </c>
      <c r="F161" s="512">
        <f t="shared" si="31"/>
        <v>0</v>
      </c>
      <c r="G161" s="512">
        <f t="shared" si="31"/>
        <v>0</v>
      </c>
      <c r="H161" s="512">
        <f t="shared" si="31"/>
        <v>0</v>
      </c>
      <c r="I161" s="862">
        <f>SUM(I141:I160)</f>
        <v>0</v>
      </c>
    </row>
    <row r="162" spans="1:10">
      <c r="A162" s="265"/>
    </row>
    <row r="163" spans="1:10" ht="16.5">
      <c r="A163" s="268" t="s">
        <v>730</v>
      </c>
    </row>
    <row r="164" spans="1:10" ht="16.5">
      <c r="A164" s="286" t="s">
        <v>731</v>
      </c>
    </row>
    <row r="165" spans="1:10">
      <c r="A165" s="271"/>
      <c r="B165" s="919" t="s">
        <v>152</v>
      </c>
      <c r="C165" s="688" t="str">
        <f>IF('Background Controls'!$B$73=0,"-",'Background Controls'!$B$73)</f>
        <v/>
      </c>
      <c r="D165" s="689" t="str">
        <f>IF('Background Controls'!$B$74=0,"-",'Background Controls'!$B$74)</f>
        <v/>
      </c>
      <c r="E165" s="689" t="str">
        <f>IF('Background Controls'!$B$75=0,"-",'Background Controls'!$B$75)</f>
        <v/>
      </c>
      <c r="F165" s="689" t="str">
        <f>IF('Background Controls'!$B$76=0,"-",'Background Controls'!$B$76)</f>
        <v/>
      </c>
      <c r="G165" s="689" t="str">
        <f>IF('Background Controls'!$B$77=0,"-",'Background Controls'!$B$77)</f>
        <v/>
      </c>
      <c r="H165" s="690" t="str">
        <f>IF('Background Controls'!$B$78=0,"-",'Background Controls'!$B$78)</f>
        <v/>
      </c>
      <c r="I165" s="868" t="s">
        <v>263</v>
      </c>
      <c r="J165" s="56"/>
    </row>
    <row r="166" spans="1:10">
      <c r="A166" s="284" t="s">
        <v>101</v>
      </c>
      <c r="B166" s="119" t="str">
        <f>'Background Controls'!I5</f>
        <v>Residential</v>
      </c>
      <c r="C166" s="688" t="str">
        <f>IFERROR(C141*VLOOKUP(C$165, elec_contract_factors, 2, FALSE)*kWh_MWh*lb_mt*CO2_CO2e,"-")</f>
        <v>-</v>
      </c>
      <c r="D166" s="689" t="str">
        <f t="shared" ref="C166:H175" si="32">IFERROR(D141*VLOOKUP(D$165, elec_contract_factors, 2, FALSE)*kWh_MWh*lb_mt*CO2_CO2e,"-")</f>
        <v>-</v>
      </c>
      <c r="E166" s="689" t="str">
        <f t="shared" si="32"/>
        <v>-</v>
      </c>
      <c r="F166" s="689" t="str">
        <f t="shared" si="32"/>
        <v>-</v>
      </c>
      <c r="G166" s="689" t="str">
        <f t="shared" si="32"/>
        <v>-</v>
      </c>
      <c r="H166" s="690" t="str">
        <f t="shared" si="32"/>
        <v>-</v>
      </c>
      <c r="I166" s="422">
        <f t="shared" ref="I166:I185" si="33">SUM(C166:H166)</f>
        <v>0</v>
      </c>
    </row>
    <row r="167" spans="1:10">
      <c r="A167" s="265"/>
      <c r="B167" s="119" t="str">
        <f>'Background Controls'!I6</f>
        <v>Commercial/Institutional</v>
      </c>
      <c r="C167" s="513" t="str">
        <f t="shared" si="32"/>
        <v>-</v>
      </c>
      <c r="D167" s="513" t="str">
        <f t="shared" si="32"/>
        <v>-</v>
      </c>
      <c r="E167" s="513" t="str">
        <f t="shared" si="32"/>
        <v>-</v>
      </c>
      <c r="F167" s="513" t="str">
        <f t="shared" si="32"/>
        <v>-</v>
      </c>
      <c r="G167" s="513" t="str">
        <f t="shared" si="32"/>
        <v>-</v>
      </c>
      <c r="H167" s="513" t="str">
        <f t="shared" si="32"/>
        <v>-</v>
      </c>
      <c r="I167" s="422">
        <f t="shared" si="33"/>
        <v>0</v>
      </c>
    </row>
    <row r="168" spans="1:10">
      <c r="A168" s="265"/>
      <c r="B168" s="119" t="str">
        <f>'Background Controls'!I7</f>
        <v>Industrial</v>
      </c>
      <c r="C168" s="513" t="str">
        <f t="shared" si="32"/>
        <v>-</v>
      </c>
      <c r="D168" s="513" t="str">
        <f t="shared" si="32"/>
        <v>-</v>
      </c>
      <c r="E168" s="513" t="str">
        <f t="shared" si="32"/>
        <v>-</v>
      </c>
      <c r="F168" s="513" t="str">
        <f t="shared" si="32"/>
        <v>-</v>
      </c>
      <c r="G168" s="513" t="str">
        <f t="shared" si="32"/>
        <v>-</v>
      </c>
      <c r="H168" s="513" t="str">
        <f t="shared" si="32"/>
        <v>-</v>
      </c>
      <c r="I168" s="422">
        <f t="shared" si="33"/>
        <v>0</v>
      </c>
    </row>
    <row r="169" spans="1:10">
      <c r="A169" s="265"/>
      <c r="B169" s="119" t="str">
        <f>'Background Controls'!I8</f>
        <v>Energy Generation</v>
      </c>
      <c r="C169" s="513" t="str">
        <f t="shared" si="32"/>
        <v>-</v>
      </c>
      <c r="D169" s="513" t="str">
        <f t="shared" si="32"/>
        <v>-</v>
      </c>
      <c r="E169" s="513" t="str">
        <f t="shared" si="32"/>
        <v>-</v>
      </c>
      <c r="F169" s="513" t="str">
        <f t="shared" si="32"/>
        <v>-</v>
      </c>
      <c r="G169" s="513" t="str">
        <f t="shared" si="32"/>
        <v>-</v>
      </c>
      <c r="H169" s="513" t="str">
        <f t="shared" si="32"/>
        <v>-</v>
      </c>
      <c r="I169" s="422">
        <f t="shared" si="33"/>
        <v>0</v>
      </c>
    </row>
    <row r="170" spans="1:10" hidden="1">
      <c r="A170" s="265"/>
      <c r="B170" s="119">
        <f>'Background Controls'!I9</f>
        <v>0</v>
      </c>
      <c r="C170" s="513" t="str">
        <f t="shared" si="32"/>
        <v>-</v>
      </c>
      <c r="D170" s="513" t="str">
        <f t="shared" si="32"/>
        <v>-</v>
      </c>
      <c r="E170" s="513" t="str">
        <f t="shared" si="32"/>
        <v>-</v>
      </c>
      <c r="F170" s="513" t="str">
        <f t="shared" si="32"/>
        <v>-</v>
      </c>
      <c r="G170" s="513" t="str">
        <f t="shared" si="32"/>
        <v>-</v>
      </c>
      <c r="H170" s="513" t="str">
        <f t="shared" si="32"/>
        <v>-</v>
      </c>
      <c r="I170" s="422">
        <f t="shared" si="33"/>
        <v>0</v>
      </c>
    </row>
    <row r="171" spans="1:10" hidden="1">
      <c r="A171" s="265"/>
      <c r="B171" s="119">
        <f>'Background Controls'!I10</f>
        <v>0</v>
      </c>
      <c r="C171" s="513" t="str">
        <f t="shared" si="32"/>
        <v>-</v>
      </c>
      <c r="D171" s="513" t="str">
        <f t="shared" si="32"/>
        <v>-</v>
      </c>
      <c r="E171" s="513" t="str">
        <f t="shared" si="32"/>
        <v>-</v>
      </c>
      <c r="F171" s="513" t="str">
        <f t="shared" si="32"/>
        <v>-</v>
      </c>
      <c r="G171" s="513" t="str">
        <f t="shared" si="32"/>
        <v>-</v>
      </c>
      <c r="H171" s="513" t="str">
        <f t="shared" si="32"/>
        <v>-</v>
      </c>
      <c r="I171" s="422">
        <f t="shared" si="33"/>
        <v>0</v>
      </c>
    </row>
    <row r="172" spans="1:10" hidden="1">
      <c r="A172" s="265"/>
      <c r="B172" s="119">
        <f>'Background Controls'!I11</f>
        <v>0</v>
      </c>
      <c r="C172" s="513" t="str">
        <f t="shared" si="32"/>
        <v>-</v>
      </c>
      <c r="D172" s="513" t="str">
        <f t="shared" si="32"/>
        <v>-</v>
      </c>
      <c r="E172" s="513" t="str">
        <f t="shared" si="32"/>
        <v>-</v>
      </c>
      <c r="F172" s="513" t="str">
        <f t="shared" si="32"/>
        <v>-</v>
      </c>
      <c r="G172" s="513" t="str">
        <f t="shared" si="32"/>
        <v>-</v>
      </c>
      <c r="H172" s="513" t="str">
        <f t="shared" si="32"/>
        <v>-</v>
      </c>
      <c r="I172" s="422">
        <f t="shared" si="33"/>
        <v>0</v>
      </c>
    </row>
    <row r="173" spans="1:10" hidden="1">
      <c r="A173" s="265"/>
      <c r="B173" s="119">
        <f>'Background Controls'!I12</f>
        <v>0</v>
      </c>
      <c r="C173" s="513" t="str">
        <f t="shared" si="32"/>
        <v>-</v>
      </c>
      <c r="D173" s="513" t="str">
        <f t="shared" si="32"/>
        <v>-</v>
      </c>
      <c r="E173" s="513" t="str">
        <f t="shared" si="32"/>
        <v>-</v>
      </c>
      <c r="F173" s="513" t="str">
        <f t="shared" si="32"/>
        <v>-</v>
      </c>
      <c r="G173" s="513" t="str">
        <f t="shared" si="32"/>
        <v>-</v>
      </c>
      <c r="H173" s="513" t="str">
        <f t="shared" si="32"/>
        <v>-</v>
      </c>
      <c r="I173" s="422">
        <f t="shared" si="33"/>
        <v>0</v>
      </c>
    </row>
    <row r="174" spans="1:10" hidden="1">
      <c r="A174" s="265"/>
      <c r="B174" s="119">
        <f>'Background Controls'!I13</f>
        <v>0</v>
      </c>
      <c r="C174" s="513" t="str">
        <f t="shared" si="32"/>
        <v>-</v>
      </c>
      <c r="D174" s="513" t="str">
        <f t="shared" si="32"/>
        <v>-</v>
      </c>
      <c r="E174" s="513" t="str">
        <f t="shared" si="32"/>
        <v>-</v>
      </c>
      <c r="F174" s="513" t="str">
        <f t="shared" si="32"/>
        <v>-</v>
      </c>
      <c r="G174" s="513" t="str">
        <f t="shared" si="32"/>
        <v>-</v>
      </c>
      <c r="H174" s="513" t="str">
        <f t="shared" si="32"/>
        <v>-</v>
      </c>
      <c r="I174" s="422">
        <f t="shared" si="33"/>
        <v>0</v>
      </c>
    </row>
    <row r="175" spans="1:10" hidden="1">
      <c r="A175" s="265"/>
      <c r="B175" s="119">
        <f>'Background Controls'!I14</f>
        <v>0</v>
      </c>
      <c r="C175" s="513" t="str">
        <f t="shared" si="32"/>
        <v>-</v>
      </c>
      <c r="D175" s="513" t="str">
        <f t="shared" si="32"/>
        <v>-</v>
      </c>
      <c r="E175" s="513" t="str">
        <f t="shared" si="32"/>
        <v>-</v>
      </c>
      <c r="F175" s="513" t="str">
        <f t="shared" si="32"/>
        <v>-</v>
      </c>
      <c r="G175" s="513" t="str">
        <f t="shared" si="32"/>
        <v>-</v>
      </c>
      <c r="H175" s="513" t="str">
        <f t="shared" si="32"/>
        <v>-</v>
      </c>
      <c r="I175" s="422">
        <f t="shared" si="33"/>
        <v>0</v>
      </c>
    </row>
    <row r="176" spans="1:10" hidden="1">
      <c r="A176" s="265"/>
      <c r="B176" s="119">
        <f>'Background Controls'!I15</f>
        <v>0</v>
      </c>
      <c r="C176" s="513" t="str">
        <f t="shared" ref="C176:H185" si="34">IFERROR(C151*VLOOKUP(C$165, elec_contract_factors, 2, FALSE)*kWh_MWh*lb_mt*CO2_CO2e,"-")</f>
        <v>-</v>
      </c>
      <c r="D176" s="513" t="str">
        <f t="shared" si="34"/>
        <v>-</v>
      </c>
      <c r="E176" s="513" t="str">
        <f t="shared" si="34"/>
        <v>-</v>
      </c>
      <c r="F176" s="513" t="str">
        <f t="shared" si="34"/>
        <v>-</v>
      </c>
      <c r="G176" s="513" t="str">
        <f t="shared" si="34"/>
        <v>-</v>
      </c>
      <c r="H176" s="513" t="str">
        <f t="shared" si="34"/>
        <v>-</v>
      </c>
      <c r="I176" s="422">
        <f t="shared" si="33"/>
        <v>0</v>
      </c>
    </row>
    <row r="177" spans="1:10" hidden="1">
      <c r="A177" s="265"/>
      <c r="B177" s="119">
        <f>'Background Controls'!I16</f>
        <v>0</v>
      </c>
      <c r="C177" s="513" t="str">
        <f t="shared" si="34"/>
        <v>-</v>
      </c>
      <c r="D177" s="513" t="str">
        <f t="shared" si="34"/>
        <v>-</v>
      </c>
      <c r="E177" s="513" t="str">
        <f t="shared" si="34"/>
        <v>-</v>
      </c>
      <c r="F177" s="513" t="str">
        <f t="shared" si="34"/>
        <v>-</v>
      </c>
      <c r="G177" s="513" t="str">
        <f t="shared" si="34"/>
        <v>-</v>
      </c>
      <c r="H177" s="513" t="str">
        <f t="shared" si="34"/>
        <v>-</v>
      </c>
      <c r="I177" s="422">
        <f t="shared" si="33"/>
        <v>0</v>
      </c>
    </row>
    <row r="178" spans="1:10" hidden="1">
      <c r="A178" s="265"/>
      <c r="B178" s="119">
        <f>'Background Controls'!I17</f>
        <v>0</v>
      </c>
      <c r="C178" s="513" t="str">
        <f t="shared" si="34"/>
        <v>-</v>
      </c>
      <c r="D178" s="513" t="str">
        <f t="shared" si="34"/>
        <v>-</v>
      </c>
      <c r="E178" s="513" t="str">
        <f t="shared" si="34"/>
        <v>-</v>
      </c>
      <c r="F178" s="513" t="str">
        <f t="shared" si="34"/>
        <v>-</v>
      </c>
      <c r="G178" s="513" t="str">
        <f t="shared" si="34"/>
        <v>-</v>
      </c>
      <c r="H178" s="513" t="str">
        <f t="shared" si="34"/>
        <v>-</v>
      </c>
      <c r="I178" s="422">
        <f t="shared" si="33"/>
        <v>0</v>
      </c>
    </row>
    <row r="179" spans="1:10" hidden="1">
      <c r="A179" s="265"/>
      <c r="B179" s="119">
        <f>'Background Controls'!I18</f>
        <v>0</v>
      </c>
      <c r="C179" s="513" t="str">
        <f t="shared" si="34"/>
        <v>-</v>
      </c>
      <c r="D179" s="513" t="str">
        <f t="shared" si="34"/>
        <v>-</v>
      </c>
      <c r="E179" s="513" t="str">
        <f t="shared" si="34"/>
        <v>-</v>
      </c>
      <c r="F179" s="513" t="str">
        <f t="shared" si="34"/>
        <v>-</v>
      </c>
      <c r="G179" s="513" t="str">
        <f t="shared" si="34"/>
        <v>-</v>
      </c>
      <c r="H179" s="513" t="str">
        <f t="shared" si="34"/>
        <v>-</v>
      </c>
      <c r="I179" s="422">
        <f t="shared" si="33"/>
        <v>0</v>
      </c>
    </row>
    <row r="180" spans="1:10" hidden="1">
      <c r="A180" s="265"/>
      <c r="B180" s="119">
        <f>'Background Controls'!I19</f>
        <v>0</v>
      </c>
      <c r="C180" s="513" t="str">
        <f t="shared" si="34"/>
        <v>-</v>
      </c>
      <c r="D180" s="513" t="str">
        <f t="shared" si="34"/>
        <v>-</v>
      </c>
      <c r="E180" s="513" t="str">
        <f t="shared" si="34"/>
        <v>-</v>
      </c>
      <c r="F180" s="513" t="str">
        <f t="shared" si="34"/>
        <v>-</v>
      </c>
      <c r="G180" s="513" t="str">
        <f t="shared" si="34"/>
        <v>-</v>
      </c>
      <c r="H180" s="513" t="str">
        <f t="shared" si="34"/>
        <v>-</v>
      </c>
      <c r="I180" s="422">
        <f t="shared" si="33"/>
        <v>0</v>
      </c>
    </row>
    <row r="181" spans="1:10" hidden="1">
      <c r="A181" s="265"/>
      <c r="B181" s="119">
        <f>'Background Controls'!I20</f>
        <v>0</v>
      </c>
      <c r="C181" s="513" t="str">
        <f t="shared" si="34"/>
        <v>-</v>
      </c>
      <c r="D181" s="513" t="str">
        <f t="shared" si="34"/>
        <v>-</v>
      </c>
      <c r="E181" s="513" t="str">
        <f t="shared" si="34"/>
        <v>-</v>
      </c>
      <c r="F181" s="513" t="str">
        <f t="shared" si="34"/>
        <v>-</v>
      </c>
      <c r="G181" s="513" t="str">
        <f t="shared" si="34"/>
        <v>-</v>
      </c>
      <c r="H181" s="513" t="str">
        <f t="shared" si="34"/>
        <v>-</v>
      </c>
      <c r="I181" s="422">
        <f t="shared" si="33"/>
        <v>0</v>
      </c>
    </row>
    <row r="182" spans="1:10" hidden="1">
      <c r="A182" s="265"/>
      <c r="B182" s="119">
        <f>'Background Controls'!I21</f>
        <v>0</v>
      </c>
      <c r="C182" s="513" t="str">
        <f t="shared" si="34"/>
        <v>-</v>
      </c>
      <c r="D182" s="513" t="str">
        <f t="shared" si="34"/>
        <v>-</v>
      </c>
      <c r="E182" s="513" t="str">
        <f t="shared" si="34"/>
        <v>-</v>
      </c>
      <c r="F182" s="513" t="str">
        <f t="shared" si="34"/>
        <v>-</v>
      </c>
      <c r="G182" s="513" t="str">
        <f t="shared" si="34"/>
        <v>-</v>
      </c>
      <c r="H182" s="513" t="str">
        <f t="shared" si="34"/>
        <v>-</v>
      </c>
      <c r="I182" s="422">
        <f t="shared" si="33"/>
        <v>0</v>
      </c>
    </row>
    <row r="183" spans="1:10" hidden="1">
      <c r="A183" s="265"/>
      <c r="B183" s="119">
        <f>'Background Controls'!I22</f>
        <v>0</v>
      </c>
      <c r="C183" s="513" t="str">
        <f t="shared" si="34"/>
        <v>-</v>
      </c>
      <c r="D183" s="513" t="str">
        <f t="shared" si="34"/>
        <v>-</v>
      </c>
      <c r="E183" s="513" t="str">
        <f t="shared" si="34"/>
        <v>-</v>
      </c>
      <c r="F183" s="513" t="str">
        <f t="shared" si="34"/>
        <v>-</v>
      </c>
      <c r="G183" s="513" t="str">
        <f t="shared" si="34"/>
        <v>-</v>
      </c>
      <c r="H183" s="513" t="str">
        <f t="shared" si="34"/>
        <v>-</v>
      </c>
      <c r="I183" s="422">
        <f t="shared" si="33"/>
        <v>0</v>
      </c>
    </row>
    <row r="184" spans="1:10" hidden="1">
      <c r="A184" s="265"/>
      <c r="B184" s="119">
        <f>'Background Controls'!I23</f>
        <v>0</v>
      </c>
      <c r="C184" s="513" t="str">
        <f t="shared" si="34"/>
        <v>-</v>
      </c>
      <c r="D184" s="513" t="str">
        <f t="shared" si="34"/>
        <v>-</v>
      </c>
      <c r="E184" s="513" t="str">
        <f t="shared" si="34"/>
        <v>-</v>
      </c>
      <c r="F184" s="513" t="str">
        <f t="shared" si="34"/>
        <v>-</v>
      </c>
      <c r="G184" s="513" t="str">
        <f t="shared" si="34"/>
        <v>-</v>
      </c>
      <c r="H184" s="513" t="str">
        <f t="shared" si="34"/>
        <v>-</v>
      </c>
      <c r="I184" s="422">
        <f t="shared" si="33"/>
        <v>0</v>
      </c>
    </row>
    <row r="185" spans="1:10" hidden="1">
      <c r="A185" s="265"/>
      <c r="B185" s="119">
        <f>'Background Controls'!I24</f>
        <v>0</v>
      </c>
      <c r="C185" s="513" t="str">
        <f t="shared" si="34"/>
        <v>-</v>
      </c>
      <c r="D185" s="513" t="str">
        <f t="shared" si="34"/>
        <v>-</v>
      </c>
      <c r="E185" s="513" t="str">
        <f t="shared" si="34"/>
        <v>-</v>
      </c>
      <c r="F185" s="513" t="str">
        <f t="shared" si="34"/>
        <v>-</v>
      </c>
      <c r="G185" s="513" t="str">
        <f t="shared" si="34"/>
        <v>-</v>
      </c>
      <c r="H185" s="513" t="str">
        <f t="shared" si="34"/>
        <v>-</v>
      </c>
      <c r="I185" s="422">
        <f t="shared" si="33"/>
        <v>0</v>
      </c>
    </row>
    <row r="186" spans="1:10">
      <c r="A186" s="265"/>
      <c r="B186" s="860" t="s">
        <v>253</v>
      </c>
      <c r="C186" s="512">
        <f t="shared" ref="C186:H186" si="35">SUM(C166:C185)</f>
        <v>0</v>
      </c>
      <c r="D186" s="512">
        <f t="shared" si="35"/>
        <v>0</v>
      </c>
      <c r="E186" s="512">
        <f t="shared" si="35"/>
        <v>0</v>
      </c>
      <c r="F186" s="512">
        <f t="shared" si="35"/>
        <v>0</v>
      </c>
      <c r="G186" s="512">
        <f t="shared" si="35"/>
        <v>0</v>
      </c>
      <c r="H186" s="512">
        <f t="shared" si="35"/>
        <v>0</v>
      </c>
      <c r="I186" s="889">
        <f>SUM(I166:I185)</f>
        <v>0</v>
      </c>
    </row>
    <row r="187" spans="1:10">
      <c r="A187" s="265"/>
      <c r="C187" s="50"/>
      <c r="D187" s="50"/>
      <c r="E187" s="50"/>
      <c r="F187" s="50"/>
      <c r="G187" s="50"/>
      <c r="H187" s="50"/>
      <c r="I187" s="50"/>
    </row>
    <row r="188" spans="1:10" ht="16.5">
      <c r="A188" s="268" t="s">
        <v>732</v>
      </c>
    </row>
    <row r="189" spans="1:10" ht="16.5">
      <c r="A189" s="286" t="s">
        <v>733</v>
      </c>
    </row>
    <row r="190" spans="1:10">
      <c r="A190" s="287"/>
      <c r="B190" s="893" t="s">
        <v>152</v>
      </c>
      <c r="C190" s="688" t="str">
        <f>IF('Background Controls'!$B$73=0,"-",'Background Controls'!$B$73)</f>
        <v/>
      </c>
      <c r="D190" s="689" t="str">
        <f>IF('Background Controls'!$B$74=0,"-",'Background Controls'!$B$74)</f>
        <v/>
      </c>
      <c r="E190" s="689" t="str">
        <f>IF('Background Controls'!$B$75=0,"-",'Background Controls'!$B$75)</f>
        <v/>
      </c>
      <c r="F190" s="689" t="str">
        <f>IF('Background Controls'!$B$76=0,"-",'Background Controls'!$B$76)</f>
        <v/>
      </c>
      <c r="G190" s="689" t="str">
        <f>IF('Background Controls'!$B$77=0,"-",'Background Controls'!$B$77)</f>
        <v/>
      </c>
      <c r="H190" s="690" t="str">
        <f>IF('Background Controls'!$B$78=0,"-",'Background Controls'!$B$78)</f>
        <v/>
      </c>
      <c r="I190" s="868" t="s">
        <v>263</v>
      </c>
      <c r="J190" s="118"/>
    </row>
    <row r="191" spans="1:10">
      <c r="A191" s="284" t="s">
        <v>101</v>
      </c>
      <c r="B191" s="119" t="str">
        <f>'Background Controls'!I5</f>
        <v>Residential</v>
      </c>
      <c r="C191" s="688" t="str">
        <f t="shared" ref="C191:H200" si="36">IFERROR(C141*VLOOKUP(C$165, elec_contract_factors,3, FALSE)*kWh_MWh*lb_mt*CH4_CO2e,"-")</f>
        <v>-</v>
      </c>
      <c r="D191" s="689" t="str">
        <f t="shared" si="36"/>
        <v>-</v>
      </c>
      <c r="E191" s="689" t="str">
        <f t="shared" si="36"/>
        <v>-</v>
      </c>
      <c r="F191" s="689" t="str">
        <f t="shared" si="36"/>
        <v>-</v>
      </c>
      <c r="G191" s="689" t="str">
        <f t="shared" si="36"/>
        <v>-</v>
      </c>
      <c r="H191" s="690" t="str">
        <f t="shared" si="36"/>
        <v>-</v>
      </c>
      <c r="I191" s="336">
        <f t="shared" ref="I191:I210" si="37">SUM(C191:H191)</f>
        <v>0</v>
      </c>
    </row>
    <row r="192" spans="1:10">
      <c r="A192" s="265"/>
      <c r="B192" s="119" t="str">
        <f>'Background Controls'!I6</f>
        <v>Commercial/Institutional</v>
      </c>
      <c r="C192" s="513" t="str">
        <f t="shared" si="36"/>
        <v>-</v>
      </c>
      <c r="D192" s="513" t="str">
        <f t="shared" si="36"/>
        <v>-</v>
      </c>
      <c r="E192" s="513" t="str">
        <f t="shared" si="36"/>
        <v>-</v>
      </c>
      <c r="F192" s="513" t="str">
        <f t="shared" si="36"/>
        <v>-</v>
      </c>
      <c r="G192" s="513" t="str">
        <f t="shared" si="36"/>
        <v>-</v>
      </c>
      <c r="H192" s="513" t="str">
        <f t="shared" si="36"/>
        <v>-</v>
      </c>
      <c r="I192" s="336">
        <f t="shared" si="37"/>
        <v>0</v>
      </c>
    </row>
    <row r="193" spans="1:9">
      <c r="A193" s="265"/>
      <c r="B193" s="119" t="str">
        <f>'Background Controls'!I7</f>
        <v>Industrial</v>
      </c>
      <c r="C193" s="513" t="str">
        <f t="shared" si="36"/>
        <v>-</v>
      </c>
      <c r="D193" s="513" t="str">
        <f t="shared" si="36"/>
        <v>-</v>
      </c>
      <c r="E193" s="513" t="str">
        <f t="shared" si="36"/>
        <v>-</v>
      </c>
      <c r="F193" s="513" t="str">
        <f t="shared" si="36"/>
        <v>-</v>
      </c>
      <c r="G193" s="513" t="str">
        <f t="shared" si="36"/>
        <v>-</v>
      </c>
      <c r="H193" s="513" t="str">
        <f t="shared" si="36"/>
        <v>-</v>
      </c>
      <c r="I193" s="336">
        <f t="shared" si="37"/>
        <v>0</v>
      </c>
    </row>
    <row r="194" spans="1:9">
      <c r="A194" s="265"/>
      <c r="B194" s="119" t="str">
        <f>'Background Controls'!I8</f>
        <v>Energy Generation</v>
      </c>
      <c r="C194" s="513" t="str">
        <f t="shared" si="36"/>
        <v>-</v>
      </c>
      <c r="D194" s="513" t="str">
        <f t="shared" si="36"/>
        <v>-</v>
      </c>
      <c r="E194" s="513" t="str">
        <f t="shared" si="36"/>
        <v>-</v>
      </c>
      <c r="F194" s="513" t="str">
        <f t="shared" si="36"/>
        <v>-</v>
      </c>
      <c r="G194" s="513" t="str">
        <f t="shared" si="36"/>
        <v>-</v>
      </c>
      <c r="H194" s="513" t="str">
        <f t="shared" si="36"/>
        <v>-</v>
      </c>
      <c r="I194" s="336">
        <f t="shared" si="37"/>
        <v>0</v>
      </c>
    </row>
    <row r="195" spans="1:9" hidden="1">
      <c r="A195" s="265"/>
      <c r="B195" s="119">
        <f>'Background Controls'!I9</f>
        <v>0</v>
      </c>
      <c r="C195" s="513" t="str">
        <f t="shared" si="36"/>
        <v>-</v>
      </c>
      <c r="D195" s="513" t="str">
        <f t="shared" si="36"/>
        <v>-</v>
      </c>
      <c r="E195" s="513" t="str">
        <f t="shared" si="36"/>
        <v>-</v>
      </c>
      <c r="F195" s="513" t="str">
        <f t="shared" si="36"/>
        <v>-</v>
      </c>
      <c r="G195" s="513" t="str">
        <f t="shared" si="36"/>
        <v>-</v>
      </c>
      <c r="H195" s="513" t="str">
        <f t="shared" si="36"/>
        <v>-</v>
      </c>
      <c r="I195" s="336">
        <f t="shared" si="37"/>
        <v>0</v>
      </c>
    </row>
    <row r="196" spans="1:9" hidden="1">
      <c r="A196" s="265"/>
      <c r="B196" s="119">
        <f>'Background Controls'!I10</f>
        <v>0</v>
      </c>
      <c r="C196" s="513" t="str">
        <f t="shared" si="36"/>
        <v>-</v>
      </c>
      <c r="D196" s="513" t="str">
        <f t="shared" si="36"/>
        <v>-</v>
      </c>
      <c r="E196" s="513" t="str">
        <f t="shared" si="36"/>
        <v>-</v>
      </c>
      <c r="F196" s="513" t="str">
        <f t="shared" si="36"/>
        <v>-</v>
      </c>
      <c r="G196" s="513" t="str">
        <f t="shared" si="36"/>
        <v>-</v>
      </c>
      <c r="H196" s="513" t="str">
        <f t="shared" si="36"/>
        <v>-</v>
      </c>
      <c r="I196" s="336">
        <f t="shared" si="37"/>
        <v>0</v>
      </c>
    </row>
    <row r="197" spans="1:9" hidden="1">
      <c r="A197" s="265"/>
      <c r="B197" s="119">
        <f>'Background Controls'!I11</f>
        <v>0</v>
      </c>
      <c r="C197" s="513" t="str">
        <f t="shared" si="36"/>
        <v>-</v>
      </c>
      <c r="D197" s="513" t="str">
        <f t="shared" si="36"/>
        <v>-</v>
      </c>
      <c r="E197" s="513" t="str">
        <f t="shared" si="36"/>
        <v>-</v>
      </c>
      <c r="F197" s="513" t="str">
        <f t="shared" si="36"/>
        <v>-</v>
      </c>
      <c r="G197" s="513" t="str">
        <f t="shared" si="36"/>
        <v>-</v>
      </c>
      <c r="H197" s="513" t="str">
        <f t="shared" si="36"/>
        <v>-</v>
      </c>
      <c r="I197" s="336">
        <f t="shared" si="37"/>
        <v>0</v>
      </c>
    </row>
    <row r="198" spans="1:9" hidden="1">
      <c r="A198" s="265"/>
      <c r="B198" s="119">
        <f>'Background Controls'!I12</f>
        <v>0</v>
      </c>
      <c r="C198" s="513" t="str">
        <f t="shared" si="36"/>
        <v>-</v>
      </c>
      <c r="D198" s="513" t="str">
        <f t="shared" si="36"/>
        <v>-</v>
      </c>
      <c r="E198" s="513" t="str">
        <f t="shared" si="36"/>
        <v>-</v>
      </c>
      <c r="F198" s="513" t="str">
        <f t="shared" si="36"/>
        <v>-</v>
      </c>
      <c r="G198" s="513" t="str">
        <f t="shared" si="36"/>
        <v>-</v>
      </c>
      <c r="H198" s="513" t="str">
        <f t="shared" si="36"/>
        <v>-</v>
      </c>
      <c r="I198" s="336">
        <f t="shared" si="37"/>
        <v>0</v>
      </c>
    </row>
    <row r="199" spans="1:9" hidden="1">
      <c r="A199" s="265"/>
      <c r="B199" s="119">
        <f>'Background Controls'!I13</f>
        <v>0</v>
      </c>
      <c r="C199" s="513" t="str">
        <f t="shared" si="36"/>
        <v>-</v>
      </c>
      <c r="D199" s="513" t="str">
        <f t="shared" si="36"/>
        <v>-</v>
      </c>
      <c r="E199" s="513" t="str">
        <f t="shared" si="36"/>
        <v>-</v>
      </c>
      <c r="F199" s="513" t="str">
        <f t="shared" si="36"/>
        <v>-</v>
      </c>
      <c r="G199" s="513" t="str">
        <f t="shared" si="36"/>
        <v>-</v>
      </c>
      <c r="H199" s="513" t="str">
        <f t="shared" si="36"/>
        <v>-</v>
      </c>
      <c r="I199" s="336">
        <f t="shared" si="37"/>
        <v>0</v>
      </c>
    </row>
    <row r="200" spans="1:9" hidden="1">
      <c r="A200" s="265"/>
      <c r="B200" s="119">
        <f>'Background Controls'!I14</f>
        <v>0</v>
      </c>
      <c r="C200" s="513" t="str">
        <f t="shared" si="36"/>
        <v>-</v>
      </c>
      <c r="D200" s="513" t="str">
        <f t="shared" si="36"/>
        <v>-</v>
      </c>
      <c r="E200" s="513" t="str">
        <f t="shared" si="36"/>
        <v>-</v>
      </c>
      <c r="F200" s="513" t="str">
        <f t="shared" si="36"/>
        <v>-</v>
      </c>
      <c r="G200" s="513" t="str">
        <f t="shared" si="36"/>
        <v>-</v>
      </c>
      <c r="H200" s="513" t="str">
        <f t="shared" si="36"/>
        <v>-</v>
      </c>
      <c r="I200" s="336">
        <f t="shared" si="37"/>
        <v>0</v>
      </c>
    </row>
    <row r="201" spans="1:9" hidden="1">
      <c r="A201" s="265"/>
      <c r="B201" s="119">
        <f>'Background Controls'!I15</f>
        <v>0</v>
      </c>
      <c r="C201" s="513" t="str">
        <f t="shared" ref="C201:H210" si="38">IFERROR(C151*VLOOKUP(C$165, elec_contract_factors,3, FALSE)*kWh_MWh*lb_mt*CH4_CO2e,"-")</f>
        <v>-</v>
      </c>
      <c r="D201" s="513" t="str">
        <f t="shared" si="38"/>
        <v>-</v>
      </c>
      <c r="E201" s="513" t="str">
        <f t="shared" si="38"/>
        <v>-</v>
      </c>
      <c r="F201" s="513" t="str">
        <f t="shared" si="38"/>
        <v>-</v>
      </c>
      <c r="G201" s="513" t="str">
        <f t="shared" si="38"/>
        <v>-</v>
      </c>
      <c r="H201" s="513" t="str">
        <f t="shared" si="38"/>
        <v>-</v>
      </c>
      <c r="I201" s="336">
        <f t="shared" si="37"/>
        <v>0</v>
      </c>
    </row>
    <row r="202" spans="1:9" hidden="1">
      <c r="A202" s="265"/>
      <c r="B202" s="119">
        <f>'Background Controls'!I16</f>
        <v>0</v>
      </c>
      <c r="C202" s="513" t="str">
        <f t="shared" si="38"/>
        <v>-</v>
      </c>
      <c r="D202" s="513" t="str">
        <f t="shared" si="38"/>
        <v>-</v>
      </c>
      <c r="E202" s="513" t="str">
        <f t="shared" si="38"/>
        <v>-</v>
      </c>
      <c r="F202" s="513" t="str">
        <f t="shared" si="38"/>
        <v>-</v>
      </c>
      <c r="G202" s="513" t="str">
        <f t="shared" si="38"/>
        <v>-</v>
      </c>
      <c r="H202" s="513" t="str">
        <f t="shared" si="38"/>
        <v>-</v>
      </c>
      <c r="I202" s="336">
        <f t="shared" si="37"/>
        <v>0</v>
      </c>
    </row>
    <row r="203" spans="1:9" hidden="1">
      <c r="A203" s="265"/>
      <c r="B203" s="119">
        <f>'Background Controls'!I17</f>
        <v>0</v>
      </c>
      <c r="C203" s="513" t="str">
        <f t="shared" si="38"/>
        <v>-</v>
      </c>
      <c r="D203" s="513" t="str">
        <f t="shared" si="38"/>
        <v>-</v>
      </c>
      <c r="E203" s="513" t="str">
        <f t="shared" si="38"/>
        <v>-</v>
      </c>
      <c r="F203" s="513" t="str">
        <f t="shared" si="38"/>
        <v>-</v>
      </c>
      <c r="G203" s="513" t="str">
        <f t="shared" si="38"/>
        <v>-</v>
      </c>
      <c r="H203" s="513" t="str">
        <f t="shared" si="38"/>
        <v>-</v>
      </c>
      <c r="I203" s="336">
        <f t="shared" si="37"/>
        <v>0</v>
      </c>
    </row>
    <row r="204" spans="1:9" hidden="1">
      <c r="A204" s="265"/>
      <c r="B204" s="119">
        <f>'Background Controls'!I18</f>
        <v>0</v>
      </c>
      <c r="C204" s="513" t="str">
        <f t="shared" si="38"/>
        <v>-</v>
      </c>
      <c r="D204" s="513" t="str">
        <f t="shared" si="38"/>
        <v>-</v>
      </c>
      <c r="E204" s="513" t="str">
        <f t="shared" si="38"/>
        <v>-</v>
      </c>
      <c r="F204" s="513" t="str">
        <f t="shared" si="38"/>
        <v>-</v>
      </c>
      <c r="G204" s="513" t="str">
        <f t="shared" si="38"/>
        <v>-</v>
      </c>
      <c r="H204" s="513" t="str">
        <f t="shared" si="38"/>
        <v>-</v>
      </c>
      <c r="I204" s="336">
        <f t="shared" si="37"/>
        <v>0</v>
      </c>
    </row>
    <row r="205" spans="1:9" hidden="1">
      <c r="A205" s="265"/>
      <c r="B205" s="119">
        <f>'Background Controls'!I19</f>
        <v>0</v>
      </c>
      <c r="C205" s="513" t="str">
        <f t="shared" si="38"/>
        <v>-</v>
      </c>
      <c r="D205" s="513" t="str">
        <f t="shared" si="38"/>
        <v>-</v>
      </c>
      <c r="E205" s="513" t="str">
        <f t="shared" si="38"/>
        <v>-</v>
      </c>
      <c r="F205" s="513" t="str">
        <f t="shared" si="38"/>
        <v>-</v>
      </c>
      <c r="G205" s="513" t="str">
        <f t="shared" si="38"/>
        <v>-</v>
      </c>
      <c r="H205" s="513" t="str">
        <f t="shared" si="38"/>
        <v>-</v>
      </c>
      <c r="I205" s="336">
        <f t="shared" si="37"/>
        <v>0</v>
      </c>
    </row>
    <row r="206" spans="1:9" hidden="1">
      <c r="A206" s="265"/>
      <c r="B206" s="119">
        <f>'Background Controls'!I20</f>
        <v>0</v>
      </c>
      <c r="C206" s="513" t="str">
        <f t="shared" si="38"/>
        <v>-</v>
      </c>
      <c r="D206" s="513" t="str">
        <f t="shared" si="38"/>
        <v>-</v>
      </c>
      <c r="E206" s="513" t="str">
        <f t="shared" si="38"/>
        <v>-</v>
      </c>
      <c r="F206" s="513" t="str">
        <f t="shared" si="38"/>
        <v>-</v>
      </c>
      <c r="G206" s="513" t="str">
        <f t="shared" si="38"/>
        <v>-</v>
      </c>
      <c r="H206" s="513" t="str">
        <f t="shared" si="38"/>
        <v>-</v>
      </c>
      <c r="I206" s="336">
        <f t="shared" si="37"/>
        <v>0</v>
      </c>
    </row>
    <row r="207" spans="1:9" hidden="1">
      <c r="A207" s="265"/>
      <c r="B207" s="119">
        <f>'Background Controls'!I21</f>
        <v>0</v>
      </c>
      <c r="C207" s="513" t="str">
        <f t="shared" si="38"/>
        <v>-</v>
      </c>
      <c r="D207" s="513" t="str">
        <f t="shared" si="38"/>
        <v>-</v>
      </c>
      <c r="E207" s="513" t="str">
        <f t="shared" si="38"/>
        <v>-</v>
      </c>
      <c r="F207" s="513" t="str">
        <f t="shared" si="38"/>
        <v>-</v>
      </c>
      <c r="G207" s="513" t="str">
        <f t="shared" si="38"/>
        <v>-</v>
      </c>
      <c r="H207" s="513" t="str">
        <f t="shared" si="38"/>
        <v>-</v>
      </c>
      <c r="I207" s="336">
        <f t="shared" si="37"/>
        <v>0</v>
      </c>
    </row>
    <row r="208" spans="1:9" hidden="1">
      <c r="A208" s="265"/>
      <c r="B208" s="119">
        <f>'Background Controls'!I22</f>
        <v>0</v>
      </c>
      <c r="C208" s="513" t="str">
        <f t="shared" si="38"/>
        <v>-</v>
      </c>
      <c r="D208" s="513" t="str">
        <f t="shared" si="38"/>
        <v>-</v>
      </c>
      <c r="E208" s="513" t="str">
        <f t="shared" si="38"/>
        <v>-</v>
      </c>
      <c r="F208" s="513" t="str">
        <f t="shared" si="38"/>
        <v>-</v>
      </c>
      <c r="G208" s="513" t="str">
        <f t="shared" si="38"/>
        <v>-</v>
      </c>
      <c r="H208" s="513" t="str">
        <f t="shared" si="38"/>
        <v>-</v>
      </c>
      <c r="I208" s="336">
        <f t="shared" si="37"/>
        <v>0</v>
      </c>
    </row>
    <row r="209" spans="1:10" hidden="1">
      <c r="A209" s="265"/>
      <c r="B209" s="119">
        <f>'Background Controls'!I23</f>
        <v>0</v>
      </c>
      <c r="C209" s="513" t="str">
        <f t="shared" si="38"/>
        <v>-</v>
      </c>
      <c r="D209" s="513" t="str">
        <f t="shared" si="38"/>
        <v>-</v>
      </c>
      <c r="E209" s="513" t="str">
        <f t="shared" si="38"/>
        <v>-</v>
      </c>
      <c r="F209" s="513" t="str">
        <f t="shared" si="38"/>
        <v>-</v>
      </c>
      <c r="G209" s="513" t="str">
        <f t="shared" si="38"/>
        <v>-</v>
      </c>
      <c r="H209" s="513" t="str">
        <f t="shared" si="38"/>
        <v>-</v>
      </c>
      <c r="I209" s="336">
        <f t="shared" si="37"/>
        <v>0</v>
      </c>
    </row>
    <row r="210" spans="1:10" hidden="1">
      <c r="A210" s="265"/>
      <c r="B210" s="119">
        <f>'Background Controls'!I24</f>
        <v>0</v>
      </c>
      <c r="C210" s="513" t="str">
        <f t="shared" si="38"/>
        <v>-</v>
      </c>
      <c r="D210" s="513" t="str">
        <f t="shared" si="38"/>
        <v>-</v>
      </c>
      <c r="E210" s="513" t="str">
        <f t="shared" si="38"/>
        <v>-</v>
      </c>
      <c r="F210" s="513" t="str">
        <f t="shared" si="38"/>
        <v>-</v>
      </c>
      <c r="G210" s="513" t="str">
        <f t="shared" si="38"/>
        <v>-</v>
      </c>
      <c r="H210" s="513" t="str">
        <f t="shared" si="38"/>
        <v>-</v>
      </c>
      <c r="I210" s="336">
        <f t="shared" si="37"/>
        <v>0</v>
      </c>
    </row>
    <row r="211" spans="1:10">
      <c r="A211" s="265"/>
      <c r="B211" s="860" t="s">
        <v>253</v>
      </c>
      <c r="C211" s="512">
        <f t="shared" ref="C211:H211" si="39">SUM(C191:C210)</f>
        <v>0</v>
      </c>
      <c r="D211" s="512">
        <f t="shared" si="39"/>
        <v>0</v>
      </c>
      <c r="E211" s="512">
        <f t="shared" si="39"/>
        <v>0</v>
      </c>
      <c r="F211" s="512">
        <f t="shared" si="39"/>
        <v>0</v>
      </c>
      <c r="G211" s="512">
        <f t="shared" si="39"/>
        <v>0</v>
      </c>
      <c r="H211" s="512">
        <f t="shared" si="39"/>
        <v>0</v>
      </c>
      <c r="I211" s="863">
        <f>SUM(I191:I210)</f>
        <v>0</v>
      </c>
    </row>
    <row r="212" spans="1:10">
      <c r="A212" s="265"/>
      <c r="C212" s="51"/>
      <c r="D212" s="51"/>
      <c r="E212" s="51"/>
      <c r="F212" s="51"/>
      <c r="G212" s="51"/>
      <c r="H212" s="51"/>
      <c r="I212" s="51"/>
    </row>
    <row r="213" spans="1:10" ht="16.5">
      <c r="A213" s="268" t="s">
        <v>734</v>
      </c>
    </row>
    <row r="214" spans="1:10" ht="16.5">
      <c r="A214" s="286" t="s">
        <v>735</v>
      </c>
    </row>
    <row r="215" spans="1:10">
      <c r="A215" s="271"/>
      <c r="B215" s="931" t="s">
        <v>152</v>
      </c>
      <c r="C215" s="688" t="str">
        <f>IF('Background Controls'!$B$73=0,"-",'Background Controls'!$B$73)</f>
        <v/>
      </c>
      <c r="D215" s="689" t="str">
        <f>IF('Background Controls'!$B$74=0,"-",'Background Controls'!$B$74)</f>
        <v/>
      </c>
      <c r="E215" s="689" t="str">
        <f>IF('Background Controls'!$B$75=0,"-",'Background Controls'!$B$75)</f>
        <v/>
      </c>
      <c r="F215" s="689" t="str">
        <f>IF('Background Controls'!$B$76=0,"-",'Background Controls'!$B$76)</f>
        <v/>
      </c>
      <c r="G215" s="689" t="str">
        <f>IF('Background Controls'!$B$77=0,"-",'Background Controls'!$B$77)</f>
        <v/>
      </c>
      <c r="H215" s="690" t="str">
        <f>IF('Background Controls'!$B$78=0,"-",'Background Controls'!$B$78)</f>
        <v/>
      </c>
      <c r="I215" s="868" t="s">
        <v>263</v>
      </c>
      <c r="J215" s="56"/>
    </row>
    <row r="216" spans="1:10">
      <c r="A216" s="284" t="s">
        <v>101</v>
      </c>
      <c r="B216" s="119" t="str">
        <f>'Background Controls'!I5</f>
        <v>Residential</v>
      </c>
      <c r="C216" s="688" t="str">
        <f>IFERROR(C141*VLOOKUP(C$165, elec_contract_factors,4, FALSE)*kWh_MWh*lb_mt*N2O_CO2e,"-")</f>
        <v>-</v>
      </c>
      <c r="D216" s="689" t="str">
        <f t="shared" ref="C216:H225" si="40">IFERROR(D141*VLOOKUP(D$165, elec_contract_factors,4, FALSE)*kWh_MWh*lb_mt*N2O_CO2e,"-")</f>
        <v>-</v>
      </c>
      <c r="E216" s="689" t="str">
        <f t="shared" si="40"/>
        <v>-</v>
      </c>
      <c r="F216" s="689" t="str">
        <f t="shared" si="40"/>
        <v>-</v>
      </c>
      <c r="G216" s="689" t="str">
        <f t="shared" si="40"/>
        <v>-</v>
      </c>
      <c r="H216" s="690" t="str">
        <f t="shared" si="40"/>
        <v>-</v>
      </c>
      <c r="I216" s="336">
        <f t="shared" ref="I216:I235" si="41">SUM(C216:H216)</f>
        <v>0</v>
      </c>
    </row>
    <row r="217" spans="1:10">
      <c r="A217" s="265"/>
      <c r="B217" s="119" t="str">
        <f>'Background Controls'!I6</f>
        <v>Commercial/Institutional</v>
      </c>
      <c r="C217" s="513" t="str">
        <f>IFERROR(C142*VLOOKUP(C$165, elec_contract_factors,4, FALSE)*kWh_MWh*lb_mt*N2O_CO2e,"-")</f>
        <v>-</v>
      </c>
      <c r="D217" s="513" t="str">
        <f t="shared" si="40"/>
        <v>-</v>
      </c>
      <c r="E217" s="513" t="str">
        <f t="shared" si="40"/>
        <v>-</v>
      </c>
      <c r="F217" s="513" t="str">
        <f t="shared" si="40"/>
        <v>-</v>
      </c>
      <c r="G217" s="513" t="str">
        <f t="shared" si="40"/>
        <v>-</v>
      </c>
      <c r="H217" s="513" t="str">
        <f t="shared" si="40"/>
        <v>-</v>
      </c>
      <c r="I217" s="336">
        <f t="shared" si="41"/>
        <v>0</v>
      </c>
    </row>
    <row r="218" spans="1:10">
      <c r="A218" s="265"/>
      <c r="B218" s="119" t="str">
        <f>'Background Controls'!I7</f>
        <v>Industrial</v>
      </c>
      <c r="C218" s="513" t="str">
        <f t="shared" si="40"/>
        <v>-</v>
      </c>
      <c r="D218" s="513" t="str">
        <f t="shared" si="40"/>
        <v>-</v>
      </c>
      <c r="E218" s="513" t="str">
        <f t="shared" si="40"/>
        <v>-</v>
      </c>
      <c r="F218" s="513" t="str">
        <f t="shared" si="40"/>
        <v>-</v>
      </c>
      <c r="G218" s="513" t="str">
        <f t="shared" si="40"/>
        <v>-</v>
      </c>
      <c r="H218" s="513" t="str">
        <f t="shared" si="40"/>
        <v>-</v>
      </c>
      <c r="I218" s="336">
        <f t="shared" si="41"/>
        <v>0</v>
      </c>
    </row>
    <row r="219" spans="1:10">
      <c r="A219" s="265"/>
      <c r="B219" s="119" t="str">
        <f>'Background Controls'!I8</f>
        <v>Energy Generation</v>
      </c>
      <c r="C219" s="513" t="str">
        <f t="shared" si="40"/>
        <v>-</v>
      </c>
      <c r="D219" s="513" t="str">
        <f t="shared" si="40"/>
        <v>-</v>
      </c>
      <c r="E219" s="513" t="str">
        <f t="shared" si="40"/>
        <v>-</v>
      </c>
      <c r="F219" s="513" t="str">
        <f t="shared" si="40"/>
        <v>-</v>
      </c>
      <c r="G219" s="513" t="str">
        <f t="shared" si="40"/>
        <v>-</v>
      </c>
      <c r="H219" s="513" t="str">
        <f t="shared" si="40"/>
        <v>-</v>
      </c>
      <c r="I219" s="336">
        <f t="shared" si="41"/>
        <v>0</v>
      </c>
    </row>
    <row r="220" spans="1:10" hidden="1">
      <c r="A220" s="265"/>
      <c r="B220" s="119">
        <f>'Background Controls'!I9</f>
        <v>0</v>
      </c>
      <c r="C220" s="513" t="str">
        <f t="shared" si="40"/>
        <v>-</v>
      </c>
      <c r="D220" s="513" t="str">
        <f t="shared" si="40"/>
        <v>-</v>
      </c>
      <c r="E220" s="513" t="str">
        <f t="shared" si="40"/>
        <v>-</v>
      </c>
      <c r="F220" s="513" t="str">
        <f t="shared" si="40"/>
        <v>-</v>
      </c>
      <c r="G220" s="513" t="str">
        <f t="shared" si="40"/>
        <v>-</v>
      </c>
      <c r="H220" s="513" t="str">
        <f t="shared" si="40"/>
        <v>-</v>
      </c>
      <c r="I220" s="336">
        <f t="shared" si="41"/>
        <v>0</v>
      </c>
    </row>
    <row r="221" spans="1:10" hidden="1">
      <c r="A221" s="265"/>
      <c r="B221" s="119">
        <f>'Background Controls'!I10</f>
        <v>0</v>
      </c>
      <c r="C221" s="513" t="str">
        <f t="shared" si="40"/>
        <v>-</v>
      </c>
      <c r="D221" s="513" t="str">
        <f t="shared" si="40"/>
        <v>-</v>
      </c>
      <c r="E221" s="513" t="str">
        <f t="shared" si="40"/>
        <v>-</v>
      </c>
      <c r="F221" s="513" t="str">
        <f t="shared" si="40"/>
        <v>-</v>
      </c>
      <c r="G221" s="513" t="str">
        <f t="shared" si="40"/>
        <v>-</v>
      </c>
      <c r="H221" s="513" t="str">
        <f t="shared" si="40"/>
        <v>-</v>
      </c>
      <c r="I221" s="336">
        <f t="shared" si="41"/>
        <v>0</v>
      </c>
    </row>
    <row r="222" spans="1:10" hidden="1">
      <c r="A222" s="265"/>
      <c r="B222" s="119">
        <f>'Background Controls'!I11</f>
        <v>0</v>
      </c>
      <c r="C222" s="513" t="str">
        <f t="shared" si="40"/>
        <v>-</v>
      </c>
      <c r="D222" s="513" t="str">
        <f t="shared" si="40"/>
        <v>-</v>
      </c>
      <c r="E222" s="513" t="str">
        <f t="shared" si="40"/>
        <v>-</v>
      </c>
      <c r="F222" s="513" t="str">
        <f t="shared" si="40"/>
        <v>-</v>
      </c>
      <c r="G222" s="513" t="str">
        <f t="shared" si="40"/>
        <v>-</v>
      </c>
      <c r="H222" s="513" t="str">
        <f t="shared" si="40"/>
        <v>-</v>
      </c>
      <c r="I222" s="336">
        <f t="shared" si="41"/>
        <v>0</v>
      </c>
    </row>
    <row r="223" spans="1:10" hidden="1">
      <c r="A223" s="265"/>
      <c r="B223" s="119">
        <f>'Background Controls'!I12</f>
        <v>0</v>
      </c>
      <c r="C223" s="513" t="str">
        <f t="shared" si="40"/>
        <v>-</v>
      </c>
      <c r="D223" s="513" t="str">
        <f t="shared" si="40"/>
        <v>-</v>
      </c>
      <c r="E223" s="513" t="str">
        <f t="shared" si="40"/>
        <v>-</v>
      </c>
      <c r="F223" s="513" t="str">
        <f t="shared" si="40"/>
        <v>-</v>
      </c>
      <c r="G223" s="513" t="str">
        <f t="shared" si="40"/>
        <v>-</v>
      </c>
      <c r="H223" s="513" t="str">
        <f t="shared" si="40"/>
        <v>-</v>
      </c>
      <c r="I223" s="336">
        <f t="shared" si="41"/>
        <v>0</v>
      </c>
    </row>
    <row r="224" spans="1:10" hidden="1">
      <c r="A224" s="265"/>
      <c r="B224" s="119">
        <f>'Background Controls'!I13</f>
        <v>0</v>
      </c>
      <c r="C224" s="513" t="str">
        <f t="shared" si="40"/>
        <v>-</v>
      </c>
      <c r="D224" s="513" t="str">
        <f t="shared" si="40"/>
        <v>-</v>
      </c>
      <c r="E224" s="513" t="str">
        <f t="shared" si="40"/>
        <v>-</v>
      </c>
      <c r="F224" s="513" t="str">
        <f t="shared" si="40"/>
        <v>-</v>
      </c>
      <c r="G224" s="513" t="str">
        <f t="shared" si="40"/>
        <v>-</v>
      </c>
      <c r="H224" s="513" t="str">
        <f t="shared" si="40"/>
        <v>-</v>
      </c>
      <c r="I224" s="336">
        <f t="shared" si="41"/>
        <v>0</v>
      </c>
    </row>
    <row r="225" spans="1:10" hidden="1">
      <c r="A225" s="265"/>
      <c r="B225" s="119">
        <f>'Background Controls'!I14</f>
        <v>0</v>
      </c>
      <c r="C225" s="513" t="str">
        <f>IFERROR(C150*VLOOKUP(C$165, elec_contract_factors,4, FALSE)*kWh_MWh*lb_mt*N2O_CO2e,"-")</f>
        <v>-</v>
      </c>
      <c r="D225" s="513" t="str">
        <f t="shared" si="40"/>
        <v>-</v>
      </c>
      <c r="E225" s="513" t="str">
        <f t="shared" si="40"/>
        <v>-</v>
      </c>
      <c r="F225" s="513" t="str">
        <f t="shared" si="40"/>
        <v>-</v>
      </c>
      <c r="G225" s="513" t="str">
        <f t="shared" si="40"/>
        <v>-</v>
      </c>
      <c r="H225" s="513" t="str">
        <f t="shared" si="40"/>
        <v>-</v>
      </c>
      <c r="I225" s="336">
        <f t="shared" si="41"/>
        <v>0</v>
      </c>
    </row>
    <row r="226" spans="1:10" hidden="1">
      <c r="A226" s="265"/>
      <c r="B226" s="119">
        <f>'Background Controls'!I15</f>
        <v>0</v>
      </c>
      <c r="C226" s="513" t="str">
        <f t="shared" ref="C226:H235" si="42">IFERROR(C151*VLOOKUP(C$165, elec_contract_factors,4, FALSE)*kWh_MWh*lb_mt*N2O_CO2e,"-")</f>
        <v>-</v>
      </c>
      <c r="D226" s="513" t="str">
        <f t="shared" si="42"/>
        <v>-</v>
      </c>
      <c r="E226" s="513" t="str">
        <f t="shared" si="42"/>
        <v>-</v>
      </c>
      <c r="F226" s="513" t="str">
        <f t="shared" si="42"/>
        <v>-</v>
      </c>
      <c r="G226" s="513" t="str">
        <f t="shared" si="42"/>
        <v>-</v>
      </c>
      <c r="H226" s="513" t="str">
        <f t="shared" si="42"/>
        <v>-</v>
      </c>
      <c r="I226" s="336">
        <f t="shared" si="41"/>
        <v>0</v>
      </c>
    </row>
    <row r="227" spans="1:10" hidden="1">
      <c r="A227" s="265"/>
      <c r="B227" s="119">
        <f>'Background Controls'!I16</f>
        <v>0</v>
      </c>
      <c r="C227" s="513" t="str">
        <f t="shared" si="42"/>
        <v>-</v>
      </c>
      <c r="D227" s="513" t="str">
        <f t="shared" si="42"/>
        <v>-</v>
      </c>
      <c r="E227" s="513" t="str">
        <f t="shared" si="42"/>
        <v>-</v>
      </c>
      <c r="F227" s="513" t="str">
        <f t="shared" si="42"/>
        <v>-</v>
      </c>
      <c r="G227" s="513" t="str">
        <f t="shared" si="42"/>
        <v>-</v>
      </c>
      <c r="H227" s="513" t="str">
        <f t="shared" si="42"/>
        <v>-</v>
      </c>
      <c r="I227" s="336">
        <f t="shared" si="41"/>
        <v>0</v>
      </c>
    </row>
    <row r="228" spans="1:10" hidden="1">
      <c r="A228" s="265"/>
      <c r="B228" s="119">
        <f>'Background Controls'!I17</f>
        <v>0</v>
      </c>
      <c r="C228" s="513" t="str">
        <f t="shared" si="42"/>
        <v>-</v>
      </c>
      <c r="D228" s="513" t="str">
        <f t="shared" si="42"/>
        <v>-</v>
      </c>
      <c r="E228" s="513" t="str">
        <f t="shared" si="42"/>
        <v>-</v>
      </c>
      <c r="F228" s="513" t="str">
        <f t="shared" si="42"/>
        <v>-</v>
      </c>
      <c r="G228" s="513" t="str">
        <f t="shared" si="42"/>
        <v>-</v>
      </c>
      <c r="H228" s="513" t="str">
        <f t="shared" si="42"/>
        <v>-</v>
      </c>
      <c r="I228" s="336">
        <f t="shared" si="41"/>
        <v>0</v>
      </c>
    </row>
    <row r="229" spans="1:10" hidden="1">
      <c r="A229" s="265"/>
      <c r="B229" s="119">
        <f>'Background Controls'!I18</f>
        <v>0</v>
      </c>
      <c r="C229" s="513" t="str">
        <f t="shared" si="42"/>
        <v>-</v>
      </c>
      <c r="D229" s="513" t="str">
        <f t="shared" si="42"/>
        <v>-</v>
      </c>
      <c r="E229" s="513" t="str">
        <f t="shared" si="42"/>
        <v>-</v>
      </c>
      <c r="F229" s="513" t="str">
        <f t="shared" si="42"/>
        <v>-</v>
      </c>
      <c r="G229" s="513" t="str">
        <f t="shared" si="42"/>
        <v>-</v>
      </c>
      <c r="H229" s="513" t="str">
        <f t="shared" si="42"/>
        <v>-</v>
      </c>
      <c r="I229" s="336">
        <f t="shared" si="41"/>
        <v>0</v>
      </c>
    </row>
    <row r="230" spans="1:10" hidden="1">
      <c r="A230" s="265"/>
      <c r="B230" s="119">
        <f>'Background Controls'!I19</f>
        <v>0</v>
      </c>
      <c r="C230" s="513" t="str">
        <f t="shared" si="42"/>
        <v>-</v>
      </c>
      <c r="D230" s="513" t="str">
        <f t="shared" si="42"/>
        <v>-</v>
      </c>
      <c r="E230" s="513" t="str">
        <f t="shared" si="42"/>
        <v>-</v>
      </c>
      <c r="F230" s="513" t="str">
        <f t="shared" si="42"/>
        <v>-</v>
      </c>
      <c r="G230" s="513" t="str">
        <f t="shared" si="42"/>
        <v>-</v>
      </c>
      <c r="H230" s="513" t="str">
        <f t="shared" si="42"/>
        <v>-</v>
      </c>
      <c r="I230" s="336">
        <f t="shared" si="41"/>
        <v>0</v>
      </c>
    </row>
    <row r="231" spans="1:10" hidden="1">
      <c r="A231" s="265"/>
      <c r="B231" s="119">
        <f>'Background Controls'!I20</f>
        <v>0</v>
      </c>
      <c r="C231" s="513" t="str">
        <f t="shared" si="42"/>
        <v>-</v>
      </c>
      <c r="D231" s="513" t="str">
        <f t="shared" si="42"/>
        <v>-</v>
      </c>
      <c r="E231" s="513" t="str">
        <f t="shared" si="42"/>
        <v>-</v>
      </c>
      <c r="F231" s="513" t="str">
        <f t="shared" si="42"/>
        <v>-</v>
      </c>
      <c r="G231" s="513" t="str">
        <f t="shared" si="42"/>
        <v>-</v>
      </c>
      <c r="H231" s="513" t="str">
        <f t="shared" si="42"/>
        <v>-</v>
      </c>
      <c r="I231" s="336">
        <f t="shared" si="41"/>
        <v>0</v>
      </c>
    </row>
    <row r="232" spans="1:10" hidden="1">
      <c r="A232" s="265"/>
      <c r="B232" s="119">
        <f>'Background Controls'!I21</f>
        <v>0</v>
      </c>
      <c r="C232" s="513" t="str">
        <f t="shared" si="42"/>
        <v>-</v>
      </c>
      <c r="D232" s="513" t="str">
        <f t="shared" si="42"/>
        <v>-</v>
      </c>
      <c r="E232" s="513" t="str">
        <f t="shared" si="42"/>
        <v>-</v>
      </c>
      <c r="F232" s="513" t="str">
        <f t="shared" si="42"/>
        <v>-</v>
      </c>
      <c r="G232" s="513" t="str">
        <f t="shared" si="42"/>
        <v>-</v>
      </c>
      <c r="H232" s="513" t="str">
        <f t="shared" si="42"/>
        <v>-</v>
      </c>
      <c r="I232" s="336">
        <f t="shared" si="41"/>
        <v>0</v>
      </c>
    </row>
    <row r="233" spans="1:10" hidden="1">
      <c r="A233" s="265"/>
      <c r="B233" s="119">
        <f>'Background Controls'!I22</f>
        <v>0</v>
      </c>
      <c r="C233" s="513" t="str">
        <f t="shared" si="42"/>
        <v>-</v>
      </c>
      <c r="D233" s="513" t="str">
        <f t="shared" si="42"/>
        <v>-</v>
      </c>
      <c r="E233" s="513" t="str">
        <f t="shared" si="42"/>
        <v>-</v>
      </c>
      <c r="F233" s="513" t="str">
        <f t="shared" si="42"/>
        <v>-</v>
      </c>
      <c r="G233" s="513" t="str">
        <f t="shared" si="42"/>
        <v>-</v>
      </c>
      <c r="H233" s="513" t="str">
        <f t="shared" si="42"/>
        <v>-</v>
      </c>
      <c r="I233" s="336">
        <f t="shared" si="41"/>
        <v>0</v>
      </c>
    </row>
    <row r="234" spans="1:10" hidden="1">
      <c r="A234" s="265"/>
      <c r="B234" s="119">
        <f>'Background Controls'!I23</f>
        <v>0</v>
      </c>
      <c r="C234" s="513" t="str">
        <f t="shared" si="42"/>
        <v>-</v>
      </c>
      <c r="D234" s="513" t="str">
        <f t="shared" si="42"/>
        <v>-</v>
      </c>
      <c r="E234" s="513" t="str">
        <f t="shared" si="42"/>
        <v>-</v>
      </c>
      <c r="F234" s="513" t="str">
        <f t="shared" si="42"/>
        <v>-</v>
      </c>
      <c r="G234" s="513" t="str">
        <f t="shared" si="42"/>
        <v>-</v>
      </c>
      <c r="H234" s="513" t="str">
        <f t="shared" si="42"/>
        <v>-</v>
      </c>
      <c r="I234" s="336">
        <f t="shared" si="41"/>
        <v>0</v>
      </c>
    </row>
    <row r="235" spans="1:10" hidden="1">
      <c r="A235" s="265"/>
      <c r="B235" s="119">
        <f>'Background Controls'!I24</f>
        <v>0</v>
      </c>
      <c r="C235" s="513" t="str">
        <f t="shared" si="42"/>
        <v>-</v>
      </c>
      <c r="D235" s="513" t="str">
        <f t="shared" si="42"/>
        <v>-</v>
      </c>
      <c r="E235" s="513" t="str">
        <f t="shared" si="42"/>
        <v>-</v>
      </c>
      <c r="F235" s="513" t="str">
        <f t="shared" si="42"/>
        <v>-</v>
      </c>
      <c r="G235" s="513" t="str">
        <f t="shared" si="42"/>
        <v>-</v>
      </c>
      <c r="H235" s="513" t="str">
        <f t="shared" si="42"/>
        <v>-</v>
      </c>
      <c r="I235" s="336">
        <f t="shared" si="41"/>
        <v>0</v>
      </c>
    </row>
    <row r="236" spans="1:10">
      <c r="A236" s="265"/>
      <c r="B236" s="892" t="s">
        <v>253</v>
      </c>
      <c r="C236" s="512">
        <f t="shared" ref="C236:H236" si="43">SUM(C216:C235)</f>
        <v>0</v>
      </c>
      <c r="D236" s="512">
        <f t="shared" si="43"/>
        <v>0</v>
      </c>
      <c r="E236" s="512">
        <f t="shared" si="43"/>
        <v>0</v>
      </c>
      <c r="F236" s="512">
        <f t="shared" si="43"/>
        <v>0</v>
      </c>
      <c r="G236" s="512">
        <f t="shared" si="43"/>
        <v>0</v>
      </c>
      <c r="H236" s="512">
        <f t="shared" si="43"/>
        <v>0</v>
      </c>
      <c r="I236" s="863">
        <f>SUM(I216:I235)</f>
        <v>0</v>
      </c>
      <c r="J236" s="353"/>
    </row>
    <row r="237" spans="1:10">
      <c r="A237" s="265"/>
      <c r="B237" s="12"/>
      <c r="C237" s="559"/>
      <c r="D237" s="559"/>
      <c r="E237" s="559"/>
      <c r="F237" s="559"/>
      <c r="G237" s="559"/>
      <c r="H237" s="559"/>
      <c r="I237" s="353"/>
      <c r="J237" s="353"/>
    </row>
    <row r="238" spans="1:10" ht="18.5">
      <c r="A238" s="682" t="s">
        <v>736</v>
      </c>
    </row>
    <row r="239" spans="1:10">
      <c r="A239" s="265"/>
    </row>
    <row r="240" spans="1:10">
      <c r="A240" s="268" t="s">
        <v>666</v>
      </c>
    </row>
    <row r="241" spans="1:10">
      <c r="A241" s="286" t="s">
        <v>737</v>
      </c>
    </row>
    <row r="242" spans="1:10" ht="43.5" customHeight="1">
      <c r="A242" s="271"/>
      <c r="B242" s="919" t="s">
        <v>152</v>
      </c>
      <c r="C242" s="693" t="str">
        <f>IF('Background Controls'!$B$62=0,"-",'Background Controls'!$B$62)</f>
        <v>AKGD eGRID subregion</v>
      </c>
      <c r="D242" s="693" t="str">
        <f>IF('Background Controls'!$B$63=0,"-",'Background Controls'!$B$63)</f>
        <v>-</v>
      </c>
      <c r="E242" s="693" t="str">
        <f>IF('Background Controls'!$B$64=0,"-",'Background Controls'!$B$64)</f>
        <v>-</v>
      </c>
      <c r="F242" s="693" t="str">
        <f>IF('Background Controls'!$B$65=0,"-",'Background Controls'!$B$65)</f>
        <v>-</v>
      </c>
      <c r="G242" s="693" t="str">
        <f>IF('Background Controls'!$B$66=0,"-",'Background Controls'!$B$66)</f>
        <v>-</v>
      </c>
      <c r="H242" s="693" t="str">
        <f>IF('Background Controls'!$B$67=0,"-",'Background Controls'!$B$67)</f>
        <v>-</v>
      </c>
      <c r="I242" s="868" t="s">
        <v>263</v>
      </c>
      <c r="J242" s="56"/>
    </row>
    <row r="243" spans="1:10">
      <c r="A243" s="284" t="s">
        <v>101</v>
      </c>
      <c r="B243" s="119" t="str">
        <f>'Background Controls'!I5</f>
        <v>Residential</v>
      </c>
      <c r="C243" s="511">
        <f>IFERROR('Electricity LocationBased-Calcs'!C141-$I141*'Electricity LocationBased-Calcs'!C141/'Electricity LocationBased-Calcs'!$I141,0)</f>
        <v>0</v>
      </c>
      <c r="D243" s="511">
        <f>IFERROR('Electricity LocationBased-Calcs'!D141-$I141*'Electricity LocationBased-Calcs'!D141/'Electricity LocationBased-Calcs'!$I141,0)</f>
        <v>0</v>
      </c>
      <c r="E243" s="511">
        <f>IFERROR('Electricity LocationBased-Calcs'!E141-$I141*'Electricity LocationBased-Calcs'!E141/'Electricity LocationBased-Calcs'!$I141,0)</f>
        <v>0</v>
      </c>
      <c r="F243" s="511">
        <f>IFERROR('Electricity LocationBased-Calcs'!F141-$I141*'Electricity LocationBased-Calcs'!F141/'Electricity LocationBased-Calcs'!$I141,0)</f>
        <v>0</v>
      </c>
      <c r="G243" s="511">
        <f>IFERROR('Electricity LocationBased-Calcs'!G141-$I141*'Electricity LocationBased-Calcs'!G141/'Electricity LocationBased-Calcs'!$I141,0)</f>
        <v>0</v>
      </c>
      <c r="H243" s="511">
        <f>IFERROR('Electricity LocationBased-Calcs'!H141-$I141*'Electricity LocationBased-Calcs'!H141/'Electricity LocationBased-Calcs'!$I141,0)</f>
        <v>0</v>
      </c>
      <c r="I243" s="333">
        <f>SUM(C243:H243)</f>
        <v>0</v>
      </c>
      <c r="J243" s="112"/>
    </row>
    <row r="244" spans="1:10">
      <c r="A244" s="265"/>
      <c r="B244" s="119" t="str">
        <f>'Background Controls'!I6</f>
        <v>Commercial/Institutional</v>
      </c>
      <c r="C244" s="511">
        <f>IFERROR('Electricity LocationBased-Calcs'!C142-$I142*'Electricity LocationBased-Calcs'!C142/'Electricity LocationBased-Calcs'!$I142,0)</f>
        <v>0</v>
      </c>
      <c r="D244" s="511">
        <f>IFERROR('Electricity LocationBased-Calcs'!D142-$I142*'Electricity LocationBased-Calcs'!D142/'Electricity LocationBased-Calcs'!$I142,0)</f>
        <v>0</v>
      </c>
      <c r="E244" s="511">
        <f>IFERROR('Electricity LocationBased-Calcs'!E142-$I142*'Electricity LocationBased-Calcs'!E142/'Electricity LocationBased-Calcs'!$I142,0)</f>
        <v>0</v>
      </c>
      <c r="F244" s="511">
        <f>IFERROR('Electricity LocationBased-Calcs'!F142-$I142*'Electricity LocationBased-Calcs'!F142/'Electricity LocationBased-Calcs'!$I142,0)</f>
        <v>0</v>
      </c>
      <c r="G244" s="511">
        <f>IFERROR('Electricity LocationBased-Calcs'!G142-$I142*'Electricity LocationBased-Calcs'!G142/'Electricity LocationBased-Calcs'!$I142,0)</f>
        <v>0</v>
      </c>
      <c r="H244" s="511">
        <f>IFERROR('Electricity LocationBased-Calcs'!H142-$I142*'Electricity LocationBased-Calcs'!H142/'Electricity LocationBased-Calcs'!$I142,0)</f>
        <v>0</v>
      </c>
      <c r="I244" s="333">
        <f t="shared" ref="I244:I262" si="44">SUM(C244:H244)</f>
        <v>0</v>
      </c>
      <c r="J244" s="112"/>
    </row>
    <row r="245" spans="1:10">
      <c r="A245" s="265"/>
      <c r="B245" s="119" t="str">
        <f>'Background Controls'!I7</f>
        <v>Industrial</v>
      </c>
      <c r="C245" s="511">
        <f>IFERROR('Electricity LocationBased-Calcs'!C143-$I143*'Electricity LocationBased-Calcs'!C143/'Electricity LocationBased-Calcs'!$I143,0)</f>
        <v>0</v>
      </c>
      <c r="D245" s="511">
        <f>IFERROR('Electricity LocationBased-Calcs'!D143-$I143*'Electricity LocationBased-Calcs'!D143/'Electricity LocationBased-Calcs'!$I143,0)</f>
        <v>0</v>
      </c>
      <c r="E245" s="511">
        <f>IFERROR('Electricity LocationBased-Calcs'!E143-$I143*'Electricity LocationBased-Calcs'!E143/'Electricity LocationBased-Calcs'!$I143,0)</f>
        <v>0</v>
      </c>
      <c r="F245" s="511">
        <f>IFERROR('Electricity LocationBased-Calcs'!F143-$I143*'Electricity LocationBased-Calcs'!F143/'Electricity LocationBased-Calcs'!$I143,0)</f>
        <v>0</v>
      </c>
      <c r="G245" s="511">
        <f>IFERROR('Electricity LocationBased-Calcs'!G143-$I143*'Electricity LocationBased-Calcs'!G143/'Electricity LocationBased-Calcs'!$I143,0)</f>
        <v>0</v>
      </c>
      <c r="H245" s="511">
        <f>IFERROR('Electricity LocationBased-Calcs'!H143-$I143*'Electricity LocationBased-Calcs'!H143/'Electricity LocationBased-Calcs'!$I143,0)</f>
        <v>0</v>
      </c>
      <c r="I245" s="333">
        <f t="shared" si="44"/>
        <v>0</v>
      </c>
      <c r="J245" s="112"/>
    </row>
    <row r="246" spans="1:10">
      <c r="A246" s="265"/>
      <c r="B246" s="119" t="str">
        <f>'Background Controls'!I8</f>
        <v>Energy Generation</v>
      </c>
      <c r="C246" s="511">
        <f>IFERROR('Electricity LocationBased-Calcs'!C144-$I144*'Electricity LocationBased-Calcs'!C144/'Electricity LocationBased-Calcs'!$I144,0)</f>
        <v>0</v>
      </c>
      <c r="D246" s="511">
        <f>IFERROR('Electricity LocationBased-Calcs'!D144-$I144*'Electricity LocationBased-Calcs'!D144/'Electricity LocationBased-Calcs'!$I144,0)</f>
        <v>0</v>
      </c>
      <c r="E246" s="511">
        <f>IFERROR('Electricity LocationBased-Calcs'!E144-$I144*'Electricity LocationBased-Calcs'!E144/'Electricity LocationBased-Calcs'!$I144,0)</f>
        <v>0</v>
      </c>
      <c r="F246" s="511">
        <f>IFERROR('Electricity LocationBased-Calcs'!F144-$I144*'Electricity LocationBased-Calcs'!F144/'Electricity LocationBased-Calcs'!$I144,0)</f>
        <v>0</v>
      </c>
      <c r="G246" s="511">
        <f>IFERROR('Electricity LocationBased-Calcs'!G144-$I144*'Electricity LocationBased-Calcs'!G144/'Electricity LocationBased-Calcs'!$I144,0)</f>
        <v>0</v>
      </c>
      <c r="H246" s="511">
        <f>IFERROR('Electricity LocationBased-Calcs'!H144-$I144*'Electricity LocationBased-Calcs'!H144/'Electricity LocationBased-Calcs'!$I144,0)</f>
        <v>0</v>
      </c>
      <c r="I246" s="333">
        <f t="shared" si="44"/>
        <v>0</v>
      </c>
      <c r="J246" s="112"/>
    </row>
    <row r="247" spans="1:10" hidden="1">
      <c r="A247" s="265"/>
      <c r="B247" s="119">
        <f>'Background Controls'!I9</f>
        <v>0</v>
      </c>
      <c r="C247" s="511">
        <f>IFERROR('Electricity LocationBased-Calcs'!C145-$I145*'Electricity LocationBased-Calcs'!C145/'Electricity LocationBased-Calcs'!$I145,0)</f>
        <v>0</v>
      </c>
      <c r="D247" s="511">
        <f>IFERROR('Electricity LocationBased-Calcs'!D145-$I145*'Electricity LocationBased-Calcs'!D145/'Electricity LocationBased-Calcs'!$I145,0)</f>
        <v>0</v>
      </c>
      <c r="E247" s="511">
        <f>IFERROR('Electricity LocationBased-Calcs'!E145-$I145*'Electricity LocationBased-Calcs'!E145/'Electricity LocationBased-Calcs'!$I145,0)</f>
        <v>0</v>
      </c>
      <c r="F247" s="511">
        <f>IFERROR('Electricity LocationBased-Calcs'!F145-$I145*'Electricity LocationBased-Calcs'!F145/'Electricity LocationBased-Calcs'!$I145,0)</f>
        <v>0</v>
      </c>
      <c r="G247" s="511">
        <f>IFERROR('Electricity LocationBased-Calcs'!G145-$I145*'Electricity LocationBased-Calcs'!G145/'Electricity LocationBased-Calcs'!$I145,0)</f>
        <v>0</v>
      </c>
      <c r="H247" s="511">
        <f>IFERROR('Electricity LocationBased-Calcs'!H145-$I145*'Electricity LocationBased-Calcs'!H145/'Electricity LocationBased-Calcs'!$I145,0)</f>
        <v>0</v>
      </c>
      <c r="I247" s="333">
        <f t="shared" si="44"/>
        <v>0</v>
      </c>
      <c r="J247" s="112"/>
    </row>
    <row r="248" spans="1:10" hidden="1">
      <c r="A248" s="265"/>
      <c r="B248" s="119">
        <f>'Background Controls'!I10</f>
        <v>0</v>
      </c>
      <c r="C248" s="511">
        <f>IFERROR('Electricity LocationBased-Calcs'!C146-$I146*'Electricity LocationBased-Calcs'!C146/'Electricity LocationBased-Calcs'!$I146,0)</f>
        <v>0</v>
      </c>
      <c r="D248" s="511">
        <f>IFERROR('Electricity LocationBased-Calcs'!D146-$I146*'Electricity LocationBased-Calcs'!D146/'Electricity LocationBased-Calcs'!$I146,0)</f>
        <v>0</v>
      </c>
      <c r="E248" s="511">
        <f>IFERROR('Electricity LocationBased-Calcs'!E146-$I146*'Electricity LocationBased-Calcs'!E146/'Electricity LocationBased-Calcs'!$I146,0)</f>
        <v>0</v>
      </c>
      <c r="F248" s="511">
        <f>IFERROR('Electricity LocationBased-Calcs'!F146-$I146*'Electricity LocationBased-Calcs'!F146/'Electricity LocationBased-Calcs'!$I146,0)</f>
        <v>0</v>
      </c>
      <c r="G248" s="511">
        <f>IFERROR('Electricity LocationBased-Calcs'!G146-$I146*'Electricity LocationBased-Calcs'!G146/'Electricity LocationBased-Calcs'!$I146,0)</f>
        <v>0</v>
      </c>
      <c r="H248" s="511">
        <f>IFERROR('Electricity LocationBased-Calcs'!H146-$I146*'Electricity LocationBased-Calcs'!H146/'Electricity LocationBased-Calcs'!$I146,0)</f>
        <v>0</v>
      </c>
      <c r="I248" s="333">
        <f t="shared" si="44"/>
        <v>0</v>
      </c>
      <c r="J248" s="112"/>
    </row>
    <row r="249" spans="1:10" hidden="1">
      <c r="A249" s="265"/>
      <c r="B249" s="119">
        <f>'Background Controls'!I11</f>
        <v>0</v>
      </c>
      <c r="C249" s="511">
        <f>IFERROR('Electricity LocationBased-Calcs'!C147-$I147*'Electricity LocationBased-Calcs'!C147/'Electricity LocationBased-Calcs'!$I147,0)</f>
        <v>0</v>
      </c>
      <c r="D249" s="511">
        <f>IFERROR('Electricity LocationBased-Calcs'!D147-$I147*'Electricity LocationBased-Calcs'!D147/'Electricity LocationBased-Calcs'!$I147,0)</f>
        <v>0</v>
      </c>
      <c r="E249" s="511">
        <f>IFERROR('Electricity LocationBased-Calcs'!E147-$I147*'Electricity LocationBased-Calcs'!E147/'Electricity LocationBased-Calcs'!$I147,0)</f>
        <v>0</v>
      </c>
      <c r="F249" s="511">
        <f>IFERROR('Electricity LocationBased-Calcs'!F147-$I147*'Electricity LocationBased-Calcs'!F147/'Electricity LocationBased-Calcs'!$I147,0)</f>
        <v>0</v>
      </c>
      <c r="G249" s="511">
        <f>IFERROR('Electricity LocationBased-Calcs'!G147-$I147*'Electricity LocationBased-Calcs'!G147/'Electricity LocationBased-Calcs'!$I147,0)</f>
        <v>0</v>
      </c>
      <c r="H249" s="511">
        <f>IFERROR('Electricity LocationBased-Calcs'!H147-$I147*'Electricity LocationBased-Calcs'!H147/'Electricity LocationBased-Calcs'!$I147,0)</f>
        <v>0</v>
      </c>
      <c r="I249" s="333">
        <f t="shared" si="44"/>
        <v>0</v>
      </c>
      <c r="J249" s="112"/>
    </row>
    <row r="250" spans="1:10" hidden="1">
      <c r="A250" s="265"/>
      <c r="B250" s="119">
        <f>'Background Controls'!I12</f>
        <v>0</v>
      </c>
      <c r="C250" s="511">
        <f>IFERROR('Electricity LocationBased-Calcs'!C148-$I148*'Electricity LocationBased-Calcs'!C148/'Electricity LocationBased-Calcs'!$I148,0)</f>
        <v>0</v>
      </c>
      <c r="D250" s="511">
        <f>IFERROR('Electricity LocationBased-Calcs'!D148-$I148*'Electricity LocationBased-Calcs'!D148/'Electricity LocationBased-Calcs'!$I148,0)</f>
        <v>0</v>
      </c>
      <c r="E250" s="511">
        <f>IFERROR('Electricity LocationBased-Calcs'!E148-$I148*'Electricity LocationBased-Calcs'!E148/'Electricity LocationBased-Calcs'!$I148,0)</f>
        <v>0</v>
      </c>
      <c r="F250" s="511">
        <f>IFERROR('Electricity LocationBased-Calcs'!F148-$I148*'Electricity LocationBased-Calcs'!F148/'Electricity LocationBased-Calcs'!$I148,0)</f>
        <v>0</v>
      </c>
      <c r="G250" s="511">
        <f>IFERROR('Electricity LocationBased-Calcs'!G148-$I148*'Electricity LocationBased-Calcs'!G148/'Electricity LocationBased-Calcs'!$I148,0)</f>
        <v>0</v>
      </c>
      <c r="H250" s="511">
        <f>IFERROR('Electricity LocationBased-Calcs'!H148-$I148*'Electricity LocationBased-Calcs'!H148/'Electricity LocationBased-Calcs'!$I148,0)</f>
        <v>0</v>
      </c>
      <c r="I250" s="333">
        <f t="shared" si="44"/>
        <v>0</v>
      </c>
      <c r="J250" s="112"/>
    </row>
    <row r="251" spans="1:10" hidden="1">
      <c r="A251" s="265"/>
      <c r="B251" s="119">
        <f>'Background Controls'!I13</f>
        <v>0</v>
      </c>
      <c r="C251" s="511">
        <f>IFERROR('Electricity LocationBased-Calcs'!C149-$I149*'Electricity LocationBased-Calcs'!C149/'Electricity LocationBased-Calcs'!$I149,0)</f>
        <v>0</v>
      </c>
      <c r="D251" s="511">
        <f>IFERROR('Electricity LocationBased-Calcs'!D149-$I149*'Electricity LocationBased-Calcs'!D149/'Electricity LocationBased-Calcs'!$I149,0)</f>
        <v>0</v>
      </c>
      <c r="E251" s="511">
        <f>IFERROR('Electricity LocationBased-Calcs'!E149-$I149*'Electricity LocationBased-Calcs'!E149/'Electricity LocationBased-Calcs'!$I149,0)</f>
        <v>0</v>
      </c>
      <c r="F251" s="511">
        <f>IFERROR('Electricity LocationBased-Calcs'!F149-$I149*'Electricity LocationBased-Calcs'!F149/'Electricity LocationBased-Calcs'!$I149,0)</f>
        <v>0</v>
      </c>
      <c r="G251" s="511">
        <f>IFERROR('Electricity LocationBased-Calcs'!G149-$I149*'Electricity LocationBased-Calcs'!G149/'Electricity LocationBased-Calcs'!$I149,0)</f>
        <v>0</v>
      </c>
      <c r="H251" s="511">
        <f>IFERROR('Electricity LocationBased-Calcs'!H149-$I149*'Electricity LocationBased-Calcs'!H149/'Electricity LocationBased-Calcs'!$I149,0)</f>
        <v>0</v>
      </c>
      <c r="I251" s="333">
        <f t="shared" si="44"/>
        <v>0</v>
      </c>
      <c r="J251" s="112"/>
    </row>
    <row r="252" spans="1:10" hidden="1">
      <c r="A252" s="265"/>
      <c r="B252" s="119">
        <f>'Background Controls'!I14</f>
        <v>0</v>
      </c>
      <c r="C252" s="511">
        <f>IFERROR('Electricity LocationBased-Calcs'!C150-$I150*'Electricity LocationBased-Calcs'!C150/'Electricity LocationBased-Calcs'!$I150,0)</f>
        <v>0</v>
      </c>
      <c r="D252" s="511">
        <f>IFERROR('Electricity LocationBased-Calcs'!D150-$I150*'Electricity LocationBased-Calcs'!D150/'Electricity LocationBased-Calcs'!$I150,0)</f>
        <v>0</v>
      </c>
      <c r="E252" s="511">
        <f>IFERROR('Electricity LocationBased-Calcs'!E150-$I150*'Electricity LocationBased-Calcs'!E150/'Electricity LocationBased-Calcs'!$I150,0)</f>
        <v>0</v>
      </c>
      <c r="F252" s="511">
        <f>IFERROR('Electricity LocationBased-Calcs'!F150-$I150*'Electricity LocationBased-Calcs'!F150/'Electricity LocationBased-Calcs'!$I150,0)</f>
        <v>0</v>
      </c>
      <c r="G252" s="511">
        <f>IFERROR('Electricity LocationBased-Calcs'!G150-$I150*'Electricity LocationBased-Calcs'!G150/'Electricity LocationBased-Calcs'!$I150,0)</f>
        <v>0</v>
      </c>
      <c r="H252" s="511">
        <f>IFERROR('Electricity LocationBased-Calcs'!H150-$I150*'Electricity LocationBased-Calcs'!H150/'Electricity LocationBased-Calcs'!$I150,0)</f>
        <v>0</v>
      </c>
      <c r="I252" s="333">
        <f t="shared" si="44"/>
        <v>0</v>
      </c>
      <c r="J252" s="112"/>
    </row>
    <row r="253" spans="1:10" hidden="1">
      <c r="A253" s="265"/>
      <c r="B253" s="119">
        <f>'Background Controls'!I15</f>
        <v>0</v>
      </c>
      <c r="C253" s="511">
        <f>IFERROR('Electricity LocationBased-Calcs'!C151-$I151*'Electricity LocationBased-Calcs'!C151/'Electricity LocationBased-Calcs'!$I151,0)</f>
        <v>0</v>
      </c>
      <c r="D253" s="511">
        <f>IFERROR('Electricity LocationBased-Calcs'!D151-$I151*'Electricity LocationBased-Calcs'!D151/'Electricity LocationBased-Calcs'!$I151,0)</f>
        <v>0</v>
      </c>
      <c r="E253" s="511">
        <f>IFERROR('Electricity LocationBased-Calcs'!E151-$I151*'Electricity LocationBased-Calcs'!E151/'Electricity LocationBased-Calcs'!$I151,0)</f>
        <v>0</v>
      </c>
      <c r="F253" s="511">
        <f>IFERROR('Electricity LocationBased-Calcs'!F151-$I151*'Electricity LocationBased-Calcs'!F151/'Electricity LocationBased-Calcs'!$I151,0)</f>
        <v>0</v>
      </c>
      <c r="G253" s="511">
        <f>IFERROR('Electricity LocationBased-Calcs'!G151-$I151*'Electricity LocationBased-Calcs'!G151/'Electricity LocationBased-Calcs'!$I151,0)</f>
        <v>0</v>
      </c>
      <c r="H253" s="511">
        <f>IFERROR('Electricity LocationBased-Calcs'!H151-$I151*'Electricity LocationBased-Calcs'!H151/'Electricity LocationBased-Calcs'!$I151,0)</f>
        <v>0</v>
      </c>
      <c r="I253" s="333">
        <f t="shared" si="44"/>
        <v>0</v>
      </c>
      <c r="J253" s="112"/>
    </row>
    <row r="254" spans="1:10" hidden="1">
      <c r="A254" s="265"/>
      <c r="B254" s="119">
        <f>'Background Controls'!I16</f>
        <v>0</v>
      </c>
      <c r="C254" s="511">
        <f>IFERROR('Electricity LocationBased-Calcs'!C152-$I152*'Electricity LocationBased-Calcs'!C152/'Electricity LocationBased-Calcs'!$I152,0)</f>
        <v>0</v>
      </c>
      <c r="D254" s="511">
        <f>IFERROR('Electricity LocationBased-Calcs'!D152-$I152*'Electricity LocationBased-Calcs'!D152/'Electricity LocationBased-Calcs'!$I152,0)</f>
        <v>0</v>
      </c>
      <c r="E254" s="511">
        <f>IFERROR('Electricity LocationBased-Calcs'!E152-$I152*'Electricity LocationBased-Calcs'!E152/'Electricity LocationBased-Calcs'!$I152,0)</f>
        <v>0</v>
      </c>
      <c r="F254" s="511">
        <f>IFERROR('Electricity LocationBased-Calcs'!F152-$I152*'Electricity LocationBased-Calcs'!F152/'Electricity LocationBased-Calcs'!$I152,0)</f>
        <v>0</v>
      </c>
      <c r="G254" s="511">
        <f>IFERROR('Electricity LocationBased-Calcs'!G152-$I152*'Electricity LocationBased-Calcs'!G152/'Electricity LocationBased-Calcs'!$I152,0)</f>
        <v>0</v>
      </c>
      <c r="H254" s="511">
        <f>IFERROR('Electricity LocationBased-Calcs'!H152-$I152*'Electricity LocationBased-Calcs'!H152/'Electricity LocationBased-Calcs'!$I152,0)</f>
        <v>0</v>
      </c>
      <c r="I254" s="333">
        <f t="shared" si="44"/>
        <v>0</v>
      </c>
      <c r="J254" s="112"/>
    </row>
    <row r="255" spans="1:10" hidden="1">
      <c r="A255" s="265"/>
      <c r="B255" s="119">
        <f>'Background Controls'!I17</f>
        <v>0</v>
      </c>
      <c r="C255" s="511">
        <f>IFERROR('Electricity LocationBased-Calcs'!C153-$I153*'Electricity LocationBased-Calcs'!C153/'Electricity LocationBased-Calcs'!$I153,0)</f>
        <v>0</v>
      </c>
      <c r="D255" s="511">
        <f>IFERROR('Electricity LocationBased-Calcs'!D153-$I153*'Electricity LocationBased-Calcs'!D153/'Electricity LocationBased-Calcs'!$I153,0)</f>
        <v>0</v>
      </c>
      <c r="E255" s="511">
        <f>IFERROR('Electricity LocationBased-Calcs'!E153-$I153*'Electricity LocationBased-Calcs'!E153/'Electricity LocationBased-Calcs'!$I153,0)</f>
        <v>0</v>
      </c>
      <c r="F255" s="511">
        <f>IFERROR('Electricity LocationBased-Calcs'!F153-$I153*'Electricity LocationBased-Calcs'!F153/'Electricity LocationBased-Calcs'!$I153,0)</f>
        <v>0</v>
      </c>
      <c r="G255" s="511">
        <f>IFERROR('Electricity LocationBased-Calcs'!G153-$I153*'Electricity LocationBased-Calcs'!G153/'Electricity LocationBased-Calcs'!$I153,0)</f>
        <v>0</v>
      </c>
      <c r="H255" s="511">
        <f>IFERROR('Electricity LocationBased-Calcs'!H153-$I153*'Electricity LocationBased-Calcs'!H153/'Electricity LocationBased-Calcs'!$I153,0)</f>
        <v>0</v>
      </c>
      <c r="I255" s="333">
        <f t="shared" si="44"/>
        <v>0</v>
      </c>
      <c r="J255" s="112"/>
    </row>
    <row r="256" spans="1:10" hidden="1">
      <c r="A256" s="265"/>
      <c r="B256" s="119">
        <f>'Background Controls'!I18</f>
        <v>0</v>
      </c>
      <c r="C256" s="511">
        <f>IFERROR('Electricity LocationBased-Calcs'!C154-$I154*'Electricity LocationBased-Calcs'!C154/'Electricity LocationBased-Calcs'!$I154,0)</f>
        <v>0</v>
      </c>
      <c r="D256" s="511">
        <f>IFERROR('Electricity LocationBased-Calcs'!D154-$I154*'Electricity LocationBased-Calcs'!D154/'Electricity LocationBased-Calcs'!$I154,0)</f>
        <v>0</v>
      </c>
      <c r="E256" s="511">
        <f>IFERROR('Electricity LocationBased-Calcs'!E154-$I154*'Electricity LocationBased-Calcs'!E154/'Electricity LocationBased-Calcs'!$I154,0)</f>
        <v>0</v>
      </c>
      <c r="F256" s="511">
        <f>IFERROR('Electricity LocationBased-Calcs'!F154-$I154*'Electricity LocationBased-Calcs'!F154/'Electricity LocationBased-Calcs'!$I154,0)</f>
        <v>0</v>
      </c>
      <c r="G256" s="511">
        <f>IFERROR('Electricity LocationBased-Calcs'!G154-$I154*'Electricity LocationBased-Calcs'!G154/'Electricity LocationBased-Calcs'!$I154,0)</f>
        <v>0</v>
      </c>
      <c r="H256" s="511">
        <f>IFERROR('Electricity LocationBased-Calcs'!H154-$I154*'Electricity LocationBased-Calcs'!H154/'Electricity LocationBased-Calcs'!$I154,0)</f>
        <v>0</v>
      </c>
      <c r="I256" s="333">
        <f t="shared" si="44"/>
        <v>0</v>
      </c>
      <c r="J256" s="112"/>
    </row>
    <row r="257" spans="1:11" hidden="1">
      <c r="A257" s="265"/>
      <c r="B257" s="119">
        <f>'Background Controls'!I19</f>
        <v>0</v>
      </c>
      <c r="C257" s="511">
        <f>IFERROR('Electricity LocationBased-Calcs'!C155-$I155*'Electricity LocationBased-Calcs'!C155/'Electricity LocationBased-Calcs'!$I155,0)</f>
        <v>0</v>
      </c>
      <c r="D257" s="511">
        <f>IFERROR('Electricity LocationBased-Calcs'!D155-$I155*'Electricity LocationBased-Calcs'!D155/'Electricity LocationBased-Calcs'!$I155,0)</f>
        <v>0</v>
      </c>
      <c r="E257" s="511">
        <f>IFERROR('Electricity LocationBased-Calcs'!E155-$I155*'Electricity LocationBased-Calcs'!E155/'Electricity LocationBased-Calcs'!$I155,0)</f>
        <v>0</v>
      </c>
      <c r="F257" s="511">
        <f>IFERROR('Electricity LocationBased-Calcs'!F155-$I155*'Electricity LocationBased-Calcs'!F155/'Electricity LocationBased-Calcs'!$I155,0)</f>
        <v>0</v>
      </c>
      <c r="G257" s="511">
        <f>IFERROR('Electricity LocationBased-Calcs'!G155-$I155*'Electricity LocationBased-Calcs'!G155/'Electricity LocationBased-Calcs'!$I155,0)</f>
        <v>0</v>
      </c>
      <c r="H257" s="511">
        <f>IFERROR('Electricity LocationBased-Calcs'!H155-$I155*'Electricity LocationBased-Calcs'!H155/'Electricity LocationBased-Calcs'!$I155,0)</f>
        <v>0</v>
      </c>
      <c r="I257" s="333">
        <f t="shared" si="44"/>
        <v>0</v>
      </c>
      <c r="J257" s="112"/>
    </row>
    <row r="258" spans="1:11" hidden="1">
      <c r="A258" s="265"/>
      <c r="B258" s="119">
        <f>'Background Controls'!I20</f>
        <v>0</v>
      </c>
      <c r="C258" s="511">
        <f>IFERROR('Electricity LocationBased-Calcs'!C156-$I156*'Electricity LocationBased-Calcs'!C156/'Electricity LocationBased-Calcs'!$I156,0)</f>
        <v>0</v>
      </c>
      <c r="D258" s="511">
        <f>IFERROR('Electricity LocationBased-Calcs'!D156-$I156*'Electricity LocationBased-Calcs'!D156/'Electricity LocationBased-Calcs'!$I156,0)</f>
        <v>0</v>
      </c>
      <c r="E258" s="511">
        <f>IFERROR('Electricity LocationBased-Calcs'!E156-$I156*'Electricity LocationBased-Calcs'!E156/'Electricity LocationBased-Calcs'!$I156,0)</f>
        <v>0</v>
      </c>
      <c r="F258" s="511">
        <f>IFERROR('Electricity LocationBased-Calcs'!F156-$I156*'Electricity LocationBased-Calcs'!F156/'Electricity LocationBased-Calcs'!$I156,0)</f>
        <v>0</v>
      </c>
      <c r="G258" s="511">
        <f>IFERROR('Electricity LocationBased-Calcs'!G156-$I156*'Electricity LocationBased-Calcs'!G156/'Electricity LocationBased-Calcs'!$I156,0)</f>
        <v>0</v>
      </c>
      <c r="H258" s="511">
        <f>IFERROR('Electricity LocationBased-Calcs'!H156-$I156*'Electricity LocationBased-Calcs'!H156/'Electricity LocationBased-Calcs'!$I156,0)</f>
        <v>0</v>
      </c>
      <c r="I258" s="333">
        <f t="shared" si="44"/>
        <v>0</v>
      </c>
      <c r="J258" s="112"/>
    </row>
    <row r="259" spans="1:11" hidden="1">
      <c r="A259" s="265"/>
      <c r="B259" s="119">
        <f>'Background Controls'!I21</f>
        <v>0</v>
      </c>
      <c r="C259" s="511">
        <f>IFERROR('Electricity LocationBased-Calcs'!C157-$I157*'Electricity LocationBased-Calcs'!C157/'Electricity LocationBased-Calcs'!$I157,0)</f>
        <v>0</v>
      </c>
      <c r="D259" s="511">
        <f>IFERROR('Electricity LocationBased-Calcs'!D157-$I157*'Electricity LocationBased-Calcs'!D157/'Electricity LocationBased-Calcs'!$I157,0)</f>
        <v>0</v>
      </c>
      <c r="E259" s="511">
        <f>IFERROR('Electricity LocationBased-Calcs'!E157-$I157*'Electricity LocationBased-Calcs'!E157/'Electricity LocationBased-Calcs'!$I157,0)</f>
        <v>0</v>
      </c>
      <c r="F259" s="511">
        <f>IFERROR('Electricity LocationBased-Calcs'!F157-$I157*'Electricity LocationBased-Calcs'!F157/'Electricity LocationBased-Calcs'!$I157,0)</f>
        <v>0</v>
      </c>
      <c r="G259" s="511">
        <f>IFERROR('Electricity LocationBased-Calcs'!G157-$I157*'Electricity LocationBased-Calcs'!G157/'Electricity LocationBased-Calcs'!$I157,0)</f>
        <v>0</v>
      </c>
      <c r="H259" s="511">
        <f>IFERROR('Electricity LocationBased-Calcs'!H157-$I157*'Electricity LocationBased-Calcs'!H157/'Electricity LocationBased-Calcs'!$I157,0)</f>
        <v>0</v>
      </c>
      <c r="I259" s="333">
        <f t="shared" si="44"/>
        <v>0</v>
      </c>
      <c r="J259" s="112"/>
    </row>
    <row r="260" spans="1:11" hidden="1">
      <c r="A260" s="265"/>
      <c r="B260" s="119">
        <f>'Background Controls'!I22</f>
        <v>0</v>
      </c>
      <c r="C260" s="511">
        <f>IFERROR('Electricity LocationBased-Calcs'!C158-$I158*'Electricity LocationBased-Calcs'!C158/'Electricity LocationBased-Calcs'!$I158,0)</f>
        <v>0</v>
      </c>
      <c r="D260" s="511">
        <f>IFERROR('Electricity LocationBased-Calcs'!D158-$I158*'Electricity LocationBased-Calcs'!D158/'Electricity LocationBased-Calcs'!$I158,0)</f>
        <v>0</v>
      </c>
      <c r="E260" s="511">
        <f>IFERROR('Electricity LocationBased-Calcs'!E158-$I158*'Electricity LocationBased-Calcs'!E158/'Electricity LocationBased-Calcs'!$I158,0)</f>
        <v>0</v>
      </c>
      <c r="F260" s="511">
        <f>IFERROR('Electricity LocationBased-Calcs'!F158-$I158*'Electricity LocationBased-Calcs'!F158/'Electricity LocationBased-Calcs'!$I158,0)</f>
        <v>0</v>
      </c>
      <c r="G260" s="511">
        <f>IFERROR('Electricity LocationBased-Calcs'!G158-$I158*'Electricity LocationBased-Calcs'!G158/'Electricity LocationBased-Calcs'!$I158,0)</f>
        <v>0</v>
      </c>
      <c r="H260" s="511">
        <f>IFERROR('Electricity LocationBased-Calcs'!H158-$I158*'Electricity LocationBased-Calcs'!H158/'Electricity LocationBased-Calcs'!$I158,0)</f>
        <v>0</v>
      </c>
      <c r="I260" s="333">
        <f t="shared" si="44"/>
        <v>0</v>
      </c>
      <c r="J260" s="112"/>
    </row>
    <row r="261" spans="1:11" hidden="1">
      <c r="A261" s="265"/>
      <c r="B261" s="119">
        <f>'Background Controls'!I23</f>
        <v>0</v>
      </c>
      <c r="C261" s="511">
        <f>IFERROR('Electricity LocationBased-Calcs'!C159-$I159*'Electricity LocationBased-Calcs'!C159/'Electricity LocationBased-Calcs'!$I159,0)</f>
        <v>0</v>
      </c>
      <c r="D261" s="511">
        <f>IFERROR('Electricity LocationBased-Calcs'!D159-$I159*'Electricity LocationBased-Calcs'!D159/'Electricity LocationBased-Calcs'!$I159,0)</f>
        <v>0</v>
      </c>
      <c r="E261" s="511">
        <f>IFERROR('Electricity LocationBased-Calcs'!E159-$I159*'Electricity LocationBased-Calcs'!E159/'Electricity LocationBased-Calcs'!$I159,0)</f>
        <v>0</v>
      </c>
      <c r="F261" s="511">
        <f>IFERROR('Electricity LocationBased-Calcs'!F159-$I159*'Electricity LocationBased-Calcs'!F159/'Electricity LocationBased-Calcs'!$I159,0)</f>
        <v>0</v>
      </c>
      <c r="G261" s="511">
        <f>IFERROR('Electricity LocationBased-Calcs'!G159-$I159*'Electricity LocationBased-Calcs'!G159/'Electricity LocationBased-Calcs'!$I159,0)</f>
        <v>0</v>
      </c>
      <c r="H261" s="511">
        <f>IFERROR('Electricity LocationBased-Calcs'!H159-$I159*'Electricity LocationBased-Calcs'!H159/'Electricity LocationBased-Calcs'!$I159,0)</f>
        <v>0</v>
      </c>
      <c r="I261" s="333">
        <f t="shared" si="44"/>
        <v>0</v>
      </c>
      <c r="J261" s="112"/>
    </row>
    <row r="262" spans="1:11" hidden="1">
      <c r="A262" s="265"/>
      <c r="B262" s="119">
        <f>'Background Controls'!I24</f>
        <v>0</v>
      </c>
      <c r="C262" s="511">
        <f>IFERROR('Electricity LocationBased-Calcs'!C160-$I160*'Electricity LocationBased-Calcs'!C160/'Electricity LocationBased-Calcs'!$I160,0)</f>
        <v>0</v>
      </c>
      <c r="D262" s="511">
        <f>IFERROR('Electricity LocationBased-Calcs'!D160-$I160*'Electricity LocationBased-Calcs'!D160/'Electricity LocationBased-Calcs'!$I160,0)</f>
        <v>0</v>
      </c>
      <c r="E262" s="511">
        <f>IFERROR('Electricity LocationBased-Calcs'!E160-$I160*'Electricity LocationBased-Calcs'!E160/'Electricity LocationBased-Calcs'!$I160,0)</f>
        <v>0</v>
      </c>
      <c r="F262" s="511">
        <f>IFERROR('Electricity LocationBased-Calcs'!F160-$I160*'Electricity LocationBased-Calcs'!F160/'Electricity LocationBased-Calcs'!$I160,0)</f>
        <v>0</v>
      </c>
      <c r="G262" s="511">
        <f>IFERROR('Electricity LocationBased-Calcs'!G160-$I160*'Electricity LocationBased-Calcs'!G160/'Electricity LocationBased-Calcs'!$I160,0)</f>
        <v>0</v>
      </c>
      <c r="H262" s="511">
        <f>IFERROR('Electricity LocationBased-Calcs'!H160-$I160*'Electricity LocationBased-Calcs'!H160/'Electricity LocationBased-Calcs'!$I160,0)</f>
        <v>0</v>
      </c>
      <c r="I262" s="333">
        <f t="shared" si="44"/>
        <v>0</v>
      </c>
      <c r="J262" s="112"/>
    </row>
    <row r="263" spans="1:11">
      <c r="A263" s="265"/>
      <c r="B263" s="892" t="s">
        <v>253</v>
      </c>
      <c r="C263" s="694">
        <f t="shared" ref="C263:I263" si="45">SUM(C243:C262)</f>
        <v>0</v>
      </c>
      <c r="D263" s="695">
        <f t="shared" si="45"/>
        <v>0</v>
      </c>
      <c r="E263" s="695">
        <f t="shared" si="45"/>
        <v>0</v>
      </c>
      <c r="F263" s="695">
        <f t="shared" si="45"/>
        <v>0</v>
      </c>
      <c r="G263" s="695">
        <f t="shared" si="45"/>
        <v>0</v>
      </c>
      <c r="H263" s="695">
        <f t="shared" si="45"/>
        <v>0</v>
      </c>
      <c r="I263" s="862">
        <f t="shared" si="45"/>
        <v>0</v>
      </c>
    </row>
    <row r="264" spans="1:11">
      <c r="A264" s="265"/>
    </row>
    <row r="265" spans="1:11" ht="16.5">
      <c r="A265" s="268" t="s">
        <v>668</v>
      </c>
    </row>
    <row r="266" spans="1:11" ht="16.5">
      <c r="A266" s="286" t="s">
        <v>738</v>
      </c>
    </row>
    <row r="267" spans="1:11">
      <c r="A267" s="271"/>
      <c r="B267" s="919" t="s">
        <v>152</v>
      </c>
      <c r="C267" s="750" t="str">
        <f>IF('Background Controls'!$B$62=0,"-",'Background Controls'!$B$62)</f>
        <v>AKGD eGRID subregion</v>
      </c>
      <c r="D267" s="751" t="str">
        <f>IF('Background Controls'!$B$63=0,"-",'Background Controls'!$B$63)</f>
        <v>-</v>
      </c>
      <c r="E267" s="751" t="str">
        <f>IF('Background Controls'!$B$64=0,"-",'Background Controls'!$B$64)</f>
        <v>-</v>
      </c>
      <c r="F267" s="751" t="str">
        <f>IF('Background Controls'!$B$65=0,"-",'Background Controls'!$B$65)</f>
        <v>-</v>
      </c>
      <c r="G267" s="751" t="str">
        <f>IF('Background Controls'!$B$66=0,"-",'Background Controls'!$B$66)</f>
        <v>-</v>
      </c>
      <c r="H267" s="752" t="str">
        <f>IF('Background Controls'!$B$67=0,"-",'Background Controls'!$B$67)</f>
        <v>-</v>
      </c>
      <c r="I267" s="868" t="s">
        <v>263</v>
      </c>
      <c r="J267" s="56"/>
    </row>
    <row r="268" spans="1:11">
      <c r="A268" s="284" t="s">
        <v>101</v>
      </c>
      <c r="B268" s="119" t="str">
        <f>'Background Controls'!I5</f>
        <v>Residential</v>
      </c>
      <c r="C268" s="748" t="str">
        <f>IFERROR(C243*VLOOKUP(C$267, elec_control_factors, 2, FALSE)*kWh_MWh*lb_mt*CO2_CO2e,"-")</f>
        <v>-</v>
      </c>
      <c r="D268" s="748" t="str">
        <f>IFERROR(D243*VLOOKUP(D$267, elec_control_factors, 2, FALSE)*kWh_MWh*lb_mt*CO2_CO2e,"-")</f>
        <v>-</v>
      </c>
      <c r="E268" s="748" t="str">
        <f t="shared" ref="C268:H277" si="46">IFERROR(E243*VLOOKUP(E$267, elec_control_factors, 2, FALSE)*kWh_MWh*lb_mt*CO2_CO2e,"-")</f>
        <v>-</v>
      </c>
      <c r="F268" s="748" t="str">
        <f t="shared" si="46"/>
        <v>-</v>
      </c>
      <c r="G268" s="748" t="str">
        <f t="shared" si="46"/>
        <v>-</v>
      </c>
      <c r="H268" s="748" t="str">
        <f t="shared" si="46"/>
        <v>-</v>
      </c>
      <c r="I268" s="696">
        <f>SUM(C268:H268)</f>
        <v>0</v>
      </c>
      <c r="K268" s="353"/>
    </row>
    <row r="269" spans="1:11">
      <c r="A269" s="265"/>
      <c r="B269" s="119" t="str">
        <f>'Background Controls'!I6</f>
        <v>Commercial/Institutional</v>
      </c>
      <c r="C269" s="748" t="str">
        <f>IFERROR(C244*VLOOKUP(C$267, elec_control_factors, 2, FALSE)*kWh_MWh*lb_mt*CO2_CO2e,"-")</f>
        <v>-</v>
      </c>
      <c r="D269" s="748" t="str">
        <f t="shared" si="46"/>
        <v>-</v>
      </c>
      <c r="E269" s="748" t="str">
        <f t="shared" si="46"/>
        <v>-</v>
      </c>
      <c r="F269" s="748" t="str">
        <f t="shared" si="46"/>
        <v>-</v>
      </c>
      <c r="G269" s="748" t="str">
        <f t="shared" si="46"/>
        <v>-</v>
      </c>
      <c r="H269" s="748" t="str">
        <f t="shared" si="46"/>
        <v>-</v>
      </c>
      <c r="I269" s="696">
        <f t="shared" ref="I269:I287" si="47">SUM(C269:H269)</f>
        <v>0</v>
      </c>
    </row>
    <row r="270" spans="1:11">
      <c r="A270" s="265"/>
      <c r="B270" s="119" t="str">
        <f>'Background Controls'!I7</f>
        <v>Industrial</v>
      </c>
      <c r="C270" s="748" t="str">
        <f>IFERROR(C245*VLOOKUP(C$267, elec_control_factors, 2, FALSE)*kWh_MWh*lb_mt*CO2_CO2e,"-")</f>
        <v>-</v>
      </c>
      <c r="D270" s="748" t="str">
        <f t="shared" si="46"/>
        <v>-</v>
      </c>
      <c r="E270" s="748" t="str">
        <f t="shared" si="46"/>
        <v>-</v>
      </c>
      <c r="F270" s="748" t="str">
        <f t="shared" si="46"/>
        <v>-</v>
      </c>
      <c r="G270" s="748" t="str">
        <f t="shared" si="46"/>
        <v>-</v>
      </c>
      <c r="H270" s="748" t="str">
        <f t="shared" si="46"/>
        <v>-</v>
      </c>
      <c r="I270" s="696">
        <f t="shared" si="47"/>
        <v>0</v>
      </c>
    </row>
    <row r="271" spans="1:11">
      <c r="A271" s="265"/>
      <c r="B271" s="119" t="str">
        <f>'Background Controls'!I8</f>
        <v>Energy Generation</v>
      </c>
      <c r="C271" s="748" t="str">
        <f t="shared" si="46"/>
        <v>-</v>
      </c>
      <c r="D271" s="748" t="str">
        <f t="shared" si="46"/>
        <v>-</v>
      </c>
      <c r="E271" s="748" t="str">
        <f t="shared" si="46"/>
        <v>-</v>
      </c>
      <c r="F271" s="748" t="str">
        <f t="shared" si="46"/>
        <v>-</v>
      </c>
      <c r="G271" s="748" t="str">
        <f t="shared" si="46"/>
        <v>-</v>
      </c>
      <c r="H271" s="748" t="str">
        <f t="shared" si="46"/>
        <v>-</v>
      </c>
      <c r="I271" s="696">
        <f t="shared" si="47"/>
        <v>0</v>
      </c>
    </row>
    <row r="272" spans="1:11" hidden="1">
      <c r="A272" s="265"/>
      <c r="B272" s="119">
        <f>'Background Controls'!I9</f>
        <v>0</v>
      </c>
      <c r="C272" s="559" t="str">
        <f t="shared" si="46"/>
        <v>-</v>
      </c>
      <c r="D272" s="697" t="str">
        <f t="shared" si="46"/>
        <v>-</v>
      </c>
      <c r="E272" s="697" t="str">
        <f t="shared" si="46"/>
        <v>-</v>
      </c>
      <c r="F272" s="697" t="str">
        <f t="shared" si="46"/>
        <v>-</v>
      </c>
      <c r="G272" s="697" t="str">
        <f t="shared" si="46"/>
        <v>-</v>
      </c>
      <c r="H272" s="697" t="str">
        <f t="shared" si="46"/>
        <v>-</v>
      </c>
      <c r="I272" s="696">
        <f t="shared" si="47"/>
        <v>0</v>
      </c>
    </row>
    <row r="273" spans="1:9" hidden="1">
      <c r="A273" s="265"/>
      <c r="B273" s="119">
        <f>'Background Controls'!I10</f>
        <v>0</v>
      </c>
      <c r="C273" s="559" t="str">
        <f t="shared" si="46"/>
        <v>-</v>
      </c>
      <c r="D273" s="697" t="str">
        <f t="shared" si="46"/>
        <v>-</v>
      </c>
      <c r="E273" s="697" t="str">
        <f t="shared" si="46"/>
        <v>-</v>
      </c>
      <c r="F273" s="697" t="str">
        <f t="shared" si="46"/>
        <v>-</v>
      </c>
      <c r="G273" s="697" t="str">
        <f t="shared" si="46"/>
        <v>-</v>
      </c>
      <c r="H273" s="697" t="str">
        <f t="shared" si="46"/>
        <v>-</v>
      </c>
      <c r="I273" s="696">
        <f t="shared" si="47"/>
        <v>0</v>
      </c>
    </row>
    <row r="274" spans="1:9" hidden="1">
      <c r="A274" s="265"/>
      <c r="B274" s="119">
        <f>'Background Controls'!I11</f>
        <v>0</v>
      </c>
      <c r="C274" s="559" t="str">
        <f t="shared" si="46"/>
        <v>-</v>
      </c>
      <c r="D274" s="697" t="str">
        <f t="shared" si="46"/>
        <v>-</v>
      </c>
      <c r="E274" s="697" t="str">
        <f t="shared" si="46"/>
        <v>-</v>
      </c>
      <c r="F274" s="697" t="str">
        <f t="shared" si="46"/>
        <v>-</v>
      </c>
      <c r="G274" s="697" t="str">
        <f t="shared" si="46"/>
        <v>-</v>
      </c>
      <c r="H274" s="697" t="str">
        <f t="shared" si="46"/>
        <v>-</v>
      </c>
      <c r="I274" s="696">
        <f t="shared" si="47"/>
        <v>0</v>
      </c>
    </row>
    <row r="275" spans="1:9" hidden="1">
      <c r="A275" s="265"/>
      <c r="B275" s="119">
        <f>'Background Controls'!I12</f>
        <v>0</v>
      </c>
      <c r="C275" s="559" t="str">
        <f t="shared" si="46"/>
        <v>-</v>
      </c>
      <c r="D275" s="697" t="str">
        <f t="shared" si="46"/>
        <v>-</v>
      </c>
      <c r="E275" s="697" t="str">
        <f t="shared" si="46"/>
        <v>-</v>
      </c>
      <c r="F275" s="697" t="str">
        <f t="shared" si="46"/>
        <v>-</v>
      </c>
      <c r="G275" s="697" t="str">
        <f t="shared" si="46"/>
        <v>-</v>
      </c>
      <c r="H275" s="697" t="str">
        <f t="shared" si="46"/>
        <v>-</v>
      </c>
      <c r="I275" s="696">
        <f t="shared" si="47"/>
        <v>0</v>
      </c>
    </row>
    <row r="276" spans="1:9" hidden="1">
      <c r="A276" s="265"/>
      <c r="B276" s="119">
        <f>'Background Controls'!I13</f>
        <v>0</v>
      </c>
      <c r="C276" s="559" t="str">
        <f t="shared" si="46"/>
        <v>-</v>
      </c>
      <c r="D276" s="697" t="str">
        <f t="shared" si="46"/>
        <v>-</v>
      </c>
      <c r="E276" s="697" t="str">
        <f t="shared" si="46"/>
        <v>-</v>
      </c>
      <c r="F276" s="697" t="str">
        <f t="shared" si="46"/>
        <v>-</v>
      </c>
      <c r="G276" s="697" t="str">
        <f t="shared" si="46"/>
        <v>-</v>
      </c>
      <c r="H276" s="697" t="str">
        <f t="shared" si="46"/>
        <v>-</v>
      </c>
      <c r="I276" s="696">
        <f t="shared" si="47"/>
        <v>0</v>
      </c>
    </row>
    <row r="277" spans="1:9" hidden="1">
      <c r="A277" s="265"/>
      <c r="B277" s="119">
        <f>'Background Controls'!I14</f>
        <v>0</v>
      </c>
      <c r="C277" s="559" t="str">
        <f t="shared" si="46"/>
        <v>-</v>
      </c>
      <c r="D277" s="697" t="str">
        <f t="shared" si="46"/>
        <v>-</v>
      </c>
      <c r="E277" s="697" t="str">
        <f t="shared" si="46"/>
        <v>-</v>
      </c>
      <c r="F277" s="697" t="str">
        <f t="shared" si="46"/>
        <v>-</v>
      </c>
      <c r="G277" s="697" t="str">
        <f t="shared" si="46"/>
        <v>-</v>
      </c>
      <c r="H277" s="697" t="str">
        <f t="shared" si="46"/>
        <v>-</v>
      </c>
      <c r="I277" s="696">
        <f t="shared" si="47"/>
        <v>0</v>
      </c>
    </row>
    <row r="278" spans="1:9" hidden="1">
      <c r="A278" s="265"/>
      <c r="B278" s="119">
        <f>'Background Controls'!I15</f>
        <v>0</v>
      </c>
      <c r="C278" s="559" t="str">
        <f t="shared" ref="C278:H287" si="48">IFERROR(C253*VLOOKUP(C$267, elec_control_factors, 2, FALSE)*kWh_MWh*lb_mt*CO2_CO2e,"-")</f>
        <v>-</v>
      </c>
      <c r="D278" s="697" t="str">
        <f t="shared" si="48"/>
        <v>-</v>
      </c>
      <c r="E278" s="697" t="str">
        <f t="shared" si="48"/>
        <v>-</v>
      </c>
      <c r="F278" s="697" t="str">
        <f t="shared" si="48"/>
        <v>-</v>
      </c>
      <c r="G278" s="697" t="str">
        <f t="shared" si="48"/>
        <v>-</v>
      </c>
      <c r="H278" s="697" t="str">
        <f t="shared" si="48"/>
        <v>-</v>
      </c>
      <c r="I278" s="696">
        <f t="shared" si="47"/>
        <v>0</v>
      </c>
    </row>
    <row r="279" spans="1:9" hidden="1">
      <c r="A279" s="265"/>
      <c r="B279" s="119">
        <f>'Background Controls'!I16</f>
        <v>0</v>
      </c>
      <c r="C279" s="559" t="str">
        <f t="shared" si="48"/>
        <v>-</v>
      </c>
      <c r="D279" s="697" t="str">
        <f t="shared" si="48"/>
        <v>-</v>
      </c>
      <c r="E279" s="697" t="str">
        <f t="shared" si="48"/>
        <v>-</v>
      </c>
      <c r="F279" s="697" t="str">
        <f t="shared" si="48"/>
        <v>-</v>
      </c>
      <c r="G279" s="697" t="str">
        <f t="shared" si="48"/>
        <v>-</v>
      </c>
      <c r="H279" s="697" t="str">
        <f t="shared" si="48"/>
        <v>-</v>
      </c>
      <c r="I279" s="696">
        <f t="shared" si="47"/>
        <v>0</v>
      </c>
    </row>
    <row r="280" spans="1:9" hidden="1">
      <c r="A280" s="265"/>
      <c r="B280" s="119">
        <f>'Background Controls'!I17</f>
        <v>0</v>
      </c>
      <c r="C280" s="559" t="str">
        <f t="shared" si="48"/>
        <v>-</v>
      </c>
      <c r="D280" s="697" t="str">
        <f t="shared" si="48"/>
        <v>-</v>
      </c>
      <c r="E280" s="697" t="str">
        <f t="shared" si="48"/>
        <v>-</v>
      </c>
      <c r="F280" s="697" t="str">
        <f t="shared" si="48"/>
        <v>-</v>
      </c>
      <c r="G280" s="697" t="str">
        <f t="shared" si="48"/>
        <v>-</v>
      </c>
      <c r="H280" s="697" t="str">
        <f t="shared" si="48"/>
        <v>-</v>
      </c>
      <c r="I280" s="696">
        <f t="shared" si="47"/>
        <v>0</v>
      </c>
    </row>
    <row r="281" spans="1:9" hidden="1">
      <c r="A281" s="265"/>
      <c r="B281" s="119">
        <f>'Background Controls'!I18</f>
        <v>0</v>
      </c>
      <c r="C281" s="559" t="str">
        <f t="shared" si="48"/>
        <v>-</v>
      </c>
      <c r="D281" s="697" t="str">
        <f t="shared" si="48"/>
        <v>-</v>
      </c>
      <c r="E281" s="697" t="str">
        <f t="shared" si="48"/>
        <v>-</v>
      </c>
      <c r="F281" s="697" t="str">
        <f t="shared" si="48"/>
        <v>-</v>
      </c>
      <c r="G281" s="697" t="str">
        <f t="shared" si="48"/>
        <v>-</v>
      </c>
      <c r="H281" s="697" t="str">
        <f t="shared" si="48"/>
        <v>-</v>
      </c>
      <c r="I281" s="696">
        <f t="shared" si="47"/>
        <v>0</v>
      </c>
    </row>
    <row r="282" spans="1:9" hidden="1">
      <c r="A282" s="265"/>
      <c r="B282" s="119">
        <f>'Background Controls'!I19</f>
        <v>0</v>
      </c>
      <c r="C282" s="559" t="str">
        <f t="shared" si="48"/>
        <v>-</v>
      </c>
      <c r="D282" s="697" t="str">
        <f t="shared" si="48"/>
        <v>-</v>
      </c>
      <c r="E282" s="697" t="str">
        <f t="shared" si="48"/>
        <v>-</v>
      </c>
      <c r="F282" s="697" t="str">
        <f t="shared" si="48"/>
        <v>-</v>
      </c>
      <c r="G282" s="697" t="str">
        <f t="shared" si="48"/>
        <v>-</v>
      </c>
      <c r="H282" s="697" t="str">
        <f t="shared" si="48"/>
        <v>-</v>
      </c>
      <c r="I282" s="696">
        <f t="shared" si="47"/>
        <v>0</v>
      </c>
    </row>
    <row r="283" spans="1:9" hidden="1">
      <c r="A283" s="265"/>
      <c r="B283" s="119">
        <f>'Background Controls'!I20</f>
        <v>0</v>
      </c>
      <c r="C283" s="559" t="str">
        <f t="shared" si="48"/>
        <v>-</v>
      </c>
      <c r="D283" s="697" t="str">
        <f t="shared" si="48"/>
        <v>-</v>
      </c>
      <c r="E283" s="697" t="str">
        <f t="shared" si="48"/>
        <v>-</v>
      </c>
      <c r="F283" s="697" t="str">
        <f t="shared" si="48"/>
        <v>-</v>
      </c>
      <c r="G283" s="697" t="str">
        <f t="shared" si="48"/>
        <v>-</v>
      </c>
      <c r="H283" s="697" t="str">
        <f t="shared" si="48"/>
        <v>-</v>
      </c>
      <c r="I283" s="696">
        <f t="shared" si="47"/>
        <v>0</v>
      </c>
    </row>
    <row r="284" spans="1:9" hidden="1">
      <c r="A284" s="265"/>
      <c r="B284" s="119">
        <f>'Background Controls'!I21</f>
        <v>0</v>
      </c>
      <c r="C284" s="559" t="str">
        <f t="shared" si="48"/>
        <v>-</v>
      </c>
      <c r="D284" s="697" t="str">
        <f t="shared" si="48"/>
        <v>-</v>
      </c>
      <c r="E284" s="697" t="str">
        <f t="shared" si="48"/>
        <v>-</v>
      </c>
      <c r="F284" s="697" t="str">
        <f t="shared" si="48"/>
        <v>-</v>
      </c>
      <c r="G284" s="697" t="str">
        <f t="shared" si="48"/>
        <v>-</v>
      </c>
      <c r="H284" s="697" t="str">
        <f t="shared" si="48"/>
        <v>-</v>
      </c>
      <c r="I284" s="696">
        <f t="shared" si="47"/>
        <v>0</v>
      </c>
    </row>
    <row r="285" spans="1:9" hidden="1">
      <c r="A285" s="265"/>
      <c r="B285" s="119">
        <f>'Background Controls'!I22</f>
        <v>0</v>
      </c>
      <c r="C285" s="559" t="str">
        <f t="shared" si="48"/>
        <v>-</v>
      </c>
      <c r="D285" s="697" t="str">
        <f t="shared" si="48"/>
        <v>-</v>
      </c>
      <c r="E285" s="697" t="str">
        <f t="shared" si="48"/>
        <v>-</v>
      </c>
      <c r="F285" s="697" t="str">
        <f t="shared" si="48"/>
        <v>-</v>
      </c>
      <c r="G285" s="697" t="str">
        <f t="shared" si="48"/>
        <v>-</v>
      </c>
      <c r="H285" s="697" t="str">
        <f t="shared" si="48"/>
        <v>-</v>
      </c>
      <c r="I285" s="696">
        <f t="shared" si="47"/>
        <v>0</v>
      </c>
    </row>
    <row r="286" spans="1:9" hidden="1">
      <c r="A286" s="265"/>
      <c r="B286" s="119">
        <f>'Background Controls'!I23</f>
        <v>0</v>
      </c>
      <c r="C286" s="559" t="str">
        <f t="shared" si="48"/>
        <v>-</v>
      </c>
      <c r="D286" s="697" t="str">
        <f t="shared" si="48"/>
        <v>-</v>
      </c>
      <c r="E286" s="697" t="str">
        <f t="shared" si="48"/>
        <v>-</v>
      </c>
      <c r="F286" s="697" t="str">
        <f t="shared" si="48"/>
        <v>-</v>
      </c>
      <c r="G286" s="697" t="str">
        <f t="shared" si="48"/>
        <v>-</v>
      </c>
      <c r="H286" s="697" t="str">
        <f t="shared" si="48"/>
        <v>-</v>
      </c>
      <c r="I286" s="696">
        <f t="shared" si="47"/>
        <v>0</v>
      </c>
    </row>
    <row r="287" spans="1:9" hidden="1">
      <c r="A287" s="265"/>
      <c r="B287" s="119">
        <f>'Background Controls'!I24</f>
        <v>0</v>
      </c>
      <c r="C287" s="559" t="str">
        <f t="shared" si="48"/>
        <v>-</v>
      </c>
      <c r="D287" s="697" t="str">
        <f t="shared" si="48"/>
        <v>-</v>
      </c>
      <c r="E287" s="697" t="str">
        <f t="shared" si="48"/>
        <v>-</v>
      </c>
      <c r="F287" s="697" t="str">
        <f t="shared" si="48"/>
        <v>-</v>
      </c>
      <c r="G287" s="697" t="str">
        <f t="shared" si="48"/>
        <v>-</v>
      </c>
      <c r="H287" s="697" t="str">
        <f t="shared" si="48"/>
        <v>-</v>
      </c>
      <c r="I287" s="696">
        <f t="shared" si="47"/>
        <v>0</v>
      </c>
    </row>
    <row r="288" spans="1:9">
      <c r="A288" s="265"/>
      <c r="B288" s="860" t="s">
        <v>253</v>
      </c>
      <c r="C288" s="749">
        <f t="shared" ref="C288:H288" si="49">SUM(C268:C287)</f>
        <v>0</v>
      </c>
      <c r="D288" s="749">
        <f t="shared" si="49"/>
        <v>0</v>
      </c>
      <c r="E288" s="749">
        <f t="shared" si="49"/>
        <v>0</v>
      </c>
      <c r="F288" s="749">
        <f t="shared" si="49"/>
        <v>0</v>
      </c>
      <c r="G288" s="749">
        <f t="shared" si="49"/>
        <v>0</v>
      </c>
      <c r="H288" s="749">
        <f t="shared" si="49"/>
        <v>0</v>
      </c>
      <c r="I288" s="932">
        <f>SUM(I268:I287)</f>
        <v>0</v>
      </c>
    </row>
    <row r="289" spans="1:10">
      <c r="A289" s="265"/>
      <c r="C289" s="50"/>
      <c r="D289" s="50"/>
      <c r="E289" s="50"/>
      <c r="F289" s="50"/>
      <c r="G289" s="50"/>
      <c r="H289" s="50"/>
      <c r="I289" s="50"/>
    </row>
    <row r="290" spans="1:10" ht="16.5">
      <c r="A290" s="268" t="s">
        <v>739</v>
      </c>
    </row>
    <row r="291" spans="1:10" ht="16.5">
      <c r="A291" s="286" t="s">
        <v>740</v>
      </c>
    </row>
    <row r="292" spans="1:10">
      <c r="A292" s="287"/>
      <c r="B292" s="919" t="s">
        <v>152</v>
      </c>
      <c r="C292" s="693" t="str">
        <f>IF('Background Controls'!$B$62=0,"-",'Background Controls'!$B$62)</f>
        <v>AKGD eGRID subregion</v>
      </c>
      <c r="D292" s="693" t="str">
        <f>IF('Background Controls'!$B$63=0,"-",'Background Controls'!$B$63)</f>
        <v>-</v>
      </c>
      <c r="E292" s="693" t="str">
        <f>IF('Background Controls'!$B$64=0,"-",'Background Controls'!$B$64)</f>
        <v>-</v>
      </c>
      <c r="F292" s="693" t="str">
        <f>IF('Background Controls'!$B$65=0,"-",'Background Controls'!$B$65)</f>
        <v>-</v>
      </c>
      <c r="G292" s="693" t="str">
        <f>IF('Background Controls'!$B$66=0,"-",'Background Controls'!$B$66)</f>
        <v>-</v>
      </c>
      <c r="H292" s="693" t="str">
        <f>IF('Background Controls'!$B$67=0,"-",'Background Controls'!$B$67)</f>
        <v>-</v>
      </c>
      <c r="I292" s="868" t="s">
        <v>263</v>
      </c>
      <c r="J292" s="118"/>
    </row>
    <row r="293" spans="1:10">
      <c r="A293" s="284" t="s">
        <v>101</v>
      </c>
      <c r="B293" s="119" t="str">
        <f>'Background Controls'!I5</f>
        <v>Residential</v>
      </c>
      <c r="C293" s="748" t="str">
        <f>IFERROR(C243*VLOOKUP(C$292, elec_control_factors,3, FALSE)*kWh_MWh*lb_mt*CH4_CO2e,"-")</f>
        <v>-</v>
      </c>
      <c r="D293" s="748" t="str">
        <f t="shared" ref="C293:H302" si="50">IFERROR(D243*VLOOKUP(D$292, elec_control_factors,3, FALSE)*kWh_MWh*lb_mt*CH4_CO2e,"-")</f>
        <v>-</v>
      </c>
      <c r="E293" s="748" t="str">
        <f t="shared" si="50"/>
        <v>-</v>
      </c>
      <c r="F293" s="748" t="str">
        <f t="shared" si="50"/>
        <v>-</v>
      </c>
      <c r="G293" s="748" t="str">
        <f t="shared" si="50"/>
        <v>-</v>
      </c>
      <c r="H293" s="748" t="str">
        <f t="shared" si="50"/>
        <v>-</v>
      </c>
      <c r="I293" s="336">
        <f t="shared" ref="I293:I312" si="51">SUM(C293:H293)</f>
        <v>0</v>
      </c>
    </row>
    <row r="294" spans="1:10">
      <c r="A294" s="265"/>
      <c r="B294" s="119" t="str">
        <f>'Background Controls'!I6</f>
        <v>Commercial/Institutional</v>
      </c>
      <c r="C294" s="748" t="str">
        <f t="shared" si="50"/>
        <v>-</v>
      </c>
      <c r="D294" s="748" t="str">
        <f t="shared" si="50"/>
        <v>-</v>
      </c>
      <c r="E294" s="748" t="str">
        <f t="shared" si="50"/>
        <v>-</v>
      </c>
      <c r="F294" s="748" t="str">
        <f t="shared" si="50"/>
        <v>-</v>
      </c>
      <c r="G294" s="748" t="str">
        <f t="shared" si="50"/>
        <v>-</v>
      </c>
      <c r="H294" s="748" t="str">
        <f t="shared" si="50"/>
        <v>-</v>
      </c>
      <c r="I294" s="336">
        <f t="shared" si="51"/>
        <v>0</v>
      </c>
    </row>
    <row r="295" spans="1:10">
      <c r="A295" s="265"/>
      <c r="B295" s="119" t="str">
        <f>'Background Controls'!I7</f>
        <v>Industrial</v>
      </c>
      <c r="C295" s="748" t="str">
        <f t="shared" si="50"/>
        <v>-</v>
      </c>
      <c r="D295" s="748" t="str">
        <f t="shared" si="50"/>
        <v>-</v>
      </c>
      <c r="E295" s="748" t="str">
        <f t="shared" si="50"/>
        <v>-</v>
      </c>
      <c r="F295" s="748" t="str">
        <f t="shared" si="50"/>
        <v>-</v>
      </c>
      <c r="G295" s="748" t="str">
        <f t="shared" si="50"/>
        <v>-</v>
      </c>
      <c r="H295" s="748" t="str">
        <f t="shared" si="50"/>
        <v>-</v>
      </c>
      <c r="I295" s="336">
        <f t="shared" si="51"/>
        <v>0</v>
      </c>
    </row>
    <row r="296" spans="1:10">
      <c r="A296" s="265"/>
      <c r="B296" s="119" t="str">
        <f>'Background Controls'!I8</f>
        <v>Energy Generation</v>
      </c>
      <c r="C296" s="748" t="str">
        <f t="shared" si="50"/>
        <v>-</v>
      </c>
      <c r="D296" s="748" t="str">
        <f t="shared" si="50"/>
        <v>-</v>
      </c>
      <c r="E296" s="748" t="str">
        <f t="shared" si="50"/>
        <v>-</v>
      </c>
      <c r="F296" s="748" t="str">
        <f t="shared" si="50"/>
        <v>-</v>
      </c>
      <c r="G296" s="748" t="str">
        <f t="shared" si="50"/>
        <v>-</v>
      </c>
      <c r="H296" s="748" t="str">
        <f t="shared" si="50"/>
        <v>-</v>
      </c>
      <c r="I296" s="336">
        <f t="shared" si="51"/>
        <v>0</v>
      </c>
    </row>
    <row r="297" spans="1:10" hidden="1">
      <c r="A297" s="265"/>
      <c r="B297" s="119">
        <f>'Background Controls'!I9</f>
        <v>0</v>
      </c>
      <c r="C297" s="559" t="str">
        <f t="shared" si="50"/>
        <v>-</v>
      </c>
      <c r="D297" s="697" t="str">
        <f t="shared" si="50"/>
        <v>-</v>
      </c>
      <c r="E297" s="697" t="str">
        <f t="shared" si="50"/>
        <v>-</v>
      </c>
      <c r="F297" s="697" t="str">
        <f t="shared" si="50"/>
        <v>-</v>
      </c>
      <c r="G297" s="697" t="str">
        <f t="shared" si="50"/>
        <v>-</v>
      </c>
      <c r="H297" s="697" t="str">
        <f t="shared" si="50"/>
        <v>-</v>
      </c>
      <c r="I297" s="336">
        <f t="shared" si="51"/>
        <v>0</v>
      </c>
    </row>
    <row r="298" spans="1:10" hidden="1">
      <c r="A298" s="265"/>
      <c r="B298" s="119">
        <f>'Background Controls'!I10</f>
        <v>0</v>
      </c>
      <c r="C298" s="559" t="str">
        <f t="shared" si="50"/>
        <v>-</v>
      </c>
      <c r="D298" s="697" t="str">
        <f t="shared" si="50"/>
        <v>-</v>
      </c>
      <c r="E298" s="697" t="str">
        <f t="shared" si="50"/>
        <v>-</v>
      </c>
      <c r="F298" s="697" t="str">
        <f t="shared" si="50"/>
        <v>-</v>
      </c>
      <c r="G298" s="697" t="str">
        <f t="shared" si="50"/>
        <v>-</v>
      </c>
      <c r="H298" s="697" t="str">
        <f t="shared" si="50"/>
        <v>-</v>
      </c>
      <c r="I298" s="336">
        <f t="shared" si="51"/>
        <v>0</v>
      </c>
    </row>
    <row r="299" spans="1:10" hidden="1">
      <c r="A299" s="265"/>
      <c r="B299" s="119">
        <f>'Background Controls'!I11</f>
        <v>0</v>
      </c>
      <c r="C299" s="559" t="str">
        <f t="shared" si="50"/>
        <v>-</v>
      </c>
      <c r="D299" s="697" t="str">
        <f t="shared" si="50"/>
        <v>-</v>
      </c>
      <c r="E299" s="697" t="str">
        <f t="shared" si="50"/>
        <v>-</v>
      </c>
      <c r="F299" s="697" t="str">
        <f t="shared" si="50"/>
        <v>-</v>
      </c>
      <c r="G299" s="697" t="str">
        <f t="shared" si="50"/>
        <v>-</v>
      </c>
      <c r="H299" s="697" t="str">
        <f t="shared" si="50"/>
        <v>-</v>
      </c>
      <c r="I299" s="336">
        <f t="shared" si="51"/>
        <v>0</v>
      </c>
    </row>
    <row r="300" spans="1:10" hidden="1">
      <c r="A300" s="265"/>
      <c r="B300" s="119">
        <f>'Background Controls'!I12</f>
        <v>0</v>
      </c>
      <c r="C300" s="559" t="str">
        <f t="shared" si="50"/>
        <v>-</v>
      </c>
      <c r="D300" s="697" t="str">
        <f t="shared" si="50"/>
        <v>-</v>
      </c>
      <c r="E300" s="697" t="str">
        <f t="shared" si="50"/>
        <v>-</v>
      </c>
      <c r="F300" s="697" t="str">
        <f t="shared" si="50"/>
        <v>-</v>
      </c>
      <c r="G300" s="697" t="str">
        <f t="shared" si="50"/>
        <v>-</v>
      </c>
      <c r="H300" s="697" t="str">
        <f t="shared" si="50"/>
        <v>-</v>
      </c>
      <c r="I300" s="336">
        <f t="shared" si="51"/>
        <v>0</v>
      </c>
    </row>
    <row r="301" spans="1:10" hidden="1">
      <c r="A301" s="265"/>
      <c r="B301" s="119">
        <f>'Background Controls'!I13</f>
        <v>0</v>
      </c>
      <c r="C301" s="559" t="str">
        <f t="shared" si="50"/>
        <v>-</v>
      </c>
      <c r="D301" s="697" t="str">
        <f t="shared" si="50"/>
        <v>-</v>
      </c>
      <c r="E301" s="697" t="str">
        <f t="shared" si="50"/>
        <v>-</v>
      </c>
      <c r="F301" s="697" t="str">
        <f t="shared" si="50"/>
        <v>-</v>
      </c>
      <c r="G301" s="697" t="str">
        <f t="shared" si="50"/>
        <v>-</v>
      </c>
      <c r="H301" s="697" t="str">
        <f t="shared" si="50"/>
        <v>-</v>
      </c>
      <c r="I301" s="336">
        <f t="shared" si="51"/>
        <v>0</v>
      </c>
    </row>
    <row r="302" spans="1:10" hidden="1">
      <c r="A302" s="265"/>
      <c r="B302" s="119">
        <f>'Background Controls'!I14</f>
        <v>0</v>
      </c>
      <c r="C302" s="559" t="str">
        <f t="shared" si="50"/>
        <v>-</v>
      </c>
      <c r="D302" s="697" t="str">
        <f t="shared" si="50"/>
        <v>-</v>
      </c>
      <c r="E302" s="697" t="str">
        <f t="shared" si="50"/>
        <v>-</v>
      </c>
      <c r="F302" s="697" t="str">
        <f t="shared" si="50"/>
        <v>-</v>
      </c>
      <c r="G302" s="697" t="str">
        <f t="shared" si="50"/>
        <v>-</v>
      </c>
      <c r="H302" s="697" t="str">
        <f t="shared" si="50"/>
        <v>-</v>
      </c>
      <c r="I302" s="336">
        <f t="shared" si="51"/>
        <v>0</v>
      </c>
    </row>
    <row r="303" spans="1:10" hidden="1">
      <c r="A303" s="265"/>
      <c r="B303" s="119">
        <f>'Background Controls'!I15</f>
        <v>0</v>
      </c>
      <c r="C303" s="559" t="str">
        <f t="shared" ref="C303:H312" si="52">IFERROR(C253*VLOOKUP(C$292, elec_control_factors,3, FALSE)*kWh_MWh*lb_mt*CH4_CO2e,"-")</f>
        <v>-</v>
      </c>
      <c r="D303" s="697" t="str">
        <f t="shared" si="52"/>
        <v>-</v>
      </c>
      <c r="E303" s="697" t="str">
        <f t="shared" si="52"/>
        <v>-</v>
      </c>
      <c r="F303" s="697" t="str">
        <f t="shared" si="52"/>
        <v>-</v>
      </c>
      <c r="G303" s="697" t="str">
        <f t="shared" si="52"/>
        <v>-</v>
      </c>
      <c r="H303" s="697" t="str">
        <f t="shared" si="52"/>
        <v>-</v>
      </c>
      <c r="I303" s="336">
        <f t="shared" si="51"/>
        <v>0</v>
      </c>
    </row>
    <row r="304" spans="1:10" hidden="1">
      <c r="A304" s="265"/>
      <c r="B304" s="119">
        <f>'Background Controls'!I16</f>
        <v>0</v>
      </c>
      <c r="C304" s="559" t="str">
        <f t="shared" si="52"/>
        <v>-</v>
      </c>
      <c r="D304" s="697" t="str">
        <f t="shared" si="52"/>
        <v>-</v>
      </c>
      <c r="E304" s="697" t="str">
        <f t="shared" si="52"/>
        <v>-</v>
      </c>
      <c r="F304" s="697" t="str">
        <f t="shared" si="52"/>
        <v>-</v>
      </c>
      <c r="G304" s="697" t="str">
        <f t="shared" si="52"/>
        <v>-</v>
      </c>
      <c r="H304" s="697" t="str">
        <f t="shared" si="52"/>
        <v>-</v>
      </c>
      <c r="I304" s="336">
        <f t="shared" si="51"/>
        <v>0</v>
      </c>
    </row>
    <row r="305" spans="1:10" hidden="1">
      <c r="A305" s="265"/>
      <c r="B305" s="119">
        <f>'Background Controls'!I17</f>
        <v>0</v>
      </c>
      <c r="C305" s="559" t="str">
        <f t="shared" si="52"/>
        <v>-</v>
      </c>
      <c r="D305" s="697" t="str">
        <f t="shared" si="52"/>
        <v>-</v>
      </c>
      <c r="E305" s="697" t="str">
        <f t="shared" si="52"/>
        <v>-</v>
      </c>
      <c r="F305" s="697" t="str">
        <f t="shared" si="52"/>
        <v>-</v>
      </c>
      <c r="G305" s="697" t="str">
        <f t="shared" si="52"/>
        <v>-</v>
      </c>
      <c r="H305" s="697" t="str">
        <f t="shared" si="52"/>
        <v>-</v>
      </c>
      <c r="I305" s="336">
        <f t="shared" si="51"/>
        <v>0</v>
      </c>
    </row>
    <row r="306" spans="1:10" hidden="1">
      <c r="A306" s="265"/>
      <c r="B306" s="119">
        <f>'Background Controls'!I18</f>
        <v>0</v>
      </c>
      <c r="C306" s="559" t="str">
        <f t="shared" si="52"/>
        <v>-</v>
      </c>
      <c r="D306" s="697" t="str">
        <f t="shared" si="52"/>
        <v>-</v>
      </c>
      <c r="E306" s="697" t="str">
        <f t="shared" si="52"/>
        <v>-</v>
      </c>
      <c r="F306" s="697" t="str">
        <f t="shared" si="52"/>
        <v>-</v>
      </c>
      <c r="G306" s="697" t="str">
        <f t="shared" si="52"/>
        <v>-</v>
      </c>
      <c r="H306" s="697" t="str">
        <f t="shared" si="52"/>
        <v>-</v>
      </c>
      <c r="I306" s="336">
        <f t="shared" si="51"/>
        <v>0</v>
      </c>
    </row>
    <row r="307" spans="1:10" hidden="1">
      <c r="A307" s="265"/>
      <c r="B307" s="119">
        <f>'Background Controls'!I19</f>
        <v>0</v>
      </c>
      <c r="C307" s="559" t="str">
        <f t="shared" si="52"/>
        <v>-</v>
      </c>
      <c r="D307" s="697" t="str">
        <f t="shared" si="52"/>
        <v>-</v>
      </c>
      <c r="E307" s="697" t="str">
        <f t="shared" si="52"/>
        <v>-</v>
      </c>
      <c r="F307" s="697" t="str">
        <f t="shared" si="52"/>
        <v>-</v>
      </c>
      <c r="G307" s="697" t="str">
        <f t="shared" si="52"/>
        <v>-</v>
      </c>
      <c r="H307" s="697" t="str">
        <f t="shared" si="52"/>
        <v>-</v>
      </c>
      <c r="I307" s="336">
        <f t="shared" si="51"/>
        <v>0</v>
      </c>
    </row>
    <row r="308" spans="1:10" hidden="1">
      <c r="A308" s="265"/>
      <c r="B308" s="119">
        <f>'Background Controls'!I20</f>
        <v>0</v>
      </c>
      <c r="C308" s="559" t="str">
        <f t="shared" si="52"/>
        <v>-</v>
      </c>
      <c r="D308" s="697" t="str">
        <f t="shared" si="52"/>
        <v>-</v>
      </c>
      <c r="E308" s="697" t="str">
        <f t="shared" si="52"/>
        <v>-</v>
      </c>
      <c r="F308" s="697" t="str">
        <f t="shared" si="52"/>
        <v>-</v>
      </c>
      <c r="G308" s="697" t="str">
        <f t="shared" si="52"/>
        <v>-</v>
      </c>
      <c r="H308" s="697" t="str">
        <f t="shared" si="52"/>
        <v>-</v>
      </c>
      <c r="I308" s="336">
        <f t="shared" si="51"/>
        <v>0</v>
      </c>
    </row>
    <row r="309" spans="1:10" hidden="1">
      <c r="A309" s="265"/>
      <c r="B309" s="119">
        <f>'Background Controls'!I21</f>
        <v>0</v>
      </c>
      <c r="C309" s="559" t="str">
        <f t="shared" si="52"/>
        <v>-</v>
      </c>
      <c r="D309" s="697" t="str">
        <f t="shared" si="52"/>
        <v>-</v>
      </c>
      <c r="E309" s="697" t="str">
        <f t="shared" si="52"/>
        <v>-</v>
      </c>
      <c r="F309" s="697" t="str">
        <f t="shared" si="52"/>
        <v>-</v>
      </c>
      <c r="G309" s="697" t="str">
        <f t="shared" si="52"/>
        <v>-</v>
      </c>
      <c r="H309" s="697" t="str">
        <f t="shared" si="52"/>
        <v>-</v>
      </c>
      <c r="I309" s="336">
        <f t="shared" si="51"/>
        <v>0</v>
      </c>
    </row>
    <row r="310" spans="1:10" hidden="1">
      <c r="A310" s="265"/>
      <c r="B310" s="119">
        <f>'Background Controls'!I22</f>
        <v>0</v>
      </c>
      <c r="C310" s="559" t="str">
        <f t="shared" si="52"/>
        <v>-</v>
      </c>
      <c r="D310" s="697" t="str">
        <f t="shared" si="52"/>
        <v>-</v>
      </c>
      <c r="E310" s="697" t="str">
        <f t="shared" si="52"/>
        <v>-</v>
      </c>
      <c r="F310" s="697" t="str">
        <f t="shared" si="52"/>
        <v>-</v>
      </c>
      <c r="G310" s="697" t="str">
        <f t="shared" si="52"/>
        <v>-</v>
      </c>
      <c r="H310" s="697" t="str">
        <f t="shared" si="52"/>
        <v>-</v>
      </c>
      <c r="I310" s="336">
        <f t="shared" si="51"/>
        <v>0</v>
      </c>
    </row>
    <row r="311" spans="1:10" hidden="1">
      <c r="A311" s="265"/>
      <c r="B311" s="119">
        <f>'Background Controls'!I23</f>
        <v>0</v>
      </c>
      <c r="C311" s="559" t="str">
        <f t="shared" si="52"/>
        <v>-</v>
      </c>
      <c r="D311" s="697" t="str">
        <f t="shared" si="52"/>
        <v>-</v>
      </c>
      <c r="E311" s="697" t="str">
        <f t="shared" si="52"/>
        <v>-</v>
      </c>
      <c r="F311" s="697" t="str">
        <f t="shared" si="52"/>
        <v>-</v>
      </c>
      <c r="G311" s="697" t="str">
        <f t="shared" si="52"/>
        <v>-</v>
      </c>
      <c r="H311" s="697" t="str">
        <f t="shared" si="52"/>
        <v>-</v>
      </c>
      <c r="I311" s="336">
        <f t="shared" si="51"/>
        <v>0</v>
      </c>
    </row>
    <row r="312" spans="1:10" hidden="1">
      <c r="A312" s="265"/>
      <c r="B312" s="119">
        <f>'Background Controls'!I24</f>
        <v>0</v>
      </c>
      <c r="C312" s="559" t="str">
        <f t="shared" si="52"/>
        <v>-</v>
      </c>
      <c r="D312" s="697" t="str">
        <f t="shared" si="52"/>
        <v>-</v>
      </c>
      <c r="E312" s="697" t="str">
        <f t="shared" si="52"/>
        <v>-</v>
      </c>
      <c r="F312" s="697" t="str">
        <f t="shared" si="52"/>
        <v>-</v>
      </c>
      <c r="G312" s="697" t="str">
        <f t="shared" si="52"/>
        <v>-</v>
      </c>
      <c r="H312" s="697" t="str">
        <f t="shared" si="52"/>
        <v>-</v>
      </c>
      <c r="I312" s="336">
        <f t="shared" si="51"/>
        <v>0</v>
      </c>
    </row>
    <row r="313" spans="1:10">
      <c r="A313" s="265"/>
      <c r="B313" s="860" t="s">
        <v>253</v>
      </c>
      <c r="C313" s="698">
        <f t="shared" ref="C313:H313" si="53">SUM(C293:C312)</f>
        <v>0</v>
      </c>
      <c r="D313" s="512">
        <f t="shared" si="53"/>
        <v>0</v>
      </c>
      <c r="E313" s="512">
        <f t="shared" si="53"/>
        <v>0</v>
      </c>
      <c r="F313" s="512">
        <f t="shared" si="53"/>
        <v>0</v>
      </c>
      <c r="G313" s="512">
        <f t="shared" si="53"/>
        <v>0</v>
      </c>
      <c r="H313" s="512">
        <f t="shared" si="53"/>
        <v>0</v>
      </c>
      <c r="I313" s="863">
        <f>SUM(I293:I312)</f>
        <v>0</v>
      </c>
    </row>
    <row r="314" spans="1:10">
      <c r="A314" s="265"/>
      <c r="C314" s="51"/>
      <c r="D314" s="51"/>
      <c r="E314" s="51"/>
      <c r="F314" s="51"/>
      <c r="G314" s="51"/>
      <c r="H314" s="51"/>
      <c r="I314" s="51"/>
    </row>
    <row r="315" spans="1:10" ht="16.5">
      <c r="A315" s="268" t="s">
        <v>741</v>
      </c>
    </row>
    <row r="316" spans="1:10" ht="16.5">
      <c r="A316" s="286" t="s">
        <v>742</v>
      </c>
    </row>
    <row r="317" spans="1:10">
      <c r="A317" s="271"/>
      <c r="B317" s="919" t="s">
        <v>152</v>
      </c>
      <c r="C317" s="693" t="str">
        <f>IF('Background Controls'!$B$62=0,"-",'Background Controls'!$B$62)</f>
        <v>AKGD eGRID subregion</v>
      </c>
      <c r="D317" s="693" t="str">
        <f>IF('Background Controls'!$B$63=0,"-",'Background Controls'!$B$63)</f>
        <v>-</v>
      </c>
      <c r="E317" s="693" t="str">
        <f>IF('Background Controls'!$B$64=0,"-",'Background Controls'!$B$64)</f>
        <v>-</v>
      </c>
      <c r="F317" s="693" t="str">
        <f>IF('Background Controls'!$B$65=0,"-",'Background Controls'!$B$65)</f>
        <v>-</v>
      </c>
      <c r="G317" s="693" t="str">
        <f>IF('Background Controls'!$B$66=0,"-",'Background Controls'!$B$66)</f>
        <v>-</v>
      </c>
      <c r="H317" s="693" t="str">
        <f>IF('Background Controls'!$B$67=0,"-",'Background Controls'!$B$67)</f>
        <v>-</v>
      </c>
      <c r="I317" s="868" t="s">
        <v>263</v>
      </c>
      <c r="J317" s="56"/>
    </row>
    <row r="318" spans="1:10">
      <c r="A318" s="284" t="s">
        <v>101</v>
      </c>
      <c r="B318" s="119" t="str">
        <f>'Background Controls'!I5</f>
        <v>Residential</v>
      </c>
      <c r="C318" s="697" t="str">
        <f t="shared" ref="C318:H327" si="54">IFERROR(C243*VLOOKUP(C$317, elec_control_factors,4, FALSE)*kWh_MWh*lb_mt*N2O_CO2e,"-")</f>
        <v>-</v>
      </c>
      <c r="D318" s="697" t="str">
        <f t="shared" si="54"/>
        <v>-</v>
      </c>
      <c r="E318" s="697" t="str">
        <f t="shared" si="54"/>
        <v>-</v>
      </c>
      <c r="F318" s="697" t="str">
        <f t="shared" si="54"/>
        <v>-</v>
      </c>
      <c r="G318" s="697" t="str">
        <f t="shared" si="54"/>
        <v>-</v>
      </c>
      <c r="H318" s="697" t="str">
        <f t="shared" si="54"/>
        <v>-</v>
      </c>
      <c r="I318" s="336">
        <f t="shared" ref="I318:I337" si="55">SUM(C318:H318)</f>
        <v>0</v>
      </c>
    </row>
    <row r="319" spans="1:10">
      <c r="A319" s="265"/>
      <c r="B319" s="119" t="str">
        <f>'Background Controls'!I6</f>
        <v>Commercial/Institutional</v>
      </c>
      <c r="C319" s="697" t="str">
        <f t="shared" si="54"/>
        <v>-</v>
      </c>
      <c r="D319" s="697" t="str">
        <f t="shared" si="54"/>
        <v>-</v>
      </c>
      <c r="E319" s="697" t="str">
        <f t="shared" si="54"/>
        <v>-</v>
      </c>
      <c r="F319" s="697" t="str">
        <f t="shared" si="54"/>
        <v>-</v>
      </c>
      <c r="G319" s="697" t="str">
        <f t="shared" si="54"/>
        <v>-</v>
      </c>
      <c r="H319" s="697" t="str">
        <f t="shared" si="54"/>
        <v>-</v>
      </c>
      <c r="I319" s="336">
        <f t="shared" si="55"/>
        <v>0</v>
      </c>
    </row>
    <row r="320" spans="1:10">
      <c r="A320" s="265"/>
      <c r="B320" s="119" t="str">
        <f>'Background Controls'!I7</f>
        <v>Industrial</v>
      </c>
      <c r="C320" s="697" t="str">
        <f t="shared" si="54"/>
        <v>-</v>
      </c>
      <c r="D320" s="697" t="str">
        <f t="shared" si="54"/>
        <v>-</v>
      </c>
      <c r="E320" s="697" t="str">
        <f t="shared" si="54"/>
        <v>-</v>
      </c>
      <c r="F320" s="697" t="str">
        <f t="shared" si="54"/>
        <v>-</v>
      </c>
      <c r="G320" s="697" t="str">
        <f t="shared" si="54"/>
        <v>-</v>
      </c>
      <c r="H320" s="697" t="str">
        <f t="shared" si="54"/>
        <v>-</v>
      </c>
      <c r="I320" s="336">
        <f t="shared" si="55"/>
        <v>0</v>
      </c>
    </row>
    <row r="321" spans="1:9">
      <c r="A321" s="265"/>
      <c r="B321" s="119" t="str">
        <f>'Background Controls'!I8</f>
        <v>Energy Generation</v>
      </c>
      <c r="C321" s="697" t="str">
        <f t="shared" si="54"/>
        <v>-</v>
      </c>
      <c r="D321" s="697" t="str">
        <f t="shared" si="54"/>
        <v>-</v>
      </c>
      <c r="E321" s="697" t="str">
        <f t="shared" si="54"/>
        <v>-</v>
      </c>
      <c r="F321" s="697" t="str">
        <f t="shared" si="54"/>
        <v>-</v>
      </c>
      <c r="G321" s="697" t="str">
        <f t="shared" si="54"/>
        <v>-</v>
      </c>
      <c r="H321" s="697" t="str">
        <f t="shared" si="54"/>
        <v>-</v>
      </c>
      <c r="I321" s="336">
        <f t="shared" si="55"/>
        <v>0</v>
      </c>
    </row>
    <row r="322" spans="1:9" hidden="1">
      <c r="A322" s="265"/>
      <c r="B322" s="119">
        <f>'Background Controls'!I9</f>
        <v>0</v>
      </c>
      <c r="C322" s="559" t="str">
        <f t="shared" si="54"/>
        <v>-</v>
      </c>
      <c r="D322" s="697" t="str">
        <f t="shared" si="54"/>
        <v>-</v>
      </c>
      <c r="E322" s="697" t="str">
        <f t="shared" si="54"/>
        <v>-</v>
      </c>
      <c r="F322" s="697" t="str">
        <f t="shared" si="54"/>
        <v>-</v>
      </c>
      <c r="G322" s="697" t="str">
        <f t="shared" si="54"/>
        <v>-</v>
      </c>
      <c r="H322" s="697" t="str">
        <f t="shared" si="54"/>
        <v>-</v>
      </c>
      <c r="I322" s="336">
        <f t="shared" si="55"/>
        <v>0</v>
      </c>
    </row>
    <row r="323" spans="1:9" hidden="1">
      <c r="A323" s="265"/>
      <c r="B323" s="119">
        <f>'Background Controls'!I10</f>
        <v>0</v>
      </c>
      <c r="C323" s="559" t="str">
        <f t="shared" si="54"/>
        <v>-</v>
      </c>
      <c r="D323" s="697" t="str">
        <f t="shared" si="54"/>
        <v>-</v>
      </c>
      <c r="E323" s="697" t="str">
        <f t="shared" si="54"/>
        <v>-</v>
      </c>
      <c r="F323" s="697" t="str">
        <f t="shared" si="54"/>
        <v>-</v>
      </c>
      <c r="G323" s="697" t="str">
        <f t="shared" si="54"/>
        <v>-</v>
      </c>
      <c r="H323" s="697" t="str">
        <f t="shared" si="54"/>
        <v>-</v>
      </c>
      <c r="I323" s="336">
        <f t="shared" si="55"/>
        <v>0</v>
      </c>
    </row>
    <row r="324" spans="1:9" hidden="1">
      <c r="A324" s="265"/>
      <c r="B324" s="119">
        <f>'Background Controls'!I11</f>
        <v>0</v>
      </c>
      <c r="C324" s="559" t="str">
        <f t="shared" si="54"/>
        <v>-</v>
      </c>
      <c r="D324" s="697" t="str">
        <f t="shared" si="54"/>
        <v>-</v>
      </c>
      <c r="E324" s="697" t="str">
        <f t="shared" si="54"/>
        <v>-</v>
      </c>
      <c r="F324" s="697" t="str">
        <f t="shared" si="54"/>
        <v>-</v>
      </c>
      <c r="G324" s="697" t="str">
        <f t="shared" si="54"/>
        <v>-</v>
      </c>
      <c r="H324" s="697" t="str">
        <f t="shared" si="54"/>
        <v>-</v>
      </c>
      <c r="I324" s="336">
        <f t="shared" si="55"/>
        <v>0</v>
      </c>
    </row>
    <row r="325" spans="1:9" hidden="1">
      <c r="A325" s="265"/>
      <c r="B325" s="119">
        <f>'Background Controls'!I12</f>
        <v>0</v>
      </c>
      <c r="C325" s="559" t="str">
        <f t="shared" si="54"/>
        <v>-</v>
      </c>
      <c r="D325" s="697" t="str">
        <f t="shared" si="54"/>
        <v>-</v>
      </c>
      <c r="E325" s="697" t="str">
        <f t="shared" si="54"/>
        <v>-</v>
      </c>
      <c r="F325" s="697" t="str">
        <f t="shared" si="54"/>
        <v>-</v>
      </c>
      <c r="G325" s="697" t="str">
        <f t="shared" si="54"/>
        <v>-</v>
      </c>
      <c r="H325" s="697" t="str">
        <f t="shared" si="54"/>
        <v>-</v>
      </c>
      <c r="I325" s="336">
        <f t="shared" si="55"/>
        <v>0</v>
      </c>
    </row>
    <row r="326" spans="1:9" hidden="1">
      <c r="A326" s="265"/>
      <c r="B326" s="119">
        <f>'Background Controls'!I13</f>
        <v>0</v>
      </c>
      <c r="C326" s="559" t="str">
        <f t="shared" si="54"/>
        <v>-</v>
      </c>
      <c r="D326" s="697" t="str">
        <f t="shared" si="54"/>
        <v>-</v>
      </c>
      <c r="E326" s="697" t="str">
        <f t="shared" si="54"/>
        <v>-</v>
      </c>
      <c r="F326" s="697" t="str">
        <f t="shared" si="54"/>
        <v>-</v>
      </c>
      <c r="G326" s="697" t="str">
        <f t="shared" si="54"/>
        <v>-</v>
      </c>
      <c r="H326" s="697" t="str">
        <f t="shared" si="54"/>
        <v>-</v>
      </c>
      <c r="I326" s="336">
        <f t="shared" si="55"/>
        <v>0</v>
      </c>
    </row>
    <row r="327" spans="1:9" hidden="1">
      <c r="A327" s="265"/>
      <c r="B327" s="119">
        <f>'Background Controls'!I14</f>
        <v>0</v>
      </c>
      <c r="C327" s="559" t="str">
        <f t="shared" si="54"/>
        <v>-</v>
      </c>
      <c r="D327" s="697" t="str">
        <f t="shared" si="54"/>
        <v>-</v>
      </c>
      <c r="E327" s="697" t="str">
        <f t="shared" si="54"/>
        <v>-</v>
      </c>
      <c r="F327" s="697" t="str">
        <f t="shared" si="54"/>
        <v>-</v>
      </c>
      <c r="G327" s="697" t="str">
        <f t="shared" si="54"/>
        <v>-</v>
      </c>
      <c r="H327" s="697" t="str">
        <f t="shared" si="54"/>
        <v>-</v>
      </c>
      <c r="I327" s="336">
        <f t="shared" si="55"/>
        <v>0</v>
      </c>
    </row>
    <row r="328" spans="1:9" hidden="1">
      <c r="A328" s="265"/>
      <c r="B328" s="119">
        <f>'Background Controls'!I15</f>
        <v>0</v>
      </c>
      <c r="C328" s="559" t="str">
        <f t="shared" ref="C328:H337" si="56">IFERROR(C253*VLOOKUP(C$317, elec_control_factors,4, FALSE)*kWh_MWh*lb_mt*N2O_CO2e,"-")</f>
        <v>-</v>
      </c>
      <c r="D328" s="697" t="str">
        <f t="shared" si="56"/>
        <v>-</v>
      </c>
      <c r="E328" s="697" t="str">
        <f t="shared" si="56"/>
        <v>-</v>
      </c>
      <c r="F328" s="697" t="str">
        <f t="shared" si="56"/>
        <v>-</v>
      </c>
      <c r="G328" s="697" t="str">
        <f t="shared" si="56"/>
        <v>-</v>
      </c>
      <c r="H328" s="697" t="str">
        <f t="shared" si="56"/>
        <v>-</v>
      </c>
      <c r="I328" s="336">
        <f t="shared" si="55"/>
        <v>0</v>
      </c>
    </row>
    <row r="329" spans="1:9" hidden="1">
      <c r="A329" s="265"/>
      <c r="B329" s="119">
        <f>'Background Controls'!I16</f>
        <v>0</v>
      </c>
      <c r="C329" s="559" t="str">
        <f t="shared" si="56"/>
        <v>-</v>
      </c>
      <c r="D329" s="697" t="str">
        <f t="shared" si="56"/>
        <v>-</v>
      </c>
      <c r="E329" s="697" t="str">
        <f t="shared" si="56"/>
        <v>-</v>
      </c>
      <c r="F329" s="697" t="str">
        <f t="shared" si="56"/>
        <v>-</v>
      </c>
      <c r="G329" s="697" t="str">
        <f t="shared" si="56"/>
        <v>-</v>
      </c>
      <c r="H329" s="697" t="str">
        <f t="shared" si="56"/>
        <v>-</v>
      </c>
      <c r="I329" s="336">
        <f t="shared" si="55"/>
        <v>0</v>
      </c>
    </row>
    <row r="330" spans="1:9" hidden="1">
      <c r="A330" s="265"/>
      <c r="B330" s="119">
        <f>'Background Controls'!I17</f>
        <v>0</v>
      </c>
      <c r="C330" s="559" t="str">
        <f t="shared" si="56"/>
        <v>-</v>
      </c>
      <c r="D330" s="697" t="str">
        <f t="shared" si="56"/>
        <v>-</v>
      </c>
      <c r="E330" s="697" t="str">
        <f t="shared" si="56"/>
        <v>-</v>
      </c>
      <c r="F330" s="697" t="str">
        <f t="shared" si="56"/>
        <v>-</v>
      </c>
      <c r="G330" s="697" t="str">
        <f t="shared" si="56"/>
        <v>-</v>
      </c>
      <c r="H330" s="697" t="str">
        <f t="shared" si="56"/>
        <v>-</v>
      </c>
      <c r="I330" s="336">
        <f t="shared" si="55"/>
        <v>0</v>
      </c>
    </row>
    <row r="331" spans="1:9" hidden="1">
      <c r="A331" s="265"/>
      <c r="B331" s="119">
        <f>'Background Controls'!I18</f>
        <v>0</v>
      </c>
      <c r="C331" s="559" t="str">
        <f t="shared" si="56"/>
        <v>-</v>
      </c>
      <c r="D331" s="697" t="str">
        <f t="shared" si="56"/>
        <v>-</v>
      </c>
      <c r="E331" s="697" t="str">
        <f t="shared" si="56"/>
        <v>-</v>
      </c>
      <c r="F331" s="697" t="str">
        <f t="shared" si="56"/>
        <v>-</v>
      </c>
      <c r="G331" s="697" t="str">
        <f t="shared" si="56"/>
        <v>-</v>
      </c>
      <c r="H331" s="697" t="str">
        <f t="shared" si="56"/>
        <v>-</v>
      </c>
      <c r="I331" s="336">
        <f t="shared" si="55"/>
        <v>0</v>
      </c>
    </row>
    <row r="332" spans="1:9" hidden="1">
      <c r="A332" s="265"/>
      <c r="B332" s="119">
        <f>'Background Controls'!I19</f>
        <v>0</v>
      </c>
      <c r="C332" s="559" t="str">
        <f t="shared" si="56"/>
        <v>-</v>
      </c>
      <c r="D332" s="697" t="str">
        <f t="shared" si="56"/>
        <v>-</v>
      </c>
      <c r="E332" s="697" t="str">
        <f t="shared" si="56"/>
        <v>-</v>
      </c>
      <c r="F332" s="697" t="str">
        <f t="shared" si="56"/>
        <v>-</v>
      </c>
      <c r="G332" s="697" t="str">
        <f t="shared" si="56"/>
        <v>-</v>
      </c>
      <c r="H332" s="697" t="str">
        <f t="shared" si="56"/>
        <v>-</v>
      </c>
      <c r="I332" s="336">
        <f t="shared" si="55"/>
        <v>0</v>
      </c>
    </row>
    <row r="333" spans="1:9" hidden="1">
      <c r="A333" s="265"/>
      <c r="B333" s="119">
        <f>'Background Controls'!I20</f>
        <v>0</v>
      </c>
      <c r="C333" s="559" t="str">
        <f t="shared" si="56"/>
        <v>-</v>
      </c>
      <c r="D333" s="697" t="str">
        <f t="shared" si="56"/>
        <v>-</v>
      </c>
      <c r="E333" s="697" t="str">
        <f t="shared" si="56"/>
        <v>-</v>
      </c>
      <c r="F333" s="697" t="str">
        <f t="shared" si="56"/>
        <v>-</v>
      </c>
      <c r="G333" s="697" t="str">
        <f t="shared" si="56"/>
        <v>-</v>
      </c>
      <c r="H333" s="697" t="str">
        <f t="shared" si="56"/>
        <v>-</v>
      </c>
      <c r="I333" s="336">
        <f t="shared" si="55"/>
        <v>0</v>
      </c>
    </row>
    <row r="334" spans="1:9" hidden="1">
      <c r="A334" s="265"/>
      <c r="B334" s="119">
        <f>'Background Controls'!I21</f>
        <v>0</v>
      </c>
      <c r="C334" s="559" t="str">
        <f t="shared" si="56"/>
        <v>-</v>
      </c>
      <c r="D334" s="697" t="str">
        <f t="shared" si="56"/>
        <v>-</v>
      </c>
      <c r="E334" s="697" t="str">
        <f t="shared" si="56"/>
        <v>-</v>
      </c>
      <c r="F334" s="697" t="str">
        <f t="shared" si="56"/>
        <v>-</v>
      </c>
      <c r="G334" s="697" t="str">
        <f t="shared" si="56"/>
        <v>-</v>
      </c>
      <c r="H334" s="697" t="str">
        <f t="shared" si="56"/>
        <v>-</v>
      </c>
      <c r="I334" s="336">
        <f t="shared" si="55"/>
        <v>0</v>
      </c>
    </row>
    <row r="335" spans="1:9" hidden="1">
      <c r="A335" s="265"/>
      <c r="B335" s="119">
        <f>'Background Controls'!I22</f>
        <v>0</v>
      </c>
      <c r="C335" s="559" t="str">
        <f t="shared" si="56"/>
        <v>-</v>
      </c>
      <c r="D335" s="697" t="str">
        <f t="shared" si="56"/>
        <v>-</v>
      </c>
      <c r="E335" s="697" t="str">
        <f t="shared" si="56"/>
        <v>-</v>
      </c>
      <c r="F335" s="697" t="str">
        <f t="shared" si="56"/>
        <v>-</v>
      </c>
      <c r="G335" s="697" t="str">
        <f t="shared" si="56"/>
        <v>-</v>
      </c>
      <c r="H335" s="697" t="str">
        <f t="shared" si="56"/>
        <v>-</v>
      </c>
      <c r="I335" s="336">
        <f t="shared" si="55"/>
        <v>0</v>
      </c>
    </row>
    <row r="336" spans="1:9" hidden="1">
      <c r="A336" s="265"/>
      <c r="B336" s="119">
        <f>'Background Controls'!I23</f>
        <v>0</v>
      </c>
      <c r="C336" s="559" t="str">
        <f t="shared" si="56"/>
        <v>-</v>
      </c>
      <c r="D336" s="697" t="str">
        <f t="shared" si="56"/>
        <v>-</v>
      </c>
      <c r="E336" s="697" t="str">
        <f t="shared" si="56"/>
        <v>-</v>
      </c>
      <c r="F336" s="697" t="str">
        <f t="shared" si="56"/>
        <v>-</v>
      </c>
      <c r="G336" s="697" t="str">
        <f t="shared" si="56"/>
        <v>-</v>
      </c>
      <c r="H336" s="697" t="str">
        <f t="shared" si="56"/>
        <v>-</v>
      </c>
      <c r="I336" s="336">
        <f t="shared" si="55"/>
        <v>0</v>
      </c>
    </row>
    <row r="337" spans="1:13" hidden="1">
      <c r="A337" s="265"/>
      <c r="B337" s="119">
        <f>'Background Controls'!I24</f>
        <v>0</v>
      </c>
      <c r="C337" s="559" t="str">
        <f t="shared" si="56"/>
        <v>-</v>
      </c>
      <c r="D337" s="697" t="str">
        <f t="shared" si="56"/>
        <v>-</v>
      </c>
      <c r="E337" s="697" t="str">
        <f t="shared" si="56"/>
        <v>-</v>
      </c>
      <c r="F337" s="697" t="str">
        <f t="shared" si="56"/>
        <v>-</v>
      </c>
      <c r="G337" s="697" t="str">
        <f t="shared" si="56"/>
        <v>-</v>
      </c>
      <c r="H337" s="697" t="str">
        <f t="shared" si="56"/>
        <v>-</v>
      </c>
      <c r="I337" s="336">
        <f t="shared" si="55"/>
        <v>0</v>
      </c>
    </row>
    <row r="338" spans="1:13">
      <c r="A338" s="265"/>
      <c r="B338" s="892" t="s">
        <v>253</v>
      </c>
      <c r="C338" s="698">
        <f t="shared" ref="C338:H338" si="57">SUM(C318:C337)</f>
        <v>0</v>
      </c>
      <c r="D338" s="512">
        <f t="shared" si="57"/>
        <v>0</v>
      </c>
      <c r="E338" s="512">
        <f t="shared" si="57"/>
        <v>0</v>
      </c>
      <c r="F338" s="512">
        <f t="shared" si="57"/>
        <v>0</v>
      </c>
      <c r="G338" s="512">
        <f t="shared" si="57"/>
        <v>0</v>
      </c>
      <c r="H338" s="512">
        <f t="shared" si="57"/>
        <v>0</v>
      </c>
      <c r="I338" s="863">
        <f>SUM(I318:I337)</f>
        <v>0</v>
      </c>
      <c r="J338" s="353"/>
    </row>
    <row r="339" spans="1:13">
      <c r="A339" s="265"/>
    </row>
    <row r="340" spans="1:13">
      <c r="A340" s="265"/>
    </row>
    <row r="341" spans="1:13" ht="15" thickBot="1">
      <c r="A341" s="265"/>
    </row>
    <row r="342" spans="1:13" ht="65.150000000000006" customHeight="1" thickBot="1">
      <c r="A342" s="1037" t="s">
        <v>1</v>
      </c>
      <c r="B342" s="1038"/>
      <c r="C342" s="1038"/>
      <c r="D342" s="1038"/>
      <c r="E342" s="1038"/>
      <c r="F342" s="1038"/>
      <c r="G342" s="1038"/>
      <c r="H342" s="1038"/>
      <c r="I342" s="1038"/>
      <c r="J342" s="1038"/>
      <c r="K342" s="1038"/>
      <c r="L342" s="1038"/>
      <c r="M342" s="1039"/>
    </row>
  </sheetData>
  <mergeCells count="3">
    <mergeCell ref="B18:F18"/>
    <mergeCell ref="B62:E62"/>
    <mergeCell ref="A342:M342"/>
  </mergeCells>
  <hyperlinks>
    <hyperlink ref="A4:B4" location="elec_calcs_emissionsTable" display="Emissions by Department" xr:uid="{2FBF44FB-8AA6-4A80-B266-B3B4DA12EE2A}"/>
    <hyperlink ref="A6:B6" location="elec_calcs_elecTable" display="Electricity Use by Department" xr:uid="{BB9FE277-B864-47B6-A445-FA993A65ECA6}"/>
    <hyperlink ref="A8:B8" location="elec_calcs_back1" display="CO2 emissions by utility" xr:uid="{B14E72CC-7554-4244-A22D-EA2232C473A8}"/>
    <hyperlink ref="A9:B9" location="elec_calcs_back2" display="CH4 emissions by utility" xr:uid="{855E55D3-EF25-4178-83BF-C6E334D70DFE}"/>
    <hyperlink ref="A10:B10" location="elec_calcs_back3" display="N2O emissions by utility" xr:uid="{81485124-BAE1-4F18-98D6-DCF8D4121CAF}"/>
    <hyperlink ref="A11:C11" location="elec_calcs_back4" display="Activity data by department and utility" xr:uid="{F7957EE5-A460-49B7-B9E6-CBD53D166DFF}"/>
    <hyperlink ref="A12:C12" location="elec_calcs_back5" display="CO2 emissions by department and utility" xr:uid="{C97FB512-BFF5-4D74-BC69-A748166D11FF}"/>
    <hyperlink ref="A13:C13" location="elec_calcs_back6" display="CH4 emissions by department and utility" xr:uid="{2DD86327-3F20-48FB-927E-4E80F602BD76}"/>
    <hyperlink ref="A14:C14" location="elec_calcs_back7" display="N2O emissions by department and utility" xr:uid="{75ED1DCB-88A0-40B1-9913-0EA6E0B3870C}"/>
  </hyperlinks>
  <pageMargins left="0.7" right="0.7" top="0.75" bottom="0.75" header="0.3" footer="0.3"/>
  <pageSetup orientation="portrait"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theme="5"/>
  </sheetPr>
  <dimension ref="A1:S243"/>
  <sheetViews>
    <sheetView showGridLines="0" workbookViewId="0">
      <selection activeCell="E10" sqref="E10"/>
    </sheetView>
  </sheetViews>
  <sheetFormatPr defaultColWidth="8.81640625" defaultRowHeight="14.5"/>
  <cols>
    <col min="1" max="1" width="8.81640625" style="265"/>
    <col min="2" max="2" width="25.54296875" customWidth="1"/>
    <col min="3" max="3" width="16.453125" customWidth="1"/>
    <col min="4" max="4" width="18.26953125" customWidth="1"/>
    <col min="5" max="5" width="16.453125" customWidth="1"/>
    <col min="6" max="6" width="17.7265625" customWidth="1"/>
    <col min="7" max="7" width="16.453125" customWidth="1"/>
    <col min="8" max="8" width="19.453125" customWidth="1"/>
    <col min="9" max="9" width="14.1796875" customWidth="1"/>
    <col min="13" max="13" width="8.81640625" style="265"/>
    <col min="17" max="18" width="8.81640625" customWidth="1"/>
  </cols>
  <sheetData>
    <row r="1" spans="1:17" s="109" customFormat="1" ht="38.25" customHeight="1" thickBot="1">
      <c r="A1" s="488" t="s">
        <v>136</v>
      </c>
      <c r="B1" s="483"/>
      <c r="C1" s="483"/>
      <c r="D1" s="483"/>
      <c r="E1" s="483"/>
      <c r="F1" s="483"/>
      <c r="G1" s="483"/>
      <c r="H1" s="483"/>
      <c r="I1" s="483"/>
      <c r="J1" s="483"/>
      <c r="K1" s="483"/>
      <c r="L1" s="483"/>
      <c r="M1" s="308"/>
    </row>
    <row r="2" spans="1:17" s="109" customFormat="1">
      <c r="A2" s="268" t="s">
        <v>743</v>
      </c>
      <c r="B2"/>
      <c r="C2"/>
      <c r="D2"/>
      <c r="E2"/>
      <c r="F2"/>
      <c r="G2"/>
      <c r="H2"/>
      <c r="I2"/>
      <c r="J2"/>
      <c r="K2"/>
      <c r="L2"/>
      <c r="M2" s="308"/>
    </row>
    <row r="3" spans="1:17" s="109" customFormat="1">
      <c r="A3" s="265"/>
      <c r="B3"/>
      <c r="C3"/>
      <c r="D3"/>
      <c r="E3"/>
      <c r="F3"/>
      <c r="G3"/>
      <c r="H3"/>
      <c r="I3"/>
      <c r="J3"/>
      <c r="K3"/>
      <c r="L3"/>
      <c r="M3" s="308"/>
    </row>
    <row r="4" spans="1:17" s="109" customFormat="1">
      <c r="A4" s="265"/>
      <c r="B4"/>
      <c r="C4"/>
      <c r="D4"/>
      <c r="E4"/>
      <c r="F4"/>
      <c r="G4"/>
      <c r="H4"/>
      <c r="I4"/>
      <c r="J4"/>
      <c r="K4"/>
      <c r="L4"/>
      <c r="M4" s="308"/>
    </row>
    <row r="5" spans="1:17" s="109" customFormat="1">
      <c r="A5" s="265"/>
      <c r="B5"/>
      <c r="C5"/>
      <c r="D5"/>
      <c r="E5"/>
      <c r="F5"/>
      <c r="G5"/>
      <c r="H5"/>
      <c r="I5"/>
      <c r="J5"/>
      <c r="K5"/>
      <c r="L5"/>
      <c r="M5" s="308"/>
    </row>
    <row r="6" spans="1:17" s="109" customFormat="1">
      <c r="A6" s="265"/>
      <c r="B6"/>
      <c r="C6"/>
      <c r="D6"/>
      <c r="E6"/>
      <c r="F6"/>
      <c r="G6"/>
      <c r="H6"/>
      <c r="I6"/>
      <c r="J6"/>
      <c r="K6"/>
      <c r="L6"/>
      <c r="M6" s="308"/>
    </row>
    <row r="7" spans="1:17" s="109" customFormat="1">
      <c r="A7" s="265"/>
      <c r="B7"/>
      <c r="C7"/>
      <c r="D7"/>
      <c r="E7"/>
      <c r="F7"/>
      <c r="G7"/>
      <c r="H7"/>
      <c r="I7"/>
      <c r="J7"/>
      <c r="K7"/>
      <c r="L7"/>
      <c r="M7" s="308"/>
    </row>
    <row r="8" spans="1:17" s="109" customFormat="1">
      <c r="A8" s="265"/>
      <c r="B8"/>
      <c r="C8"/>
      <c r="D8"/>
      <c r="E8"/>
      <c r="F8"/>
      <c r="G8"/>
      <c r="H8"/>
      <c r="I8"/>
      <c r="J8"/>
      <c r="K8"/>
      <c r="L8"/>
      <c r="M8" s="308"/>
    </row>
    <row r="9" spans="1:17" s="109" customFormat="1">
      <c r="A9" s="265"/>
      <c r="B9"/>
      <c r="C9"/>
      <c r="D9"/>
      <c r="E9"/>
      <c r="F9"/>
      <c r="G9"/>
      <c r="H9"/>
      <c r="I9"/>
      <c r="J9"/>
      <c r="K9"/>
      <c r="L9"/>
      <c r="M9" s="308"/>
    </row>
    <row r="10" spans="1:17" s="109" customFormat="1">
      <c r="A10" s="265"/>
      <c r="B10" s="1" t="s">
        <v>744</v>
      </c>
      <c r="C10"/>
      <c r="D10"/>
      <c r="E10"/>
      <c r="F10"/>
      <c r="G10"/>
      <c r="H10"/>
      <c r="I10"/>
      <c r="J10"/>
      <c r="K10"/>
      <c r="L10"/>
      <c r="M10" s="308"/>
    </row>
    <row r="11" spans="1:17" s="109" customFormat="1">
      <c r="A11" s="265"/>
      <c r="B11"/>
      <c r="C11"/>
      <c r="D11"/>
      <c r="E11"/>
      <c r="F11"/>
      <c r="G11"/>
      <c r="H11"/>
      <c r="I11"/>
      <c r="J11"/>
      <c r="K11"/>
      <c r="L11"/>
      <c r="M11" s="308"/>
    </row>
    <row r="12" spans="1:17" s="109" customFormat="1">
      <c r="A12" s="265"/>
      <c r="B12" s="1" t="s">
        <v>745</v>
      </c>
      <c r="C12"/>
      <c r="D12"/>
      <c r="E12"/>
      <c r="F12"/>
      <c r="G12"/>
      <c r="H12"/>
      <c r="I12"/>
      <c r="J12"/>
      <c r="K12"/>
      <c r="L12"/>
      <c r="M12" s="308"/>
    </row>
    <row r="13" spans="1:17" s="109" customFormat="1">
      <c r="A13" s="265"/>
      <c r="B13"/>
      <c r="C13"/>
      <c r="D13"/>
      <c r="E13"/>
      <c r="F13"/>
      <c r="G13"/>
      <c r="H13"/>
      <c r="I13"/>
      <c r="J13"/>
      <c r="K13"/>
      <c r="L13"/>
      <c r="M13" s="308"/>
      <c r="Q13" s="753">
        <v>1</v>
      </c>
    </row>
    <row r="14" spans="1:17" s="109" customFormat="1">
      <c r="A14" s="284"/>
      <c r="B14"/>
      <c r="C14"/>
      <c r="D14"/>
      <c r="E14"/>
      <c r="F14"/>
      <c r="G14"/>
      <c r="H14"/>
      <c r="I14"/>
      <c r="J14"/>
      <c r="K14"/>
      <c r="L14"/>
      <c r="M14" s="308"/>
    </row>
    <row r="15" spans="1:17" s="109" customFormat="1" hidden="1">
      <c r="A15" s="284" t="str">
        <f>IF($Q$13=2, "Show", "Hide")</f>
        <v>Hide</v>
      </c>
      <c r="B15" s="238" t="s">
        <v>746</v>
      </c>
      <c r="C15"/>
      <c r="D15"/>
      <c r="E15"/>
      <c r="F15"/>
      <c r="G15"/>
      <c r="H15"/>
      <c r="I15"/>
      <c r="J15"/>
      <c r="K15"/>
      <c r="L15"/>
      <c r="M15" s="308"/>
    </row>
    <row r="16" spans="1:17" s="109" customFormat="1" hidden="1">
      <c r="A16" s="284" t="str">
        <f>IF($Q$13=2, "Show", "Hide")</f>
        <v>Hide</v>
      </c>
      <c r="B16"/>
      <c r="C16"/>
      <c r="D16"/>
      <c r="E16"/>
      <c r="F16"/>
      <c r="G16"/>
      <c r="H16"/>
      <c r="I16"/>
      <c r="J16"/>
      <c r="K16"/>
      <c r="L16"/>
      <c r="M16" s="308"/>
    </row>
    <row r="17" spans="1:13" s="109" customFormat="1">
      <c r="A17" s="284"/>
      <c r="B17" s="1" t="s">
        <v>747</v>
      </c>
      <c r="C17"/>
      <c r="D17"/>
      <c r="E17"/>
      <c r="F17"/>
      <c r="G17"/>
      <c r="H17"/>
      <c r="I17"/>
      <c r="J17"/>
      <c r="K17"/>
      <c r="L17"/>
      <c r="M17" s="308"/>
    </row>
    <row r="18" spans="1:13" s="109" customFormat="1">
      <c r="A18" s="284"/>
      <c r="B18" s="57" t="s">
        <v>748</v>
      </c>
      <c r="C18"/>
      <c r="D18"/>
      <c r="E18"/>
      <c r="F18"/>
      <c r="G18"/>
      <c r="H18"/>
      <c r="I18"/>
      <c r="J18"/>
      <c r="K18"/>
      <c r="L18"/>
      <c r="M18" s="308"/>
    </row>
    <row r="19" spans="1:13" s="109" customFormat="1">
      <c r="A19" s="284"/>
      <c r="B19" s="892" t="s">
        <v>749</v>
      </c>
      <c r="C19" s="900"/>
      <c r="D19"/>
      <c r="E19"/>
      <c r="F19"/>
      <c r="G19"/>
      <c r="H19"/>
      <c r="I19"/>
      <c r="J19"/>
      <c r="K19"/>
      <c r="L19"/>
      <c r="M19" s="308"/>
    </row>
    <row r="20" spans="1:13" s="109" customFormat="1">
      <c r="A20" s="284"/>
      <c r="B20" s="892" t="s">
        <v>750</v>
      </c>
      <c r="C20" s="920">
        <f>C21-C19</f>
        <v>1</v>
      </c>
      <c r="D20"/>
      <c r="E20"/>
      <c r="F20"/>
      <c r="G20"/>
      <c r="H20"/>
      <c r="I20"/>
      <c r="J20"/>
      <c r="K20"/>
      <c r="L20"/>
      <c r="M20" s="308"/>
    </row>
    <row r="21" spans="1:13" s="109" customFormat="1">
      <c r="A21" s="284"/>
      <c r="B21" s="860" t="s">
        <v>253</v>
      </c>
      <c r="C21" s="905">
        <v>1</v>
      </c>
      <c r="D21"/>
      <c r="E21"/>
      <c r="F21"/>
      <c r="G21"/>
      <c r="H21"/>
      <c r="I21"/>
      <c r="J21"/>
      <c r="K21"/>
      <c r="L21"/>
      <c r="M21" s="308"/>
    </row>
    <row r="22" spans="1:13" s="109" customFormat="1">
      <c r="A22" s="284"/>
      <c r="B22"/>
      <c r="C22"/>
      <c r="D22"/>
      <c r="E22"/>
      <c r="F22"/>
      <c r="G22"/>
      <c r="H22"/>
      <c r="I22"/>
      <c r="J22"/>
      <c r="K22"/>
      <c r="L22"/>
      <c r="M22" s="308"/>
    </row>
    <row r="23" spans="1:13" s="109" customFormat="1">
      <c r="A23" s="284"/>
      <c r="B23" s="1" t="s">
        <v>751</v>
      </c>
      <c r="C23"/>
      <c r="D23"/>
      <c r="E23"/>
      <c r="F23"/>
      <c r="G23"/>
      <c r="H23"/>
      <c r="I23"/>
      <c r="J23"/>
      <c r="K23"/>
      <c r="L23"/>
      <c r="M23" s="308"/>
    </row>
    <row r="24" spans="1:13" s="109" customFormat="1">
      <c r="A24" s="284"/>
      <c r="B24" s="57" t="s">
        <v>752</v>
      </c>
      <c r="C24"/>
      <c r="D24"/>
      <c r="E24"/>
      <c r="F24"/>
      <c r="G24"/>
      <c r="H24"/>
      <c r="I24"/>
      <c r="J24"/>
      <c r="K24"/>
      <c r="L24"/>
      <c r="M24" s="308"/>
    </row>
    <row r="25" spans="1:13" s="109" customFormat="1">
      <c r="A25" s="284"/>
      <c r="B25" s="57"/>
      <c r="C25"/>
      <c r="D25"/>
      <c r="E25"/>
      <c r="F25"/>
      <c r="G25"/>
      <c r="H25"/>
      <c r="I25"/>
      <c r="J25"/>
      <c r="K25"/>
      <c r="L25"/>
      <c r="M25" s="308"/>
    </row>
    <row r="26" spans="1:13" s="109" customFormat="1">
      <c r="A26" s="284"/>
      <c r="B26" s="57"/>
      <c r="C26"/>
      <c r="D26"/>
      <c r="E26"/>
      <c r="F26"/>
      <c r="G26"/>
      <c r="H26"/>
      <c r="I26"/>
      <c r="J26"/>
      <c r="K26"/>
      <c r="L26"/>
      <c r="M26" s="308"/>
    </row>
    <row r="27" spans="1:13" s="109" customFormat="1">
      <c r="A27" s="284"/>
      <c r="B27" s="840" t="s">
        <v>152</v>
      </c>
      <c r="C27" s="853" t="s">
        <v>753</v>
      </c>
      <c r="D27" s="551"/>
      <c r="E27"/>
      <c r="F27"/>
      <c r="G27"/>
      <c r="H27"/>
      <c r="I27"/>
      <c r="J27"/>
      <c r="K27"/>
      <c r="L27"/>
      <c r="M27" s="308"/>
    </row>
    <row r="28" spans="1:13" s="109" customFormat="1">
      <c r="A28" s="284" t="s">
        <v>101</v>
      </c>
      <c r="B28" s="860" t="str">
        <f>'Background Controls'!I5</f>
        <v>Residential</v>
      </c>
      <c r="C28" s="842"/>
      <c r="D28" s="552"/>
      <c r="E28" s="340"/>
      <c r="F28"/>
      <c r="G28"/>
      <c r="H28"/>
      <c r="I28"/>
      <c r="J28"/>
      <c r="K28"/>
      <c r="L28"/>
      <c r="M28" s="308"/>
    </row>
    <row r="29" spans="1:13" s="109" customFormat="1">
      <c r="A29" s="284"/>
      <c r="B29" s="860" t="str">
        <f>'Background Controls'!I6</f>
        <v>Commercial/Institutional</v>
      </c>
      <c r="C29" s="842"/>
      <c r="D29" s="552"/>
      <c r="E29" s="340"/>
      <c r="F29"/>
      <c r="G29"/>
      <c r="H29"/>
      <c r="I29"/>
      <c r="J29"/>
      <c r="K29"/>
      <c r="L29"/>
      <c r="M29" s="308"/>
    </row>
    <row r="30" spans="1:13" s="109" customFormat="1">
      <c r="A30" s="284"/>
      <c r="B30" s="860" t="str">
        <f>'Background Controls'!I7</f>
        <v>Industrial</v>
      </c>
      <c r="C30" s="842"/>
      <c r="D30" s="552"/>
      <c r="E30" s="340"/>
      <c r="F30"/>
      <c r="G30"/>
      <c r="H30"/>
      <c r="I30"/>
      <c r="J30"/>
      <c r="K30"/>
      <c r="L30"/>
      <c r="M30" s="308"/>
    </row>
    <row r="31" spans="1:13" s="109" customFormat="1">
      <c r="A31" s="284"/>
      <c r="B31" s="860" t="str">
        <f>'Background Controls'!I8</f>
        <v>Energy Generation</v>
      </c>
      <c r="C31" s="842"/>
      <c r="D31" s="552"/>
      <c r="E31" s="340"/>
      <c r="F31"/>
      <c r="G31"/>
      <c r="H31"/>
      <c r="I31"/>
      <c r="J31"/>
      <c r="K31"/>
      <c r="L31"/>
      <c r="M31" s="308"/>
    </row>
    <row r="32" spans="1:13" s="109" customFormat="1" hidden="1">
      <c r="A32" s="284"/>
      <c r="B32" s="860">
        <f>'Background Controls'!I9</f>
        <v>0</v>
      </c>
      <c r="C32" s="842"/>
      <c r="D32" s="552"/>
      <c r="E32" s="340"/>
      <c r="F32"/>
      <c r="G32"/>
      <c r="H32"/>
      <c r="I32"/>
      <c r="J32"/>
      <c r="K32"/>
      <c r="L32"/>
      <c r="M32" s="308"/>
    </row>
    <row r="33" spans="1:13" s="109" customFormat="1" hidden="1">
      <c r="A33" s="284"/>
      <c r="B33" s="860">
        <f>'Background Controls'!I10</f>
        <v>0</v>
      </c>
      <c r="C33" s="842"/>
      <c r="D33" s="552"/>
      <c r="E33" s="340"/>
      <c r="F33"/>
      <c r="G33"/>
      <c r="H33"/>
      <c r="I33"/>
      <c r="J33"/>
      <c r="K33"/>
      <c r="L33"/>
      <c r="M33" s="308"/>
    </row>
    <row r="34" spans="1:13" s="109" customFormat="1" hidden="1">
      <c r="A34" s="284"/>
      <c r="B34" s="860">
        <f>'Background Controls'!I11</f>
        <v>0</v>
      </c>
      <c r="C34" s="842"/>
      <c r="D34" s="552"/>
      <c r="E34" s="340"/>
      <c r="F34"/>
      <c r="G34"/>
      <c r="H34"/>
      <c r="I34"/>
      <c r="J34"/>
      <c r="K34"/>
      <c r="L34"/>
      <c r="M34" s="308"/>
    </row>
    <row r="35" spans="1:13" s="109" customFormat="1" hidden="1">
      <c r="A35" s="284"/>
      <c r="B35" s="860">
        <f>'Background Controls'!I12</f>
        <v>0</v>
      </c>
      <c r="C35" s="842"/>
      <c r="D35" s="552"/>
      <c r="E35" s="340"/>
      <c r="F35"/>
      <c r="G35"/>
      <c r="H35"/>
      <c r="I35"/>
      <c r="J35"/>
      <c r="K35"/>
      <c r="L35"/>
      <c r="M35" s="308"/>
    </row>
    <row r="36" spans="1:13" s="109" customFormat="1" hidden="1">
      <c r="A36" s="284"/>
      <c r="B36" s="860">
        <f>'Background Controls'!I13</f>
        <v>0</v>
      </c>
      <c r="C36" s="842"/>
      <c r="D36" s="552"/>
      <c r="E36" s="340"/>
      <c r="F36"/>
      <c r="G36"/>
      <c r="H36"/>
      <c r="I36"/>
      <c r="J36"/>
      <c r="K36"/>
      <c r="L36"/>
      <c r="M36" s="308"/>
    </row>
    <row r="37" spans="1:13" s="109" customFormat="1" hidden="1">
      <c r="A37" s="284"/>
      <c r="B37" s="860">
        <f>'Background Controls'!I14</f>
        <v>0</v>
      </c>
      <c r="C37" s="842"/>
      <c r="D37" s="552"/>
      <c r="E37" s="340"/>
      <c r="F37"/>
      <c r="G37"/>
      <c r="H37"/>
      <c r="I37"/>
      <c r="J37"/>
      <c r="K37"/>
      <c r="L37"/>
      <c r="M37" s="308"/>
    </row>
    <row r="38" spans="1:13" s="109" customFormat="1" hidden="1">
      <c r="A38" s="284"/>
      <c r="B38" s="860">
        <f>'Background Controls'!I15</f>
        <v>0</v>
      </c>
      <c r="C38" s="842"/>
      <c r="D38" s="552"/>
      <c r="E38" s="340"/>
      <c r="F38"/>
      <c r="G38"/>
      <c r="H38"/>
      <c r="I38"/>
      <c r="J38"/>
      <c r="K38"/>
      <c r="L38"/>
      <c r="M38" s="308"/>
    </row>
    <row r="39" spans="1:13" s="109" customFormat="1" hidden="1">
      <c r="A39" s="284"/>
      <c r="B39" s="860">
        <f>'Background Controls'!I16</f>
        <v>0</v>
      </c>
      <c r="C39" s="842"/>
      <c r="D39" s="552"/>
      <c r="E39" s="340"/>
      <c r="F39"/>
      <c r="G39"/>
      <c r="H39"/>
      <c r="I39"/>
      <c r="J39"/>
      <c r="K39"/>
      <c r="L39"/>
      <c r="M39" s="308"/>
    </row>
    <row r="40" spans="1:13" s="109" customFormat="1" hidden="1">
      <c r="A40" s="284"/>
      <c r="B40" s="860">
        <f>'Background Controls'!I17</f>
        <v>0</v>
      </c>
      <c r="C40" s="842"/>
      <c r="D40" s="552"/>
      <c r="E40" s="340"/>
      <c r="F40"/>
      <c r="G40"/>
      <c r="H40"/>
      <c r="I40"/>
      <c r="J40"/>
      <c r="K40"/>
      <c r="L40"/>
      <c r="M40" s="308"/>
    </row>
    <row r="41" spans="1:13" s="109" customFormat="1" hidden="1">
      <c r="A41" s="284"/>
      <c r="B41" s="860">
        <f>'Background Controls'!I18</f>
        <v>0</v>
      </c>
      <c r="C41" s="842"/>
      <c r="D41" s="552"/>
      <c r="E41" s="340"/>
      <c r="F41"/>
      <c r="G41"/>
      <c r="H41"/>
      <c r="I41"/>
      <c r="J41"/>
      <c r="K41"/>
      <c r="L41"/>
      <c r="M41" s="308"/>
    </row>
    <row r="42" spans="1:13" s="109" customFormat="1" hidden="1">
      <c r="A42" s="284"/>
      <c r="B42" s="860">
        <f>'Background Controls'!I19</f>
        <v>0</v>
      </c>
      <c r="C42" s="842"/>
      <c r="D42" s="552"/>
      <c r="E42" s="340"/>
      <c r="F42"/>
      <c r="G42"/>
      <c r="H42"/>
      <c r="I42"/>
      <c r="J42"/>
      <c r="K42"/>
      <c r="L42"/>
      <c r="M42" s="308"/>
    </row>
    <row r="43" spans="1:13" s="109" customFormat="1" hidden="1">
      <c r="A43" s="284"/>
      <c r="B43" s="860">
        <f>'Background Controls'!I20</f>
        <v>0</v>
      </c>
      <c r="C43" s="842"/>
      <c r="D43" s="552"/>
      <c r="E43" s="340"/>
      <c r="F43"/>
      <c r="G43"/>
      <c r="H43"/>
      <c r="I43"/>
      <c r="J43"/>
      <c r="K43"/>
      <c r="L43"/>
      <c r="M43" s="308"/>
    </row>
    <row r="44" spans="1:13" s="109" customFormat="1" hidden="1">
      <c r="A44" s="284"/>
      <c r="B44" s="860">
        <f>'Background Controls'!I21</f>
        <v>0</v>
      </c>
      <c r="C44" s="842"/>
      <c r="D44" s="552"/>
      <c r="E44" s="340"/>
      <c r="F44"/>
      <c r="G44"/>
      <c r="H44"/>
      <c r="I44"/>
      <c r="J44"/>
      <c r="K44"/>
      <c r="L44"/>
      <c r="M44" s="308"/>
    </row>
    <row r="45" spans="1:13" s="109" customFormat="1" hidden="1">
      <c r="A45" s="284"/>
      <c r="B45" s="860">
        <f>'Background Controls'!I22</f>
        <v>0</v>
      </c>
      <c r="C45" s="842"/>
      <c r="D45" s="552"/>
      <c r="E45" s="340"/>
      <c r="F45"/>
      <c r="G45"/>
      <c r="H45"/>
      <c r="I45"/>
      <c r="J45"/>
      <c r="K45"/>
      <c r="L45"/>
      <c r="M45" s="308"/>
    </row>
    <row r="46" spans="1:13" s="109" customFormat="1" hidden="1">
      <c r="A46" s="284"/>
      <c r="B46" s="860">
        <f>'Background Controls'!I23</f>
        <v>0</v>
      </c>
      <c r="C46" s="842"/>
      <c r="D46" s="552"/>
      <c r="E46" s="340"/>
      <c r="F46"/>
      <c r="G46"/>
      <c r="H46"/>
      <c r="I46"/>
      <c r="J46"/>
      <c r="K46"/>
      <c r="L46"/>
      <c r="M46" s="308"/>
    </row>
    <row r="47" spans="1:13" s="109" customFormat="1" hidden="1">
      <c r="A47" s="284"/>
      <c r="B47" s="860">
        <f>'Background Controls'!I24</f>
        <v>0</v>
      </c>
      <c r="C47" s="842"/>
      <c r="D47" s="552"/>
      <c r="E47" s="340"/>
      <c r="F47"/>
      <c r="G47"/>
      <c r="H47"/>
      <c r="I47"/>
      <c r="J47"/>
      <c r="K47"/>
      <c r="L47"/>
      <c r="M47" s="308"/>
    </row>
    <row r="48" spans="1:13" s="109" customFormat="1">
      <c r="A48" s="284"/>
      <c r="B48"/>
      <c r="C48"/>
      <c r="D48"/>
      <c r="E48"/>
      <c r="F48"/>
      <c r="G48"/>
      <c r="H48"/>
      <c r="I48"/>
      <c r="J48"/>
      <c r="K48"/>
      <c r="L48"/>
      <c r="M48" s="308"/>
    </row>
    <row r="49" spans="1:13" s="109" customFormat="1" ht="18.5">
      <c r="A49" s="283" t="s">
        <v>754</v>
      </c>
      <c r="B49"/>
      <c r="C49"/>
      <c r="D49"/>
      <c r="E49"/>
      <c r="F49"/>
      <c r="G49"/>
      <c r="H49"/>
      <c r="I49"/>
      <c r="J49"/>
      <c r="K49"/>
      <c r="L49"/>
      <c r="M49" s="308"/>
    </row>
    <row r="50" spans="1:13" s="109" customFormat="1">
      <c r="A50" s="284"/>
      <c r="B50"/>
      <c r="C50"/>
      <c r="D50"/>
      <c r="E50"/>
      <c r="F50"/>
      <c r="G50"/>
      <c r="H50"/>
      <c r="I50"/>
      <c r="J50"/>
      <c r="K50"/>
      <c r="L50"/>
      <c r="M50" s="308"/>
    </row>
    <row r="51" spans="1:13" s="109" customFormat="1" ht="16.5">
      <c r="A51" s="284"/>
      <c r="B51" s="1074" t="s">
        <v>755</v>
      </c>
      <c r="C51" s="1075"/>
      <c r="D51" s="1075"/>
      <c r="E51" s="1075"/>
      <c r="F51" s="1076"/>
      <c r="G51"/>
      <c r="H51"/>
      <c r="I51"/>
      <c r="J51"/>
      <c r="K51"/>
      <c r="L51"/>
      <c r="M51" s="308"/>
    </row>
    <row r="52" spans="1:13" s="109" customFormat="1" ht="16.5">
      <c r="A52" s="284"/>
      <c r="B52" s="853" t="s">
        <v>152</v>
      </c>
      <c r="C52" s="193" t="s">
        <v>16</v>
      </c>
      <c r="D52" s="193" t="s">
        <v>20</v>
      </c>
      <c r="E52" s="193" t="s">
        <v>73</v>
      </c>
      <c r="F52" s="853" t="s">
        <v>263</v>
      </c>
      <c r="G52"/>
      <c r="H52"/>
      <c r="I52"/>
      <c r="J52"/>
      <c r="K52"/>
      <c r="L52"/>
      <c r="M52" s="308"/>
    </row>
    <row r="53" spans="1:13" s="109" customFormat="1">
      <c r="A53" s="284" t="s">
        <v>101</v>
      </c>
      <c r="B53" s="99" t="str">
        <f>'Background Controls'!I5</f>
        <v>Residential</v>
      </c>
      <c r="C53" s="242" t="str">
        <f>IF(ISERROR(D160),"",D160)</f>
        <v>-</v>
      </c>
      <c r="D53" s="242" t="str">
        <f>IF(ISERROR(D187),"",D187)</f>
        <v>-</v>
      </c>
      <c r="E53" s="242" t="str">
        <f>IF(ISERROR(D214),"",D214)</f>
        <v>-</v>
      </c>
      <c r="F53" s="243">
        <f>SUM(C53:E53)</f>
        <v>0</v>
      </c>
      <c r="G53" s="340"/>
      <c r="H53" s="340"/>
      <c r="I53"/>
      <c r="J53"/>
      <c r="K53"/>
      <c r="L53"/>
      <c r="M53" s="308"/>
    </row>
    <row r="54" spans="1:13" s="109" customFormat="1">
      <c r="A54" s="284"/>
      <c r="B54" s="99" t="str">
        <f>'Background Controls'!I6</f>
        <v>Commercial/Institutional</v>
      </c>
      <c r="C54" s="242" t="str">
        <f t="shared" ref="C54:C72" si="0">D161</f>
        <v>-</v>
      </c>
      <c r="D54" s="242" t="str">
        <f t="shared" ref="D54:D72" si="1">D188</f>
        <v>-</v>
      </c>
      <c r="E54" s="242" t="str">
        <f t="shared" ref="E54:E72" si="2">D215</f>
        <v>-</v>
      </c>
      <c r="F54" s="243">
        <f t="shared" ref="F54:F72" si="3">SUM(C54:E54)</f>
        <v>0</v>
      </c>
      <c r="G54" s="340"/>
      <c r="H54" s="340"/>
      <c r="I54"/>
      <c r="J54"/>
      <c r="K54"/>
      <c r="L54"/>
      <c r="M54" s="308"/>
    </row>
    <row r="55" spans="1:13" s="109" customFormat="1">
      <c r="A55" s="284"/>
      <c r="B55" s="99" t="str">
        <f>'Background Controls'!I7</f>
        <v>Industrial</v>
      </c>
      <c r="C55" s="242" t="str">
        <f t="shared" si="0"/>
        <v>-</v>
      </c>
      <c r="D55" s="242" t="str">
        <f t="shared" si="1"/>
        <v>-</v>
      </c>
      <c r="E55" s="242" t="str">
        <f t="shared" si="2"/>
        <v>-</v>
      </c>
      <c r="F55" s="243">
        <f t="shared" si="3"/>
        <v>0</v>
      </c>
      <c r="G55" s="340"/>
      <c r="H55" s="340"/>
      <c r="I55"/>
      <c r="J55"/>
      <c r="K55"/>
      <c r="L55"/>
      <c r="M55" s="308"/>
    </row>
    <row r="56" spans="1:13" s="109" customFormat="1">
      <c r="A56" s="284"/>
      <c r="B56" s="99" t="str">
        <f>'Background Controls'!I8</f>
        <v>Energy Generation</v>
      </c>
      <c r="C56" s="242" t="str">
        <f t="shared" si="0"/>
        <v>-</v>
      </c>
      <c r="D56" s="242" t="str">
        <f t="shared" si="1"/>
        <v>-</v>
      </c>
      <c r="E56" s="242" t="str">
        <f t="shared" si="2"/>
        <v>-</v>
      </c>
      <c r="F56" s="243">
        <f t="shared" si="3"/>
        <v>0</v>
      </c>
      <c r="G56" s="340"/>
      <c r="H56" s="340"/>
      <c r="I56"/>
      <c r="J56"/>
      <c r="K56"/>
      <c r="L56"/>
      <c r="M56" s="308"/>
    </row>
    <row r="57" spans="1:13" s="109" customFormat="1" hidden="1">
      <c r="A57" s="284"/>
      <c r="B57" s="99">
        <f>'Background Controls'!I9</f>
        <v>0</v>
      </c>
      <c r="C57" s="242" t="str">
        <f t="shared" si="0"/>
        <v>-</v>
      </c>
      <c r="D57" s="242" t="str">
        <f t="shared" si="1"/>
        <v>-</v>
      </c>
      <c r="E57" s="242" t="str">
        <f t="shared" si="2"/>
        <v>-</v>
      </c>
      <c r="F57" s="243">
        <f t="shared" si="3"/>
        <v>0</v>
      </c>
      <c r="G57" s="340"/>
      <c r="H57" s="340"/>
      <c r="I57"/>
      <c r="J57"/>
      <c r="K57"/>
      <c r="L57"/>
      <c r="M57" s="308"/>
    </row>
    <row r="58" spans="1:13" s="109" customFormat="1" hidden="1">
      <c r="A58" s="284"/>
      <c r="B58" s="99">
        <f>'Background Controls'!I10</f>
        <v>0</v>
      </c>
      <c r="C58" s="242" t="str">
        <f t="shared" si="0"/>
        <v>-</v>
      </c>
      <c r="D58" s="242" t="str">
        <f t="shared" si="1"/>
        <v>-</v>
      </c>
      <c r="E58" s="242" t="str">
        <f t="shared" si="2"/>
        <v>-</v>
      </c>
      <c r="F58" s="243">
        <f t="shared" si="3"/>
        <v>0</v>
      </c>
      <c r="G58" s="340"/>
      <c r="H58" s="340"/>
      <c r="I58"/>
      <c r="J58"/>
      <c r="K58"/>
      <c r="L58"/>
      <c r="M58" s="308"/>
    </row>
    <row r="59" spans="1:13" s="109" customFormat="1" hidden="1">
      <c r="A59" s="284"/>
      <c r="B59" s="99">
        <f>'Background Controls'!I11</f>
        <v>0</v>
      </c>
      <c r="C59" s="242" t="str">
        <f t="shared" si="0"/>
        <v>-</v>
      </c>
      <c r="D59" s="242" t="str">
        <f t="shared" si="1"/>
        <v>-</v>
      </c>
      <c r="E59" s="242" t="str">
        <f t="shared" si="2"/>
        <v>-</v>
      </c>
      <c r="F59" s="243">
        <f t="shared" si="3"/>
        <v>0</v>
      </c>
      <c r="G59" s="340"/>
      <c r="H59" s="340"/>
      <c r="I59"/>
      <c r="J59"/>
      <c r="K59"/>
      <c r="L59"/>
      <c r="M59" s="308"/>
    </row>
    <row r="60" spans="1:13" s="109" customFormat="1" hidden="1">
      <c r="A60" s="284"/>
      <c r="B60" s="99">
        <f>'Background Controls'!I12</f>
        <v>0</v>
      </c>
      <c r="C60" s="242" t="str">
        <f t="shared" si="0"/>
        <v>-</v>
      </c>
      <c r="D60" s="242" t="str">
        <f t="shared" si="1"/>
        <v>-</v>
      </c>
      <c r="E60" s="242" t="str">
        <f t="shared" si="2"/>
        <v>-</v>
      </c>
      <c r="F60" s="243">
        <f t="shared" si="3"/>
        <v>0</v>
      </c>
      <c r="G60" s="340"/>
      <c r="H60" s="340"/>
      <c r="I60"/>
      <c r="J60"/>
      <c r="K60"/>
      <c r="L60"/>
      <c r="M60" s="308"/>
    </row>
    <row r="61" spans="1:13" s="109" customFormat="1" hidden="1">
      <c r="A61" s="284"/>
      <c r="B61" s="99">
        <f>'Background Controls'!I13</f>
        <v>0</v>
      </c>
      <c r="C61" s="242" t="str">
        <f t="shared" si="0"/>
        <v>-</v>
      </c>
      <c r="D61" s="242" t="str">
        <f t="shared" si="1"/>
        <v>-</v>
      </c>
      <c r="E61" s="242" t="str">
        <f t="shared" si="2"/>
        <v>-</v>
      </c>
      <c r="F61" s="243">
        <f t="shared" si="3"/>
        <v>0</v>
      </c>
      <c r="G61" s="340"/>
      <c r="H61" s="340"/>
      <c r="I61"/>
      <c r="J61"/>
      <c r="K61"/>
      <c r="L61"/>
      <c r="M61" s="308"/>
    </row>
    <row r="62" spans="1:13" s="109" customFormat="1" hidden="1">
      <c r="A62" s="284"/>
      <c r="B62" s="99">
        <f>'Background Controls'!I14</f>
        <v>0</v>
      </c>
      <c r="C62" s="242" t="str">
        <f t="shared" si="0"/>
        <v>-</v>
      </c>
      <c r="D62" s="242" t="str">
        <f t="shared" si="1"/>
        <v>-</v>
      </c>
      <c r="E62" s="242" t="str">
        <f t="shared" si="2"/>
        <v>-</v>
      </c>
      <c r="F62" s="243">
        <f t="shared" si="3"/>
        <v>0</v>
      </c>
      <c r="G62" s="340"/>
      <c r="H62" s="340"/>
      <c r="I62"/>
      <c r="J62"/>
      <c r="K62"/>
      <c r="L62"/>
      <c r="M62" s="308"/>
    </row>
    <row r="63" spans="1:13" s="109" customFormat="1" hidden="1">
      <c r="A63" s="284"/>
      <c r="B63" s="99">
        <f>'Background Controls'!I15</f>
        <v>0</v>
      </c>
      <c r="C63" s="242" t="str">
        <f t="shared" si="0"/>
        <v>-</v>
      </c>
      <c r="D63" s="242" t="str">
        <f t="shared" si="1"/>
        <v>-</v>
      </c>
      <c r="E63" s="242" t="str">
        <f t="shared" si="2"/>
        <v>-</v>
      </c>
      <c r="F63" s="243">
        <f t="shared" si="3"/>
        <v>0</v>
      </c>
      <c r="G63" s="340"/>
      <c r="H63" s="340"/>
      <c r="I63"/>
      <c r="J63"/>
      <c r="K63"/>
      <c r="L63"/>
      <c r="M63" s="308"/>
    </row>
    <row r="64" spans="1:13" s="109" customFormat="1" hidden="1">
      <c r="A64" s="284"/>
      <c r="B64" s="99">
        <f>'Background Controls'!I16</f>
        <v>0</v>
      </c>
      <c r="C64" s="242" t="str">
        <f t="shared" si="0"/>
        <v>-</v>
      </c>
      <c r="D64" s="242" t="str">
        <f t="shared" si="1"/>
        <v>-</v>
      </c>
      <c r="E64" s="242" t="str">
        <f t="shared" si="2"/>
        <v>-</v>
      </c>
      <c r="F64" s="243">
        <f t="shared" si="3"/>
        <v>0</v>
      </c>
      <c r="G64" s="340"/>
      <c r="H64" s="340"/>
      <c r="I64"/>
      <c r="J64"/>
      <c r="K64"/>
      <c r="L64"/>
      <c r="M64" s="308"/>
    </row>
    <row r="65" spans="1:19" s="109" customFormat="1" hidden="1">
      <c r="A65" s="284"/>
      <c r="B65" s="99">
        <f>'Background Controls'!I17</f>
        <v>0</v>
      </c>
      <c r="C65" s="242" t="str">
        <f t="shared" si="0"/>
        <v>-</v>
      </c>
      <c r="D65" s="242" t="str">
        <f t="shared" si="1"/>
        <v>-</v>
      </c>
      <c r="E65" s="242" t="str">
        <f t="shared" si="2"/>
        <v>-</v>
      </c>
      <c r="F65" s="243">
        <f t="shared" si="3"/>
        <v>0</v>
      </c>
      <c r="G65" s="340"/>
      <c r="H65" s="340"/>
      <c r="I65"/>
      <c r="J65"/>
      <c r="K65"/>
      <c r="L65"/>
      <c r="M65" s="308"/>
    </row>
    <row r="66" spans="1:19" s="109" customFormat="1" hidden="1">
      <c r="A66" s="284"/>
      <c r="B66" s="99">
        <f>'Background Controls'!I18</f>
        <v>0</v>
      </c>
      <c r="C66" s="242" t="str">
        <f t="shared" si="0"/>
        <v>-</v>
      </c>
      <c r="D66" s="242" t="str">
        <f t="shared" si="1"/>
        <v>-</v>
      </c>
      <c r="E66" s="242" t="str">
        <f t="shared" si="2"/>
        <v>-</v>
      </c>
      <c r="F66" s="243">
        <f t="shared" si="3"/>
        <v>0</v>
      </c>
      <c r="G66" s="340"/>
      <c r="H66" s="340"/>
      <c r="I66"/>
      <c r="J66"/>
      <c r="K66"/>
      <c r="L66"/>
      <c r="M66" s="308"/>
    </row>
    <row r="67" spans="1:19" s="109" customFormat="1" hidden="1">
      <c r="A67" s="284"/>
      <c r="B67" s="99">
        <f>'Background Controls'!I19</f>
        <v>0</v>
      </c>
      <c r="C67" s="242" t="str">
        <f t="shared" si="0"/>
        <v>-</v>
      </c>
      <c r="D67" s="242" t="str">
        <f t="shared" si="1"/>
        <v>-</v>
      </c>
      <c r="E67" s="242" t="str">
        <f t="shared" si="2"/>
        <v>-</v>
      </c>
      <c r="F67" s="243">
        <f t="shared" si="3"/>
        <v>0</v>
      </c>
      <c r="G67" s="340"/>
      <c r="H67" s="340"/>
      <c r="I67"/>
      <c r="J67"/>
      <c r="K67"/>
      <c r="L67"/>
      <c r="M67" s="308"/>
    </row>
    <row r="68" spans="1:19" s="109" customFormat="1" hidden="1">
      <c r="A68" s="284"/>
      <c r="B68" s="99">
        <f>'Background Controls'!I20</f>
        <v>0</v>
      </c>
      <c r="C68" s="242" t="str">
        <f t="shared" si="0"/>
        <v>-</v>
      </c>
      <c r="D68" s="242" t="str">
        <f t="shared" si="1"/>
        <v>-</v>
      </c>
      <c r="E68" s="242" t="str">
        <f t="shared" si="2"/>
        <v>-</v>
      </c>
      <c r="F68" s="243">
        <f t="shared" si="3"/>
        <v>0</v>
      </c>
      <c r="G68" s="340"/>
      <c r="H68" s="340"/>
      <c r="I68"/>
      <c r="J68"/>
      <c r="K68"/>
      <c r="L68"/>
      <c r="M68" s="308"/>
    </row>
    <row r="69" spans="1:19" s="109" customFormat="1" hidden="1">
      <c r="A69" s="284"/>
      <c r="B69" s="99">
        <f>'Background Controls'!I21</f>
        <v>0</v>
      </c>
      <c r="C69" s="242" t="str">
        <f t="shared" si="0"/>
        <v>-</v>
      </c>
      <c r="D69" s="242" t="str">
        <f t="shared" si="1"/>
        <v>-</v>
      </c>
      <c r="E69" s="242" t="str">
        <f t="shared" si="2"/>
        <v>-</v>
      </c>
      <c r="F69" s="243">
        <f t="shared" si="3"/>
        <v>0</v>
      </c>
      <c r="G69" s="340"/>
      <c r="H69" s="340"/>
      <c r="I69"/>
      <c r="J69"/>
      <c r="K69"/>
      <c r="L69"/>
      <c r="M69" s="308"/>
    </row>
    <row r="70" spans="1:19" s="109" customFormat="1" hidden="1">
      <c r="A70" s="284"/>
      <c r="B70" s="99">
        <f>'Background Controls'!I22</f>
        <v>0</v>
      </c>
      <c r="C70" s="242" t="str">
        <f t="shared" si="0"/>
        <v>-</v>
      </c>
      <c r="D70" s="242" t="str">
        <f t="shared" si="1"/>
        <v>-</v>
      </c>
      <c r="E70" s="242" t="str">
        <f t="shared" si="2"/>
        <v>-</v>
      </c>
      <c r="F70" s="243">
        <f t="shared" si="3"/>
        <v>0</v>
      </c>
      <c r="G70" s="340"/>
      <c r="H70" s="340"/>
      <c r="I70"/>
      <c r="J70"/>
      <c r="K70"/>
      <c r="L70"/>
      <c r="M70" s="308"/>
    </row>
    <row r="71" spans="1:19" s="109" customFormat="1" hidden="1">
      <c r="A71" s="284"/>
      <c r="B71" s="99">
        <f>'Background Controls'!I23</f>
        <v>0</v>
      </c>
      <c r="C71" s="242" t="str">
        <f t="shared" si="0"/>
        <v>-</v>
      </c>
      <c r="D71" s="242" t="str">
        <f t="shared" si="1"/>
        <v>-</v>
      </c>
      <c r="E71" s="242" t="str">
        <f t="shared" si="2"/>
        <v>-</v>
      </c>
      <c r="F71" s="243">
        <f t="shared" si="3"/>
        <v>0</v>
      </c>
      <c r="G71" s="340"/>
      <c r="H71" s="340"/>
      <c r="I71"/>
      <c r="J71"/>
      <c r="K71"/>
      <c r="L71"/>
      <c r="M71" s="308"/>
    </row>
    <row r="72" spans="1:19" s="109" customFormat="1" hidden="1">
      <c r="A72" s="284"/>
      <c r="B72" s="99">
        <f>'Background Controls'!I24</f>
        <v>0</v>
      </c>
      <c r="C72" s="242" t="str">
        <f t="shared" si="0"/>
        <v>-</v>
      </c>
      <c r="D72" s="242" t="str">
        <f t="shared" si="1"/>
        <v>-</v>
      </c>
      <c r="E72" s="242" t="str">
        <f t="shared" si="2"/>
        <v>-</v>
      </c>
      <c r="F72" s="243">
        <f t="shared" si="3"/>
        <v>0</v>
      </c>
      <c r="G72" s="340"/>
      <c r="H72" s="340"/>
      <c r="I72"/>
      <c r="J72"/>
      <c r="K72"/>
      <c r="L72"/>
      <c r="M72" s="308"/>
    </row>
    <row r="73" spans="1:19" s="109" customFormat="1" ht="33" customHeight="1">
      <c r="A73" s="284"/>
      <c r="B73" s="919" t="s">
        <v>756</v>
      </c>
      <c r="C73" s="465">
        <f>IF(ISERROR(SUM(C53:C72)),"",SUM(C53:C72))</f>
        <v>0</v>
      </c>
      <c r="D73" s="465">
        <f>IF(ISERROR(SUM(D53:D72)),"",SUM(D53:D72))</f>
        <v>0</v>
      </c>
      <c r="E73" s="465">
        <f>IF(ISERROR(SUM(E53:E72)),"",SUM(E53:E72))</f>
        <v>0</v>
      </c>
      <c r="F73" s="933">
        <f>IF(ISERROR(SUM(F53:F72)),"",SUM(F53:F72))</f>
        <v>0</v>
      </c>
      <c r="G73"/>
      <c r="H73"/>
      <c r="I73"/>
      <c r="J73"/>
      <c r="K73"/>
      <c r="L73"/>
      <c r="M73" s="308"/>
    </row>
    <row r="74" spans="1:19" s="109" customFormat="1" ht="15" customHeight="1">
      <c r="A74" s="284"/>
      <c r="B74" s="56"/>
      <c r="C74"/>
      <c r="D74" s="356"/>
      <c r="E74" s="356"/>
      <c r="F74"/>
      <c r="G74"/>
      <c r="H74"/>
      <c r="I74"/>
      <c r="J74"/>
      <c r="K74"/>
      <c r="L74"/>
      <c r="M74" s="308"/>
    </row>
    <row r="75" spans="1:19" s="109" customFormat="1" ht="15" customHeight="1">
      <c r="A75" s="284"/>
      <c r="B75" s="56"/>
      <c r="C75"/>
      <c r="D75"/>
      <c r="E75"/>
      <c r="F75"/>
      <c r="G75"/>
      <c r="H75"/>
      <c r="I75"/>
      <c r="J75"/>
      <c r="K75"/>
      <c r="L75"/>
      <c r="M75" s="308"/>
      <c r="Q75" s="753" t="s">
        <v>260</v>
      </c>
      <c r="R75" s="753" t="b">
        <v>1</v>
      </c>
      <c r="S75" s="754"/>
    </row>
    <row r="76" spans="1:19" s="109" customFormat="1" ht="15" customHeight="1">
      <c r="A76" s="284"/>
      <c r="B76" s="56" t="s">
        <v>757</v>
      </c>
      <c r="C76"/>
      <c r="D76"/>
      <c r="E76"/>
      <c r="F76"/>
      <c r="G76"/>
      <c r="H76"/>
      <c r="I76"/>
      <c r="J76"/>
      <c r="K76"/>
      <c r="L76"/>
      <c r="M76" s="308"/>
      <c r="Q76" s="753" t="s">
        <v>758</v>
      </c>
      <c r="R76" s="753" t="b">
        <v>1</v>
      </c>
      <c r="S76" s="754"/>
    </row>
    <row r="77" spans="1:19" s="109" customFormat="1" ht="15" customHeight="1">
      <c r="A77" s="284"/>
      <c r="B77" s="56"/>
      <c r="C77"/>
      <c r="D77"/>
      <c r="E77"/>
      <c r="F77"/>
      <c r="G77"/>
      <c r="H77"/>
      <c r="I77"/>
      <c r="J77"/>
      <c r="K77"/>
      <c r="L77"/>
      <c r="M77" s="308"/>
      <c r="Q77" s="755" t="s">
        <v>262</v>
      </c>
      <c r="R77" s="753" t="b">
        <f>AND(R75:R76)</f>
        <v>1</v>
      </c>
      <c r="S77" s="754"/>
    </row>
    <row r="78" spans="1:19" s="109" customFormat="1" ht="15" customHeight="1">
      <c r="A78" s="284"/>
      <c r="B78" s="56"/>
      <c r="C78"/>
      <c r="D78"/>
      <c r="E78"/>
      <c r="F78"/>
      <c r="G78"/>
      <c r="H78"/>
      <c r="I78"/>
      <c r="J78"/>
      <c r="K78"/>
      <c r="L78"/>
      <c r="M78" s="308"/>
      <c r="Q78" s="753"/>
      <c r="R78" s="756" t="str">
        <f>IF(R77=TRUE, Q77, IF(R75=TRUE, Q75, IF(R76=TRUE, Q76,"both")))</f>
        <v>both</v>
      </c>
      <c r="S78" s="754"/>
    </row>
    <row r="79" spans="1:19" s="109" customFormat="1" ht="15" customHeight="1">
      <c r="A79" s="284"/>
      <c r="B79" s="56"/>
      <c r="C79"/>
      <c r="D79"/>
      <c r="E79"/>
      <c r="F79"/>
      <c r="G79"/>
      <c r="H79"/>
      <c r="I79"/>
      <c r="J79"/>
      <c r="K79"/>
      <c r="L79"/>
      <c r="M79" s="308"/>
      <c r="Q79" s="754"/>
      <c r="R79" s="754"/>
      <c r="S79" s="754"/>
    </row>
    <row r="80" spans="1:19" s="109" customFormat="1" ht="15" customHeight="1">
      <c r="A80" s="284"/>
      <c r="B80" s="56"/>
      <c r="C80"/>
      <c r="D80"/>
      <c r="E80"/>
      <c r="F80"/>
      <c r="G80"/>
      <c r="H80"/>
      <c r="I80"/>
      <c r="J80"/>
      <c r="K80"/>
      <c r="L80"/>
      <c r="M80" s="308"/>
    </row>
    <row r="81" spans="1:13" s="109" customFormat="1" ht="15" customHeight="1">
      <c r="A81" s="284"/>
      <c r="B81" s="56"/>
      <c r="C81"/>
      <c r="D81"/>
      <c r="E81"/>
      <c r="F81"/>
      <c r="G81"/>
      <c r="H81"/>
      <c r="I81"/>
      <c r="J81"/>
      <c r="K81"/>
      <c r="L81"/>
      <c r="M81" s="308"/>
    </row>
    <row r="82" spans="1:13" s="109" customFormat="1" ht="15" customHeight="1">
      <c r="A82" s="284"/>
      <c r="B82" s="56"/>
      <c r="C82"/>
      <c r="D82"/>
      <c r="E82"/>
      <c r="F82"/>
      <c r="G82"/>
      <c r="H82"/>
      <c r="I82"/>
      <c r="J82"/>
      <c r="K82"/>
      <c r="L82"/>
      <c r="M82" s="308"/>
    </row>
    <row r="83" spans="1:13" s="109" customFormat="1" ht="15" customHeight="1">
      <c r="A83" s="284"/>
      <c r="B83" s="56"/>
      <c r="C83"/>
      <c r="D83"/>
      <c r="E83"/>
      <c r="F83"/>
      <c r="G83"/>
      <c r="H83"/>
      <c r="I83"/>
      <c r="J83"/>
      <c r="K83"/>
      <c r="L83"/>
      <c r="M83" s="308"/>
    </row>
    <row r="84" spans="1:13" s="109" customFormat="1" ht="15" customHeight="1">
      <c r="A84" s="284"/>
      <c r="B84" s="56"/>
      <c r="C84"/>
      <c r="D84"/>
      <c r="E84"/>
      <c r="F84"/>
      <c r="G84"/>
      <c r="H84"/>
      <c r="I84"/>
      <c r="J84"/>
      <c r="K84"/>
      <c r="L84"/>
      <c r="M84" s="308"/>
    </row>
    <row r="85" spans="1:13" s="109" customFormat="1" ht="15" customHeight="1">
      <c r="A85" s="284"/>
      <c r="B85" s="56"/>
      <c r="C85"/>
      <c r="D85"/>
      <c r="E85"/>
      <c r="F85"/>
      <c r="G85"/>
      <c r="H85"/>
      <c r="I85"/>
      <c r="J85"/>
      <c r="K85"/>
      <c r="L85"/>
      <c r="M85" s="308"/>
    </row>
    <row r="86" spans="1:13" s="109" customFormat="1" ht="15" customHeight="1">
      <c r="A86" s="284"/>
      <c r="B86" s="56"/>
      <c r="C86"/>
      <c r="D86"/>
      <c r="E86"/>
      <c r="F86"/>
      <c r="G86"/>
      <c r="H86"/>
      <c r="I86"/>
      <c r="J86"/>
      <c r="K86"/>
      <c r="L86"/>
      <c r="M86" s="308"/>
    </row>
    <row r="87" spans="1:13" s="109" customFormat="1" ht="15" customHeight="1">
      <c r="A87" s="284"/>
      <c r="B87" s="56"/>
      <c r="C87"/>
      <c r="D87"/>
      <c r="E87"/>
      <c r="F87"/>
      <c r="G87"/>
      <c r="H87"/>
      <c r="I87"/>
      <c r="J87"/>
      <c r="K87"/>
      <c r="L87"/>
      <c r="M87" s="308"/>
    </row>
    <row r="88" spans="1:13" s="109" customFormat="1" ht="15" customHeight="1">
      <c r="A88" s="284"/>
      <c r="B88" s="56"/>
      <c r="C88"/>
      <c r="D88"/>
      <c r="E88"/>
      <c r="F88"/>
      <c r="G88"/>
      <c r="H88"/>
      <c r="I88"/>
      <c r="J88"/>
      <c r="K88"/>
      <c r="L88"/>
      <c r="M88" s="308"/>
    </row>
    <row r="89" spans="1:13" s="109" customFormat="1" ht="14.25" customHeight="1">
      <c r="A89" s="284"/>
      <c r="B89" s="56"/>
      <c r="C89"/>
      <c r="D89"/>
      <c r="E89"/>
      <c r="F89"/>
      <c r="G89"/>
      <c r="H89"/>
      <c r="I89"/>
      <c r="J89"/>
      <c r="K89"/>
      <c r="L89"/>
      <c r="M89" s="308"/>
    </row>
    <row r="90" spans="1:13" s="109" customFormat="1" ht="15" customHeight="1">
      <c r="A90" s="284"/>
      <c r="B90" s="56"/>
      <c r="C90"/>
      <c r="D90"/>
      <c r="E90"/>
      <c r="F90"/>
      <c r="G90"/>
      <c r="H90"/>
      <c r="I90"/>
      <c r="J90"/>
      <c r="K90"/>
      <c r="L90"/>
      <c r="M90" s="308"/>
    </row>
    <row r="91" spans="1:13" s="109" customFormat="1" ht="15" customHeight="1">
      <c r="A91" s="284"/>
      <c r="B91" s="56"/>
      <c r="C91"/>
      <c r="D91"/>
      <c r="E91"/>
      <c r="F91"/>
      <c r="G91"/>
      <c r="H91"/>
      <c r="I91"/>
      <c r="J91"/>
      <c r="K91"/>
      <c r="L91"/>
      <c r="M91" s="308"/>
    </row>
    <row r="92" spans="1:13" s="109" customFormat="1" ht="15" customHeight="1">
      <c r="A92" s="284"/>
      <c r="B92" s="56"/>
      <c r="C92"/>
      <c r="D92"/>
      <c r="E92"/>
      <c r="F92"/>
      <c r="G92"/>
      <c r="H92"/>
      <c r="I92"/>
      <c r="J92"/>
      <c r="K92"/>
      <c r="L92"/>
      <c r="M92" s="308"/>
    </row>
    <row r="93" spans="1:13" s="109" customFormat="1" ht="15" customHeight="1">
      <c r="A93" s="284"/>
      <c r="B93" s="56"/>
      <c r="C93"/>
      <c r="D93"/>
      <c r="E93"/>
      <c r="F93"/>
      <c r="G93"/>
      <c r="H93"/>
      <c r="I93"/>
      <c r="J93"/>
      <c r="K93"/>
      <c r="L93"/>
      <c r="M93" s="308"/>
    </row>
    <row r="94" spans="1:13" s="109" customFormat="1" ht="15" customHeight="1">
      <c r="A94" s="284"/>
      <c r="B94"/>
      <c r="C94"/>
      <c r="D94"/>
      <c r="E94"/>
      <c r="F94"/>
      <c r="G94"/>
      <c r="H94"/>
      <c r="I94"/>
      <c r="J94"/>
      <c r="K94"/>
      <c r="L94"/>
      <c r="M94" s="308"/>
    </row>
    <row r="95" spans="1:13" s="109" customFormat="1" ht="15" customHeight="1">
      <c r="A95" s="284"/>
      <c r="B95"/>
      <c r="C95"/>
      <c r="D95"/>
      <c r="E95"/>
      <c r="F95"/>
      <c r="G95"/>
      <c r="H95"/>
      <c r="I95"/>
      <c r="J95"/>
      <c r="K95"/>
      <c r="L95"/>
      <c r="M95" s="308"/>
    </row>
    <row r="96" spans="1:13" s="109" customFormat="1" ht="15" customHeight="1">
      <c r="A96" s="284"/>
      <c r="B96" s="56"/>
      <c r="C96"/>
      <c r="D96"/>
      <c r="E96"/>
      <c r="F96"/>
      <c r="G96"/>
      <c r="H96"/>
      <c r="I96"/>
      <c r="J96"/>
      <c r="K96"/>
      <c r="L96"/>
      <c r="M96" s="308"/>
    </row>
    <row r="97" spans="1:19" s="109" customFormat="1" ht="15" customHeight="1">
      <c r="A97" s="284"/>
      <c r="B97" s="56"/>
      <c r="C97"/>
      <c r="D97"/>
      <c r="E97"/>
      <c r="F97"/>
      <c r="G97"/>
      <c r="H97"/>
      <c r="I97"/>
      <c r="J97"/>
      <c r="K97"/>
      <c r="L97"/>
      <c r="M97" s="308"/>
    </row>
    <row r="98" spans="1:19" s="109" customFormat="1" ht="15" customHeight="1">
      <c r="A98" s="284"/>
      <c r="B98" s="56"/>
      <c r="C98"/>
      <c r="D98"/>
      <c r="E98"/>
      <c r="F98"/>
      <c r="G98"/>
      <c r="H98"/>
      <c r="I98"/>
      <c r="J98"/>
      <c r="K98"/>
      <c r="L98"/>
      <c r="M98" s="308"/>
      <c r="P98" s="754"/>
      <c r="Q98" s="754"/>
      <c r="R98" s="754"/>
      <c r="S98" s="754"/>
    </row>
    <row r="99" spans="1:19" s="109" customFormat="1">
      <c r="A99" s="284"/>
      <c r="B99"/>
      <c r="C99"/>
      <c r="D99"/>
      <c r="E99"/>
      <c r="F99"/>
      <c r="G99"/>
      <c r="H99"/>
      <c r="I99"/>
      <c r="J99"/>
      <c r="K99"/>
      <c r="L99"/>
      <c r="M99" s="308"/>
      <c r="P99" s="754"/>
      <c r="Q99" s="754"/>
      <c r="R99" s="754"/>
      <c r="S99" s="754"/>
    </row>
    <row r="100" spans="1:19" s="109" customFormat="1">
      <c r="A100" s="284"/>
      <c r="B100"/>
      <c r="C100"/>
      <c r="D100"/>
      <c r="E100"/>
      <c r="F100"/>
      <c r="G100"/>
      <c r="H100"/>
      <c r="I100"/>
      <c r="J100"/>
      <c r="K100"/>
      <c r="L100"/>
      <c r="M100" s="308"/>
      <c r="P100" s="754"/>
      <c r="Q100" s="754" t="s">
        <v>260</v>
      </c>
      <c r="R100" s="754" t="b">
        <v>1</v>
      </c>
      <c r="S100" s="754"/>
    </row>
    <row r="101" spans="1:19" s="109" customFormat="1">
      <c r="A101" s="284"/>
      <c r="B101" t="s">
        <v>759</v>
      </c>
      <c r="C101"/>
      <c r="D101"/>
      <c r="E101"/>
      <c r="F101"/>
      <c r="G101"/>
      <c r="H101"/>
      <c r="I101"/>
      <c r="J101"/>
      <c r="K101"/>
      <c r="L101"/>
      <c r="M101" s="308"/>
      <c r="P101" s="754"/>
      <c r="Q101" s="754" t="s">
        <v>758</v>
      </c>
      <c r="R101" s="754" t="b">
        <v>1</v>
      </c>
      <c r="S101" s="754"/>
    </row>
    <row r="102" spans="1:19" s="109" customFormat="1">
      <c r="A102" s="284"/>
      <c r="B102"/>
      <c r="C102"/>
      <c r="D102"/>
      <c r="E102"/>
      <c r="F102"/>
      <c r="G102"/>
      <c r="H102"/>
      <c r="I102"/>
      <c r="J102"/>
      <c r="K102"/>
      <c r="L102"/>
      <c r="M102" s="308"/>
      <c r="P102" s="754"/>
      <c r="Q102" s="757" t="s">
        <v>262</v>
      </c>
      <c r="R102" s="754" t="b">
        <f>AND(R100:R101)</f>
        <v>1</v>
      </c>
      <c r="S102" s="754"/>
    </row>
    <row r="103" spans="1:19" s="109" customFormat="1">
      <c r="A103" s="284"/>
      <c r="B103"/>
      <c r="C103"/>
      <c r="D103"/>
      <c r="E103"/>
      <c r="F103"/>
      <c r="G103"/>
      <c r="H103"/>
      <c r="I103"/>
      <c r="J103"/>
      <c r="K103"/>
      <c r="L103"/>
      <c r="M103" s="308"/>
      <c r="P103" s="754"/>
      <c r="Q103" s="754"/>
      <c r="R103" s="758" t="str">
        <f>IF(R102=TRUE, Q102, IF(R100=TRUE, Q100, IF(R101=TRUE, Q101,"both")))</f>
        <v>both</v>
      </c>
      <c r="S103" s="754"/>
    </row>
    <row r="104" spans="1:19" s="109" customFormat="1">
      <c r="A104" s="284"/>
      <c r="B104"/>
      <c r="C104"/>
      <c r="D104"/>
      <c r="E104"/>
      <c r="F104"/>
      <c r="G104"/>
      <c r="H104"/>
      <c r="I104"/>
      <c r="J104"/>
      <c r="K104"/>
      <c r="L104"/>
      <c r="M104" s="308"/>
      <c r="P104" s="754"/>
      <c r="Q104" s="754"/>
      <c r="R104" s="754"/>
      <c r="S104" s="754"/>
    </row>
    <row r="105" spans="1:19" s="109" customFormat="1">
      <c r="A105" s="284"/>
      <c r="B105"/>
      <c r="C105"/>
      <c r="D105"/>
      <c r="E105"/>
      <c r="F105"/>
      <c r="G105"/>
      <c r="H105"/>
      <c r="I105"/>
      <c r="J105"/>
      <c r="K105"/>
      <c r="L105"/>
      <c r="M105" s="308"/>
    </row>
    <row r="106" spans="1:19" s="109" customFormat="1">
      <c r="A106" s="284"/>
      <c r="B106"/>
      <c r="C106"/>
      <c r="D106"/>
      <c r="E106"/>
      <c r="F106"/>
      <c r="G106"/>
      <c r="H106"/>
      <c r="I106"/>
      <c r="J106"/>
      <c r="K106"/>
      <c r="L106"/>
      <c r="M106" s="308"/>
    </row>
    <row r="107" spans="1:19" s="109" customFormat="1">
      <c r="A107" s="284"/>
      <c r="B107"/>
      <c r="C107"/>
      <c r="D107"/>
      <c r="E107"/>
      <c r="F107"/>
      <c r="G107"/>
      <c r="H107"/>
      <c r="I107"/>
      <c r="J107"/>
      <c r="K107"/>
      <c r="L107"/>
      <c r="M107" s="308"/>
    </row>
    <row r="108" spans="1:19" s="109" customFormat="1">
      <c r="A108" s="284"/>
      <c r="B108"/>
      <c r="C108"/>
      <c r="D108"/>
      <c r="E108"/>
      <c r="F108"/>
      <c r="G108"/>
      <c r="H108"/>
      <c r="I108"/>
      <c r="J108"/>
      <c r="K108"/>
      <c r="L108"/>
      <c r="M108" s="308"/>
    </row>
    <row r="109" spans="1:19" s="109" customFormat="1">
      <c r="A109" s="284"/>
      <c r="B109"/>
      <c r="C109"/>
      <c r="D109"/>
      <c r="E109"/>
      <c r="F109"/>
      <c r="G109"/>
      <c r="H109"/>
      <c r="I109"/>
      <c r="J109"/>
      <c r="K109"/>
      <c r="L109"/>
      <c r="M109" s="308"/>
    </row>
    <row r="110" spans="1:19" s="109" customFormat="1">
      <c r="A110" s="284"/>
      <c r="B110"/>
      <c r="C110"/>
      <c r="D110"/>
      <c r="E110"/>
      <c r="F110"/>
      <c r="G110"/>
      <c r="H110"/>
      <c r="I110"/>
      <c r="J110"/>
      <c r="K110"/>
      <c r="L110"/>
      <c r="M110" s="308"/>
    </row>
    <row r="111" spans="1:19" s="109" customFormat="1">
      <c r="A111" s="284"/>
      <c r="B111"/>
      <c r="C111"/>
      <c r="D111"/>
      <c r="E111"/>
      <c r="F111"/>
      <c r="G111"/>
      <c r="H111"/>
      <c r="I111"/>
      <c r="J111"/>
      <c r="K111"/>
      <c r="L111"/>
      <c r="M111" s="308"/>
    </row>
    <row r="112" spans="1:19" s="109" customFormat="1">
      <c r="A112" s="284"/>
      <c r="B112"/>
      <c r="C112"/>
      <c r="D112"/>
      <c r="E112"/>
      <c r="F112"/>
      <c r="G112"/>
      <c r="H112"/>
      <c r="I112"/>
      <c r="J112"/>
      <c r="K112"/>
      <c r="L112"/>
      <c r="M112" s="308"/>
    </row>
    <row r="113" spans="1:13" s="109" customFormat="1">
      <c r="A113" s="284"/>
      <c r="B113"/>
      <c r="C113"/>
      <c r="D113"/>
      <c r="E113"/>
      <c r="F113"/>
      <c r="G113"/>
      <c r="H113"/>
      <c r="I113"/>
      <c r="J113"/>
      <c r="K113"/>
      <c r="L113"/>
      <c r="M113" s="308"/>
    </row>
    <row r="114" spans="1:13" s="109" customFormat="1">
      <c r="A114" s="284"/>
      <c r="B114"/>
      <c r="C114"/>
      <c r="D114"/>
      <c r="E114"/>
      <c r="F114"/>
      <c r="G114"/>
      <c r="H114"/>
      <c r="I114"/>
      <c r="J114"/>
      <c r="K114"/>
      <c r="L114"/>
      <c r="M114" s="308"/>
    </row>
    <row r="115" spans="1:13" s="109" customFormat="1">
      <c r="A115" s="284"/>
      <c r="B115"/>
      <c r="C115"/>
      <c r="D115"/>
      <c r="E115"/>
      <c r="F115"/>
      <c r="G115"/>
      <c r="H115"/>
      <c r="I115"/>
      <c r="J115"/>
      <c r="K115"/>
      <c r="L115"/>
      <c r="M115" s="308"/>
    </row>
    <row r="116" spans="1:13" s="109" customFormat="1">
      <c r="A116" s="284"/>
      <c r="B116"/>
      <c r="C116"/>
      <c r="D116"/>
      <c r="E116"/>
      <c r="F116"/>
      <c r="G116"/>
      <c r="H116"/>
      <c r="I116"/>
      <c r="J116"/>
      <c r="K116"/>
      <c r="L116"/>
      <c r="M116" s="308"/>
    </row>
    <row r="117" spans="1:13" s="109" customFormat="1">
      <c r="A117" s="284"/>
      <c r="B117"/>
      <c r="C117"/>
      <c r="D117"/>
      <c r="E117"/>
      <c r="F117"/>
      <c r="G117"/>
      <c r="H117"/>
      <c r="I117"/>
      <c r="J117"/>
      <c r="K117"/>
      <c r="L117"/>
      <c r="M117" s="308"/>
    </row>
    <row r="118" spans="1:13" s="109" customFormat="1">
      <c r="A118" s="284"/>
      <c r="B118"/>
      <c r="C118"/>
      <c r="D118"/>
      <c r="E118"/>
      <c r="F118"/>
      <c r="G118"/>
      <c r="H118"/>
      <c r="I118"/>
      <c r="J118"/>
      <c r="K118"/>
      <c r="L118"/>
      <c r="M118" s="308"/>
    </row>
    <row r="119" spans="1:13" s="109" customFormat="1">
      <c r="A119" s="284"/>
      <c r="B119"/>
      <c r="C119"/>
      <c r="D119"/>
      <c r="E119"/>
      <c r="F119"/>
      <c r="G119"/>
      <c r="H119"/>
      <c r="I119"/>
      <c r="J119"/>
      <c r="K119"/>
      <c r="L119"/>
      <c r="M119" s="308"/>
    </row>
    <row r="120" spans="1:13" s="109" customFormat="1">
      <c r="A120" s="284"/>
      <c r="B120"/>
      <c r="C120"/>
      <c r="D120"/>
      <c r="E120"/>
      <c r="F120"/>
      <c r="G120"/>
      <c r="H120"/>
      <c r="I120"/>
      <c r="J120"/>
      <c r="K120"/>
      <c r="L120"/>
      <c r="M120" s="308"/>
    </row>
    <row r="121" spans="1:13" s="109" customFormat="1">
      <c r="A121" s="284"/>
      <c r="B121"/>
      <c r="C121"/>
      <c r="D121"/>
      <c r="E121"/>
      <c r="F121"/>
      <c r="G121"/>
      <c r="H121"/>
      <c r="I121"/>
      <c r="J121"/>
      <c r="K121"/>
      <c r="L121"/>
      <c r="M121" s="308"/>
    </row>
    <row r="122" spans="1:13" s="109" customFormat="1">
      <c r="A122" s="284"/>
      <c r="B122"/>
      <c r="C122"/>
      <c r="D122"/>
      <c r="E122"/>
      <c r="F122"/>
      <c r="G122"/>
      <c r="H122"/>
      <c r="I122"/>
      <c r="J122"/>
      <c r="K122"/>
      <c r="L122"/>
      <c r="M122" s="308"/>
    </row>
    <row r="123" spans="1:13" s="109" customFormat="1">
      <c r="A123" s="284"/>
      <c r="B123"/>
      <c r="C123"/>
      <c r="D123"/>
      <c r="E123"/>
      <c r="F123"/>
      <c r="G123"/>
      <c r="H123"/>
      <c r="I123"/>
      <c r="J123"/>
      <c r="K123"/>
      <c r="L123"/>
      <c r="M123" s="308"/>
    </row>
    <row r="124" spans="1:13" s="109" customFormat="1">
      <c r="A124" s="284"/>
      <c r="B124"/>
      <c r="C124"/>
      <c r="D124"/>
      <c r="E124"/>
      <c r="F124"/>
      <c r="G124"/>
      <c r="H124"/>
      <c r="I124"/>
      <c r="J124"/>
      <c r="K124"/>
      <c r="L124"/>
      <c r="M124" s="308"/>
    </row>
    <row r="125" spans="1:13" s="109" customFormat="1" ht="15" thickBot="1">
      <c r="A125" s="284"/>
      <c r="B125"/>
      <c r="C125"/>
      <c r="D125"/>
      <c r="E125"/>
      <c r="F125"/>
      <c r="G125"/>
      <c r="H125"/>
      <c r="I125"/>
      <c r="J125"/>
      <c r="K125"/>
      <c r="L125"/>
      <c r="M125" s="308"/>
    </row>
    <row r="126" spans="1:13" s="109" customFormat="1" ht="18.5">
      <c r="A126" s="301" t="s">
        <v>242</v>
      </c>
      <c r="B126" s="73"/>
      <c r="C126" s="73"/>
      <c r="D126" s="73"/>
      <c r="E126" s="73"/>
      <c r="F126" s="73"/>
      <c r="G126" s="73"/>
      <c r="H126" s="73"/>
      <c r="I126" s="73"/>
      <c r="J126" s="73"/>
      <c r="K126" s="73"/>
      <c r="L126" s="73"/>
      <c r="M126" s="308"/>
    </row>
    <row r="127" spans="1:13" s="109" customFormat="1">
      <c r="A127" s="284"/>
      <c r="B127" s="1"/>
      <c r="C127"/>
      <c r="D127"/>
      <c r="E127"/>
      <c r="F127"/>
      <c r="G127"/>
      <c r="H127"/>
      <c r="I127"/>
      <c r="J127"/>
      <c r="K127"/>
      <c r="L127"/>
      <c r="M127" s="308"/>
    </row>
    <row r="128" spans="1:13" s="109" customFormat="1">
      <c r="A128" s="268" t="s">
        <v>760</v>
      </c>
      <c r="B128"/>
      <c r="C128"/>
      <c r="D128"/>
      <c r="E128"/>
      <c r="F128"/>
      <c r="G128"/>
      <c r="H128"/>
      <c r="I128"/>
      <c r="J128"/>
      <c r="K128"/>
      <c r="L128"/>
      <c r="M128" s="308"/>
    </row>
    <row r="129" spans="1:13" s="109" customFormat="1">
      <c r="A129" s="286" t="s">
        <v>761</v>
      </c>
      <c r="B129"/>
      <c r="C129"/>
      <c r="D129"/>
      <c r="E129"/>
      <c r="F129"/>
      <c r="G129"/>
      <c r="H129"/>
      <c r="I129"/>
      <c r="J129"/>
      <c r="K129"/>
      <c r="L129"/>
      <c r="M129" s="308"/>
    </row>
    <row r="130" spans="1:13" s="109" customFormat="1">
      <c r="A130" s="284"/>
      <c r="B130" s="1077" t="s">
        <v>762</v>
      </c>
      <c r="C130" s="1078"/>
      <c r="D130" s="1079"/>
      <c r="E130" s="39"/>
      <c r="F130"/>
      <c r="G130"/>
      <c r="H130"/>
      <c r="I130"/>
      <c r="J130"/>
      <c r="K130"/>
      <c r="L130"/>
      <c r="M130" s="308"/>
    </row>
    <row r="131" spans="1:13" s="109" customFormat="1">
      <c r="A131" s="284"/>
      <c r="B131" s="853" t="s">
        <v>152</v>
      </c>
      <c r="C131" s="196" t="s">
        <v>763</v>
      </c>
      <c r="D131" s="529" t="s">
        <v>263</v>
      </c>
      <c r="E131" s="534"/>
      <c r="F131" s="1"/>
      <c r="G131"/>
      <c r="H131"/>
      <c r="I131"/>
      <c r="J131"/>
      <c r="K131"/>
      <c r="L131"/>
      <c r="M131" s="308"/>
    </row>
    <row r="132" spans="1:13" s="109" customFormat="1">
      <c r="A132" s="284" t="s">
        <v>101</v>
      </c>
      <c r="B132" s="99" t="str">
        <f>'Background Controls'!I5</f>
        <v>Residential</v>
      </c>
      <c r="C132" s="997">
        <f>$C28*$C$19</f>
        <v>0</v>
      </c>
      <c r="D132" s="998">
        <f t="shared" ref="D132:D152" si="4">C132</f>
        <v>0</v>
      </c>
      <c r="E132" s="424"/>
      <c r="F132" s="239"/>
      <c r="G132"/>
      <c r="H132"/>
      <c r="I132"/>
      <c r="J132"/>
      <c r="K132"/>
      <c r="L132"/>
      <c r="M132" s="308"/>
    </row>
    <row r="133" spans="1:13" s="109" customFormat="1">
      <c r="A133" s="284"/>
      <c r="B133" s="99" t="str">
        <f>'Background Controls'!I6</f>
        <v>Commercial/Institutional</v>
      </c>
      <c r="C133" s="997">
        <f t="shared" ref="C133:C151" si="5">$C29*$C$19</f>
        <v>0</v>
      </c>
      <c r="D133" s="998">
        <f t="shared" si="4"/>
        <v>0</v>
      </c>
      <c r="E133" s="424"/>
      <c r="F133" s="239"/>
      <c r="G133"/>
      <c r="H133"/>
      <c r="I133"/>
      <c r="J133"/>
      <c r="K133"/>
      <c r="L133"/>
      <c r="M133" s="308"/>
    </row>
    <row r="134" spans="1:13" s="109" customFormat="1">
      <c r="A134" s="284"/>
      <c r="B134" s="99" t="str">
        <f>'Background Controls'!I7</f>
        <v>Industrial</v>
      </c>
      <c r="C134" s="997">
        <f t="shared" si="5"/>
        <v>0</v>
      </c>
      <c r="D134" s="998">
        <f t="shared" si="4"/>
        <v>0</v>
      </c>
      <c r="E134" s="424"/>
      <c r="F134" s="239"/>
      <c r="G134"/>
      <c r="H134"/>
      <c r="I134"/>
      <c r="J134"/>
      <c r="K134"/>
      <c r="L134"/>
      <c r="M134" s="308"/>
    </row>
    <row r="135" spans="1:13" s="109" customFormat="1">
      <c r="A135" s="284"/>
      <c r="B135" s="99" t="str">
        <f>'Background Controls'!I8</f>
        <v>Energy Generation</v>
      </c>
      <c r="C135" s="997">
        <f t="shared" si="5"/>
        <v>0</v>
      </c>
      <c r="D135" s="998">
        <f t="shared" si="4"/>
        <v>0</v>
      </c>
      <c r="E135" s="424"/>
      <c r="F135" s="239"/>
      <c r="G135"/>
      <c r="H135"/>
      <c r="I135"/>
      <c r="J135"/>
      <c r="K135"/>
      <c r="L135"/>
      <c r="M135" s="308"/>
    </row>
    <row r="136" spans="1:13" s="109" customFormat="1" hidden="1">
      <c r="A136" s="284"/>
      <c r="B136" s="99">
        <f>'Background Controls'!I9</f>
        <v>0</v>
      </c>
      <c r="C136" s="997">
        <f t="shared" si="5"/>
        <v>0</v>
      </c>
      <c r="D136" s="998">
        <f t="shared" si="4"/>
        <v>0</v>
      </c>
      <c r="E136" s="424"/>
      <c r="F136" s="239"/>
      <c r="G136"/>
      <c r="H136"/>
      <c r="I136"/>
      <c r="J136"/>
      <c r="K136"/>
      <c r="L136"/>
      <c r="M136" s="308"/>
    </row>
    <row r="137" spans="1:13" s="109" customFormat="1" hidden="1">
      <c r="A137" s="284"/>
      <c r="B137" s="99">
        <f>'Background Controls'!I10</f>
        <v>0</v>
      </c>
      <c r="C137" s="997">
        <f t="shared" si="5"/>
        <v>0</v>
      </c>
      <c r="D137" s="998">
        <f t="shared" si="4"/>
        <v>0</v>
      </c>
      <c r="E137" s="424"/>
      <c r="F137" s="239"/>
      <c r="G137"/>
      <c r="H137"/>
      <c r="I137"/>
      <c r="J137"/>
      <c r="K137"/>
      <c r="L137"/>
      <c r="M137" s="308"/>
    </row>
    <row r="138" spans="1:13" s="109" customFormat="1" hidden="1">
      <c r="A138" s="284"/>
      <c r="B138" s="99">
        <f>'Background Controls'!I11</f>
        <v>0</v>
      </c>
      <c r="C138" s="997">
        <f t="shared" si="5"/>
        <v>0</v>
      </c>
      <c r="D138" s="998">
        <f t="shared" si="4"/>
        <v>0</v>
      </c>
      <c r="E138" s="424"/>
      <c r="F138" s="239"/>
      <c r="G138"/>
      <c r="H138"/>
      <c r="I138"/>
      <c r="J138"/>
      <c r="K138"/>
      <c r="L138"/>
      <c r="M138" s="308"/>
    </row>
    <row r="139" spans="1:13" s="109" customFormat="1" hidden="1">
      <c r="A139" s="284"/>
      <c r="B139" s="99">
        <f>'Background Controls'!I12</f>
        <v>0</v>
      </c>
      <c r="C139" s="997">
        <f t="shared" si="5"/>
        <v>0</v>
      </c>
      <c r="D139" s="998">
        <f t="shared" si="4"/>
        <v>0</v>
      </c>
      <c r="E139" s="424"/>
      <c r="F139" s="239"/>
      <c r="G139"/>
      <c r="H139"/>
      <c r="I139"/>
      <c r="J139"/>
      <c r="K139"/>
      <c r="L139"/>
      <c r="M139" s="308"/>
    </row>
    <row r="140" spans="1:13" s="109" customFormat="1" hidden="1">
      <c r="A140" s="284"/>
      <c r="B140" s="99">
        <f>'Background Controls'!I13</f>
        <v>0</v>
      </c>
      <c r="C140" s="997">
        <f t="shared" si="5"/>
        <v>0</v>
      </c>
      <c r="D140" s="998">
        <f t="shared" si="4"/>
        <v>0</v>
      </c>
      <c r="E140" s="424"/>
      <c r="F140" s="239"/>
      <c r="G140"/>
      <c r="H140"/>
      <c r="I140"/>
      <c r="J140"/>
      <c r="K140"/>
      <c r="L140"/>
      <c r="M140" s="308"/>
    </row>
    <row r="141" spans="1:13" s="109" customFormat="1" hidden="1">
      <c r="A141" s="284"/>
      <c r="B141" s="99">
        <f>'Background Controls'!I14</f>
        <v>0</v>
      </c>
      <c r="C141" s="997">
        <f t="shared" si="5"/>
        <v>0</v>
      </c>
      <c r="D141" s="998">
        <f t="shared" si="4"/>
        <v>0</v>
      </c>
      <c r="E141" s="424"/>
      <c r="F141" s="239"/>
      <c r="G141"/>
      <c r="H141"/>
      <c r="I141"/>
      <c r="J141"/>
      <c r="K141"/>
      <c r="L141"/>
      <c r="M141" s="308"/>
    </row>
    <row r="142" spans="1:13" s="109" customFormat="1" hidden="1">
      <c r="A142" s="284"/>
      <c r="B142" s="99">
        <f>'Background Controls'!I15</f>
        <v>0</v>
      </c>
      <c r="C142" s="997">
        <f t="shared" si="5"/>
        <v>0</v>
      </c>
      <c r="D142" s="998">
        <f t="shared" si="4"/>
        <v>0</v>
      </c>
      <c r="E142" s="424"/>
      <c r="F142" s="239"/>
      <c r="G142"/>
      <c r="H142"/>
      <c r="I142"/>
      <c r="J142"/>
      <c r="K142"/>
      <c r="L142"/>
      <c r="M142" s="308"/>
    </row>
    <row r="143" spans="1:13" s="109" customFormat="1" hidden="1">
      <c r="A143" s="284"/>
      <c r="B143" s="99">
        <f>'Background Controls'!I16</f>
        <v>0</v>
      </c>
      <c r="C143" s="997">
        <f t="shared" si="5"/>
        <v>0</v>
      </c>
      <c r="D143" s="998">
        <f t="shared" si="4"/>
        <v>0</v>
      </c>
      <c r="E143" s="424"/>
      <c r="F143" s="239"/>
      <c r="G143"/>
      <c r="H143"/>
      <c r="I143"/>
      <c r="J143"/>
      <c r="K143"/>
      <c r="L143"/>
      <c r="M143" s="308"/>
    </row>
    <row r="144" spans="1:13" s="109" customFormat="1" hidden="1">
      <c r="A144" s="284"/>
      <c r="B144" s="99">
        <f>'Background Controls'!I17</f>
        <v>0</v>
      </c>
      <c r="C144" s="997">
        <f>$C40*$C$19</f>
        <v>0</v>
      </c>
      <c r="D144" s="998">
        <f t="shared" si="4"/>
        <v>0</v>
      </c>
      <c r="E144" s="424"/>
      <c r="F144" s="239"/>
      <c r="G144"/>
      <c r="H144"/>
      <c r="I144"/>
      <c r="J144"/>
      <c r="K144"/>
      <c r="L144"/>
      <c r="M144" s="308"/>
    </row>
    <row r="145" spans="1:13" s="109" customFormat="1" hidden="1">
      <c r="A145" s="284"/>
      <c r="B145" s="99">
        <f>'Background Controls'!I18</f>
        <v>0</v>
      </c>
      <c r="C145" s="997">
        <f t="shared" si="5"/>
        <v>0</v>
      </c>
      <c r="D145" s="998">
        <f t="shared" si="4"/>
        <v>0</v>
      </c>
      <c r="E145" s="424"/>
      <c r="F145" s="239"/>
      <c r="G145"/>
      <c r="H145"/>
      <c r="I145"/>
      <c r="J145"/>
      <c r="K145"/>
      <c r="L145"/>
      <c r="M145" s="308"/>
    </row>
    <row r="146" spans="1:13" s="109" customFormat="1" hidden="1">
      <c r="A146" s="284"/>
      <c r="B146" s="99">
        <f>'Background Controls'!I19</f>
        <v>0</v>
      </c>
      <c r="C146" s="997">
        <f t="shared" si="5"/>
        <v>0</v>
      </c>
      <c r="D146" s="998">
        <f t="shared" si="4"/>
        <v>0</v>
      </c>
      <c r="E146" s="424"/>
      <c r="F146" s="239"/>
      <c r="G146"/>
      <c r="H146"/>
      <c r="I146"/>
      <c r="J146"/>
      <c r="K146"/>
      <c r="L146"/>
      <c r="M146" s="308"/>
    </row>
    <row r="147" spans="1:13" s="109" customFormat="1" hidden="1">
      <c r="A147" s="284"/>
      <c r="B147" s="99">
        <f>'Background Controls'!I20</f>
        <v>0</v>
      </c>
      <c r="C147" s="997">
        <f t="shared" si="5"/>
        <v>0</v>
      </c>
      <c r="D147" s="998">
        <f t="shared" si="4"/>
        <v>0</v>
      </c>
      <c r="E147" s="424"/>
      <c r="F147" s="239"/>
      <c r="G147"/>
      <c r="H147"/>
      <c r="I147"/>
      <c r="J147"/>
      <c r="K147"/>
      <c r="L147"/>
      <c r="M147" s="308"/>
    </row>
    <row r="148" spans="1:13" s="109" customFormat="1" hidden="1">
      <c r="A148" s="284"/>
      <c r="B148" s="99">
        <f>'Background Controls'!I21</f>
        <v>0</v>
      </c>
      <c r="C148" s="997">
        <f t="shared" si="5"/>
        <v>0</v>
      </c>
      <c r="D148" s="998">
        <f t="shared" si="4"/>
        <v>0</v>
      </c>
      <c r="E148" s="424"/>
      <c r="F148" s="239"/>
      <c r="G148"/>
      <c r="H148"/>
      <c r="I148"/>
      <c r="J148"/>
      <c r="K148"/>
      <c r="L148"/>
      <c r="M148" s="308"/>
    </row>
    <row r="149" spans="1:13" s="109" customFormat="1" hidden="1">
      <c r="A149" s="284"/>
      <c r="B149" s="99">
        <f>'Background Controls'!I22</f>
        <v>0</v>
      </c>
      <c r="C149" s="997">
        <f t="shared" si="5"/>
        <v>0</v>
      </c>
      <c r="D149" s="998">
        <f t="shared" si="4"/>
        <v>0</v>
      </c>
      <c r="E149" s="424"/>
      <c r="F149" s="239"/>
      <c r="G149"/>
      <c r="H149"/>
      <c r="I149"/>
      <c r="J149"/>
      <c r="K149"/>
      <c r="L149"/>
      <c r="M149" s="308"/>
    </row>
    <row r="150" spans="1:13" s="109" customFormat="1" hidden="1">
      <c r="A150" s="284"/>
      <c r="B150" s="99">
        <f>'Background Controls'!I23</f>
        <v>0</v>
      </c>
      <c r="C150" s="997">
        <f t="shared" si="5"/>
        <v>0</v>
      </c>
      <c r="D150" s="998">
        <f t="shared" si="4"/>
        <v>0</v>
      </c>
      <c r="E150" s="424"/>
      <c r="F150" s="239"/>
      <c r="G150"/>
      <c r="H150"/>
      <c r="I150"/>
      <c r="J150"/>
      <c r="K150"/>
      <c r="L150"/>
      <c r="M150" s="308"/>
    </row>
    <row r="151" spans="1:13" s="109" customFormat="1" hidden="1">
      <c r="A151" s="284"/>
      <c r="B151" s="99">
        <f>'Background Controls'!I24</f>
        <v>0</v>
      </c>
      <c r="C151" s="997">
        <f t="shared" si="5"/>
        <v>0</v>
      </c>
      <c r="D151" s="998">
        <f t="shared" si="4"/>
        <v>0</v>
      </c>
      <c r="E151" s="424"/>
      <c r="F151" s="239"/>
      <c r="G151"/>
      <c r="H151"/>
      <c r="I151"/>
      <c r="J151"/>
      <c r="K151"/>
      <c r="L151"/>
      <c r="M151" s="308"/>
    </row>
    <row r="152" spans="1:13" s="109" customFormat="1">
      <c r="A152" s="284"/>
      <c r="B152" s="860" t="s">
        <v>253</v>
      </c>
      <c r="C152" s="999">
        <f>SUM(C132:C151)</f>
        <v>0</v>
      </c>
      <c r="D152" s="1000">
        <f t="shared" si="4"/>
        <v>0</v>
      </c>
      <c r="E152" s="541"/>
      <c r="F152" s="542"/>
      <c r="G152"/>
      <c r="H152"/>
      <c r="I152"/>
      <c r="J152"/>
      <c r="K152"/>
      <c r="L152"/>
      <c r="M152" s="308"/>
    </row>
    <row r="153" spans="1:13" s="109" customFormat="1">
      <c r="A153" s="284"/>
      <c r="B153"/>
      <c r="C153"/>
      <c r="D153"/>
      <c r="E153"/>
      <c r="F153"/>
      <c r="G153"/>
      <c r="H153"/>
      <c r="I153"/>
      <c r="J153"/>
      <c r="K153"/>
      <c r="L153"/>
      <c r="M153" s="308"/>
    </row>
    <row r="154" spans="1:13" s="109" customFormat="1">
      <c r="A154" s="268" t="s">
        <v>764</v>
      </c>
      <c r="B154"/>
      <c r="C154"/>
      <c r="D154"/>
      <c r="E154"/>
      <c r="F154"/>
      <c r="G154"/>
      <c r="H154"/>
      <c r="I154"/>
      <c r="J154"/>
      <c r="K154"/>
      <c r="L154"/>
      <c r="M154" s="308"/>
    </row>
    <row r="155" spans="1:13" s="109" customFormat="1" ht="16.5">
      <c r="A155" s="286" t="s">
        <v>765</v>
      </c>
      <c r="B155"/>
      <c r="C155"/>
      <c r="D155"/>
      <c r="E155"/>
      <c r="F155"/>
      <c r="G155"/>
      <c r="H155"/>
      <c r="I155"/>
      <c r="J155"/>
      <c r="K155"/>
      <c r="L155"/>
      <c r="M155" s="308"/>
    </row>
    <row r="156" spans="1:13" s="109" customFormat="1" ht="16.5">
      <c r="A156" s="284"/>
      <c r="B156" s="1074" t="s">
        <v>766</v>
      </c>
      <c r="C156" s="1075"/>
      <c r="D156" s="1076"/>
      <c r="E156" s="534"/>
      <c r="F156" s="1"/>
      <c r="G156" s="1"/>
      <c r="H156"/>
      <c r="I156"/>
      <c r="J156"/>
      <c r="K156"/>
      <c r="L156"/>
      <c r="M156" s="308"/>
    </row>
    <row r="157" spans="1:13" s="109" customFormat="1">
      <c r="A157" s="284"/>
      <c r="B157" s="860"/>
      <c r="C157" s="97"/>
      <c r="D157" s="529" t="s">
        <v>263</v>
      </c>
      <c r="E157" s="531"/>
      <c r="F157" s="54"/>
      <c r="G157"/>
      <c r="H157" s="57"/>
      <c r="I157"/>
      <c r="J157" s="57"/>
      <c r="K157"/>
      <c r="L157"/>
      <c r="M157" s="308"/>
    </row>
    <row r="158" spans="1:13" s="109" customFormat="1" ht="29">
      <c r="A158" s="284"/>
      <c r="B158" s="212" t="s">
        <v>767</v>
      </c>
      <c r="C158" s="530">
        <f>AVERAGE(Factors!$C$343:$C$346)</f>
        <v>5604.397429120615</v>
      </c>
      <c r="D158" s="1001"/>
      <c r="E158" s="543"/>
      <c r="F158" s="544"/>
      <c r="G158"/>
      <c r="H158" s="57"/>
      <c r="I158"/>
      <c r="J158" s="57"/>
      <c r="K158"/>
      <c r="L158"/>
      <c r="M158" s="308"/>
    </row>
    <row r="159" spans="1:13" s="109" customFormat="1">
      <c r="A159" s="284"/>
      <c r="B159" s="212" t="s">
        <v>768</v>
      </c>
      <c r="C159" s="530" t="str">
        <f>IF(MyYear=0,"",VLOOKUP("CO2", water_factors_elec, elec_colindex_MyYear, FALSE))</f>
        <v/>
      </c>
      <c r="D159" s="1001"/>
      <c r="E159" s="545"/>
      <c r="F159" s="546"/>
      <c r="G159"/>
      <c r="H159" s="57"/>
      <c r="I159"/>
      <c r="J159" s="57"/>
      <c r="K159"/>
      <c r="L159"/>
      <c r="M159" s="308"/>
    </row>
    <row r="160" spans="1:13" s="109" customFormat="1">
      <c r="A160" s="284" t="s">
        <v>101</v>
      </c>
      <c r="B160" s="99" t="str">
        <f>'Background Controls'!I5</f>
        <v>Residential</v>
      </c>
      <c r="C160" s="748" t="str">
        <f t="shared" ref="C160:C179" si="6">IF(C132=0,"-",C132*C$158*gal_MG*C$159*lb_mt*kWh_MWh*CO2_CO2e)</f>
        <v>-</v>
      </c>
      <c r="D160" s="1002" t="str">
        <f t="shared" ref="D160:D180" si="7">C160</f>
        <v>-</v>
      </c>
      <c r="E160" s="547"/>
      <c r="F160" s="548"/>
      <c r="G160"/>
      <c r="H160"/>
      <c r="I160" s="62"/>
      <c r="J160" s="62"/>
      <c r="K160" s="62"/>
      <c r="L160" s="62"/>
      <c r="M160" s="308"/>
    </row>
    <row r="161" spans="1:13" s="109" customFormat="1">
      <c r="A161" s="284"/>
      <c r="B161" s="99" t="str">
        <f>'Background Controls'!I6</f>
        <v>Commercial/Institutional</v>
      </c>
      <c r="C161" s="748" t="str">
        <f t="shared" si="6"/>
        <v>-</v>
      </c>
      <c r="D161" s="1002" t="str">
        <f t="shared" si="7"/>
        <v>-</v>
      </c>
      <c r="E161" s="547"/>
      <c r="F161" s="548"/>
      <c r="G161"/>
      <c r="H161" s="56"/>
      <c r="I161" s="167"/>
      <c r="J161" s="167"/>
      <c r="K161" s="167"/>
      <c r="L161" s="62"/>
      <c r="M161" s="308"/>
    </row>
    <row r="162" spans="1:13" s="109" customFormat="1">
      <c r="A162" s="284"/>
      <c r="B162" s="99" t="str">
        <f>'Background Controls'!I7</f>
        <v>Industrial</v>
      </c>
      <c r="C162" s="748" t="str">
        <f t="shared" si="6"/>
        <v>-</v>
      </c>
      <c r="D162" s="1002" t="str">
        <f t="shared" si="7"/>
        <v>-</v>
      </c>
      <c r="E162" s="547"/>
      <c r="F162" s="548"/>
      <c r="G162"/>
      <c r="H162" s="56"/>
      <c r="I162" s="246"/>
      <c r="J162" s="58"/>
      <c r="K162" s="58"/>
      <c r="L162" s="62"/>
      <c r="M162" s="308"/>
    </row>
    <row r="163" spans="1:13" s="109" customFormat="1">
      <c r="A163" s="284"/>
      <c r="B163" s="99" t="str">
        <f>'Background Controls'!I8</f>
        <v>Energy Generation</v>
      </c>
      <c r="C163" s="748" t="str">
        <f t="shared" si="6"/>
        <v>-</v>
      </c>
      <c r="D163" s="1002" t="str">
        <f t="shared" si="7"/>
        <v>-</v>
      </c>
      <c r="E163" s="547"/>
      <c r="F163" s="548"/>
      <c r="G163"/>
      <c r="H163" s="1"/>
      <c r="I163" s="247"/>
      <c r="J163" s="241"/>
      <c r="K163" s="241"/>
      <c r="L163" s="61"/>
      <c r="M163" s="308"/>
    </row>
    <row r="164" spans="1:13" s="109" customFormat="1" hidden="1">
      <c r="A164" s="284"/>
      <c r="B164" s="99">
        <f>'Background Controls'!I9</f>
        <v>0</v>
      </c>
      <c r="C164" s="748" t="str">
        <f t="shared" si="6"/>
        <v>-</v>
      </c>
      <c r="D164" s="1002" t="str">
        <f t="shared" si="7"/>
        <v>-</v>
      </c>
      <c r="E164" s="547"/>
      <c r="F164" s="548"/>
      <c r="G164"/>
      <c r="H164" s="1"/>
      <c r="I164" s="241"/>
      <c r="J164" s="241"/>
      <c r="K164" s="241"/>
      <c r="L164" s="61"/>
      <c r="M164" s="308"/>
    </row>
    <row r="165" spans="1:13" s="109" customFormat="1" hidden="1">
      <c r="A165" s="284"/>
      <c r="B165" s="99">
        <f>'Background Controls'!I10</f>
        <v>0</v>
      </c>
      <c r="C165" s="748" t="str">
        <f t="shared" si="6"/>
        <v>-</v>
      </c>
      <c r="D165" s="1002" t="str">
        <f t="shared" si="7"/>
        <v>-</v>
      </c>
      <c r="E165" s="547"/>
      <c r="F165" s="548"/>
      <c r="G165"/>
      <c r="H165" s="1"/>
      <c r="I165" s="241"/>
      <c r="J165" s="241"/>
      <c r="K165" s="241"/>
      <c r="L165" s="61"/>
      <c r="M165" s="308"/>
    </row>
    <row r="166" spans="1:13" s="109" customFormat="1" hidden="1">
      <c r="A166" s="284"/>
      <c r="B166" s="99">
        <f>'Background Controls'!I11</f>
        <v>0</v>
      </c>
      <c r="C166" s="748" t="str">
        <f t="shared" si="6"/>
        <v>-</v>
      </c>
      <c r="D166" s="1002" t="str">
        <f t="shared" si="7"/>
        <v>-</v>
      </c>
      <c r="E166" s="547"/>
      <c r="F166" s="548"/>
      <c r="G166"/>
      <c r="H166" s="1"/>
      <c r="I166" s="241"/>
      <c r="J166" s="241"/>
      <c r="K166" s="241"/>
      <c r="L166" s="61"/>
      <c r="M166" s="308"/>
    </row>
    <row r="167" spans="1:13" s="109" customFormat="1" hidden="1">
      <c r="A167" s="284"/>
      <c r="B167" s="99">
        <f>'Background Controls'!I12</f>
        <v>0</v>
      </c>
      <c r="C167" s="748" t="str">
        <f t="shared" si="6"/>
        <v>-</v>
      </c>
      <c r="D167" s="1002" t="str">
        <f t="shared" si="7"/>
        <v>-</v>
      </c>
      <c r="E167" s="547"/>
      <c r="F167" s="548"/>
      <c r="G167"/>
      <c r="H167" s="1"/>
      <c r="I167" s="241"/>
      <c r="J167" s="241"/>
      <c r="K167" s="241"/>
      <c r="L167" s="61"/>
      <c r="M167" s="308"/>
    </row>
    <row r="168" spans="1:13" s="109" customFormat="1" hidden="1">
      <c r="A168" s="284"/>
      <c r="B168" s="99">
        <f>'Background Controls'!I13</f>
        <v>0</v>
      </c>
      <c r="C168" s="748" t="str">
        <f t="shared" si="6"/>
        <v>-</v>
      </c>
      <c r="D168" s="1002" t="str">
        <f t="shared" si="7"/>
        <v>-</v>
      </c>
      <c r="E168" s="547"/>
      <c r="F168" s="548"/>
      <c r="G168"/>
      <c r="H168" s="1"/>
      <c r="I168" s="241"/>
      <c r="J168" s="241"/>
      <c r="K168" s="241"/>
      <c r="L168" s="61"/>
      <c r="M168" s="308"/>
    </row>
    <row r="169" spans="1:13" s="109" customFormat="1" hidden="1">
      <c r="A169" s="284"/>
      <c r="B169" s="99">
        <f>'Background Controls'!I14</f>
        <v>0</v>
      </c>
      <c r="C169" s="748" t="str">
        <f t="shared" si="6"/>
        <v>-</v>
      </c>
      <c r="D169" s="1002" t="str">
        <f t="shared" si="7"/>
        <v>-</v>
      </c>
      <c r="E169" s="547"/>
      <c r="F169" s="548"/>
      <c r="G169"/>
      <c r="H169" s="1"/>
      <c r="I169" s="241"/>
      <c r="J169" s="241"/>
      <c r="K169" s="241"/>
      <c r="L169" s="61"/>
      <c r="M169" s="308"/>
    </row>
    <row r="170" spans="1:13" s="109" customFormat="1" hidden="1">
      <c r="A170" s="284"/>
      <c r="B170" s="99">
        <f>'Background Controls'!I15</f>
        <v>0</v>
      </c>
      <c r="C170" s="748" t="str">
        <f t="shared" si="6"/>
        <v>-</v>
      </c>
      <c r="D170" s="1002" t="str">
        <f t="shared" si="7"/>
        <v>-</v>
      </c>
      <c r="E170" s="547"/>
      <c r="F170" s="548"/>
      <c r="G170"/>
      <c r="H170" s="1"/>
      <c r="I170" s="241"/>
      <c r="J170" s="241"/>
      <c r="K170" s="241"/>
      <c r="L170" s="61"/>
      <c r="M170" s="308"/>
    </row>
    <row r="171" spans="1:13" s="109" customFormat="1" hidden="1">
      <c r="A171" s="284"/>
      <c r="B171" s="99">
        <f>'Background Controls'!I16</f>
        <v>0</v>
      </c>
      <c r="C171" s="748" t="str">
        <f t="shared" si="6"/>
        <v>-</v>
      </c>
      <c r="D171" s="1002" t="str">
        <f t="shared" si="7"/>
        <v>-</v>
      </c>
      <c r="E171" s="547"/>
      <c r="F171" s="548"/>
      <c r="G171"/>
      <c r="H171" s="1"/>
      <c r="I171" s="241"/>
      <c r="J171" s="241"/>
      <c r="K171" s="241"/>
      <c r="L171" s="61"/>
      <c r="M171" s="308"/>
    </row>
    <row r="172" spans="1:13" s="109" customFormat="1" hidden="1">
      <c r="A172" s="284"/>
      <c r="B172" s="99">
        <f>'Background Controls'!I17</f>
        <v>0</v>
      </c>
      <c r="C172" s="748" t="str">
        <f t="shared" si="6"/>
        <v>-</v>
      </c>
      <c r="D172" s="1002" t="str">
        <f t="shared" si="7"/>
        <v>-</v>
      </c>
      <c r="E172" s="547"/>
      <c r="F172" s="548"/>
      <c r="G172"/>
      <c r="H172" s="1"/>
      <c r="I172" s="241"/>
      <c r="J172" s="241"/>
      <c r="K172" s="241"/>
      <c r="L172" s="61"/>
      <c r="M172" s="308"/>
    </row>
    <row r="173" spans="1:13" s="109" customFormat="1" hidden="1">
      <c r="A173" s="284"/>
      <c r="B173" s="99">
        <f>'Background Controls'!I18</f>
        <v>0</v>
      </c>
      <c r="C173" s="748" t="str">
        <f t="shared" si="6"/>
        <v>-</v>
      </c>
      <c r="D173" s="1002" t="str">
        <f t="shared" si="7"/>
        <v>-</v>
      </c>
      <c r="E173" s="547"/>
      <c r="F173" s="548"/>
      <c r="G173"/>
      <c r="H173" s="1"/>
      <c r="I173" s="241"/>
      <c r="J173" s="241"/>
      <c r="K173" s="241"/>
      <c r="L173" s="61"/>
      <c r="M173" s="308"/>
    </row>
    <row r="174" spans="1:13" s="109" customFormat="1" hidden="1">
      <c r="A174" s="284"/>
      <c r="B174" s="99">
        <f>'Background Controls'!I19</f>
        <v>0</v>
      </c>
      <c r="C174" s="748" t="str">
        <f t="shared" si="6"/>
        <v>-</v>
      </c>
      <c r="D174" s="1002" t="str">
        <f t="shared" si="7"/>
        <v>-</v>
      </c>
      <c r="E174" s="547"/>
      <c r="F174" s="548"/>
      <c r="G174"/>
      <c r="H174" s="1"/>
      <c r="I174" s="241"/>
      <c r="J174" s="241"/>
      <c r="K174" s="241"/>
      <c r="L174" s="61"/>
      <c r="M174" s="308"/>
    </row>
    <row r="175" spans="1:13" s="109" customFormat="1" hidden="1">
      <c r="A175" s="284"/>
      <c r="B175" s="99">
        <f>'Background Controls'!I20</f>
        <v>0</v>
      </c>
      <c r="C175" s="748" t="str">
        <f t="shared" si="6"/>
        <v>-</v>
      </c>
      <c r="D175" s="1002" t="str">
        <f t="shared" si="7"/>
        <v>-</v>
      </c>
      <c r="E175" s="547"/>
      <c r="F175" s="548"/>
      <c r="G175"/>
      <c r="H175" s="1"/>
      <c r="I175" s="241"/>
      <c r="J175" s="241"/>
      <c r="K175" s="241"/>
      <c r="L175" s="61"/>
      <c r="M175" s="308"/>
    </row>
    <row r="176" spans="1:13" s="109" customFormat="1" hidden="1">
      <c r="A176" s="284"/>
      <c r="B176" s="99">
        <f>'Background Controls'!I21</f>
        <v>0</v>
      </c>
      <c r="C176" s="748" t="str">
        <f t="shared" si="6"/>
        <v>-</v>
      </c>
      <c r="D176" s="1002" t="str">
        <f t="shared" si="7"/>
        <v>-</v>
      </c>
      <c r="E176" s="547"/>
      <c r="F176" s="548"/>
      <c r="G176"/>
      <c r="H176" s="1"/>
      <c r="I176" s="241"/>
      <c r="J176" s="241"/>
      <c r="K176" s="241"/>
      <c r="L176" s="61"/>
      <c r="M176" s="308"/>
    </row>
    <row r="177" spans="1:13" s="109" customFormat="1" hidden="1">
      <c r="A177" s="284"/>
      <c r="B177" s="99">
        <f>'Background Controls'!I22</f>
        <v>0</v>
      </c>
      <c r="C177" s="748" t="str">
        <f t="shared" si="6"/>
        <v>-</v>
      </c>
      <c r="D177" s="1002" t="str">
        <f t="shared" si="7"/>
        <v>-</v>
      </c>
      <c r="E177" s="547"/>
      <c r="F177" s="548"/>
      <c r="G177"/>
      <c r="H177" s="1"/>
      <c r="I177" s="241"/>
      <c r="J177" s="241"/>
      <c r="K177" s="241"/>
      <c r="L177" s="61"/>
      <c r="M177" s="308"/>
    </row>
    <row r="178" spans="1:13" s="109" customFormat="1" hidden="1">
      <c r="A178" s="284"/>
      <c r="B178" s="99">
        <f>'Background Controls'!I23</f>
        <v>0</v>
      </c>
      <c r="C178" s="748" t="str">
        <f t="shared" si="6"/>
        <v>-</v>
      </c>
      <c r="D178" s="1002" t="str">
        <f t="shared" si="7"/>
        <v>-</v>
      </c>
      <c r="E178" s="547"/>
      <c r="F178" s="548"/>
      <c r="G178"/>
      <c r="H178" s="1"/>
      <c r="I178" s="241"/>
      <c r="J178" s="241"/>
      <c r="K178" s="241"/>
      <c r="L178" s="61"/>
      <c r="M178" s="308"/>
    </row>
    <row r="179" spans="1:13" s="109" customFormat="1" hidden="1">
      <c r="A179" s="284"/>
      <c r="B179" s="99">
        <f>'Background Controls'!I24</f>
        <v>0</v>
      </c>
      <c r="C179" s="748" t="str">
        <f t="shared" si="6"/>
        <v>-</v>
      </c>
      <c r="D179" s="1002" t="str">
        <f t="shared" si="7"/>
        <v>-</v>
      </c>
      <c r="E179" s="547"/>
      <c r="F179" s="548"/>
      <c r="G179"/>
      <c r="H179" s="1"/>
      <c r="I179" s="241"/>
      <c r="J179" s="241"/>
      <c r="K179" s="241"/>
      <c r="L179" s="61"/>
      <c r="M179" s="308"/>
    </row>
    <row r="180" spans="1:13" s="109" customFormat="1">
      <c r="A180" s="284"/>
      <c r="B180" s="860" t="s">
        <v>253</v>
      </c>
      <c r="C180" s="1003">
        <f>SUM(C160:C179)</f>
        <v>0</v>
      </c>
      <c r="D180" s="1004">
        <f t="shared" si="7"/>
        <v>0</v>
      </c>
      <c r="E180" s="547"/>
      <c r="F180" s="548"/>
      <c r="G180"/>
      <c r="H180" s="1"/>
      <c r="I180" s="241"/>
      <c r="J180" s="241"/>
      <c r="K180" s="241"/>
      <c r="L180" s="61"/>
      <c r="M180" s="308"/>
    </row>
    <row r="181" spans="1:13" s="109" customFormat="1">
      <c r="A181" s="284"/>
      <c r="B181" s="1"/>
      <c r="C181" s="105"/>
      <c r="D181" s="105"/>
      <c r="E181" s="105"/>
      <c r="F181" s="61"/>
      <c r="G181"/>
      <c r="H181" s="1"/>
      <c r="I181" s="241"/>
      <c r="J181" s="241"/>
      <c r="K181" s="241"/>
      <c r="L181" s="61"/>
      <c r="M181" s="308"/>
    </row>
    <row r="182" spans="1:13" s="109" customFormat="1" ht="16.5">
      <c r="A182" s="286" t="s">
        <v>769</v>
      </c>
      <c r="B182"/>
      <c r="C182"/>
      <c r="D182"/>
      <c r="E182"/>
      <c r="F182"/>
      <c r="G182"/>
      <c r="H182" s="1"/>
      <c r="I182" s="241"/>
      <c r="J182" s="241"/>
      <c r="K182" s="241"/>
      <c r="L182" s="61"/>
      <c r="M182" s="308"/>
    </row>
    <row r="183" spans="1:13" s="109" customFormat="1" ht="16.5">
      <c r="A183" s="284"/>
      <c r="B183" s="1074" t="s">
        <v>770</v>
      </c>
      <c r="C183" s="1075"/>
      <c r="D183" s="1076"/>
      <c r="E183" s="534"/>
      <c r="F183" s="1"/>
      <c r="G183" s="1"/>
      <c r="H183"/>
      <c r="I183" s="61"/>
      <c r="J183" s="61"/>
      <c r="K183" s="61"/>
      <c r="L183" s="61"/>
      <c r="M183" s="308"/>
    </row>
    <row r="184" spans="1:13" s="109" customFormat="1">
      <c r="A184" s="284"/>
      <c r="B184" s="860"/>
      <c r="C184" s="97"/>
      <c r="D184" s="529" t="s">
        <v>263</v>
      </c>
      <c r="E184" s="531"/>
      <c r="F184" s="54"/>
      <c r="G184"/>
      <c r="H184"/>
      <c r="I184"/>
      <c r="J184"/>
      <c r="K184"/>
      <c r="L184"/>
      <c r="M184" s="308"/>
    </row>
    <row r="185" spans="1:13" s="109" customFormat="1" ht="29">
      <c r="A185" s="284"/>
      <c r="B185" s="212" t="s">
        <v>767</v>
      </c>
      <c r="C185" s="530">
        <f>C158</f>
        <v>5604.397429120615</v>
      </c>
      <c r="D185" s="1001"/>
      <c r="E185" s="535"/>
      <c r="F185" s="536"/>
      <c r="G185"/>
      <c r="H185" s="57"/>
      <c r="I185"/>
      <c r="J185" s="57"/>
      <c r="K185"/>
      <c r="L185"/>
      <c r="M185" s="308"/>
    </row>
    <row r="186" spans="1:13" s="109" customFormat="1" ht="16.5">
      <c r="A186" s="284"/>
      <c r="B186" s="212" t="s">
        <v>771</v>
      </c>
      <c r="C186" s="245" t="str">
        <f>IF(MyYear=0,"",VLOOKUP("CH4", water_factors_elec, elec_colindex_MyYear, FALSE))</f>
        <v/>
      </c>
      <c r="D186" s="1001"/>
      <c r="E186" s="549"/>
      <c r="F186" s="550"/>
      <c r="G186"/>
      <c r="H186"/>
      <c r="I186" s="62"/>
      <c r="J186" s="62"/>
      <c r="K186" s="62"/>
      <c r="L186" s="62"/>
      <c r="M186" s="308"/>
    </row>
    <row r="187" spans="1:13" s="109" customFormat="1">
      <c r="A187" s="284" t="s">
        <v>101</v>
      </c>
      <c r="B187" s="99" t="str">
        <f>'Background Controls'!I5</f>
        <v>Residential</v>
      </c>
      <c r="C187" s="559" t="str">
        <f t="shared" ref="C187:C206" si="8">IF(C132=0,"-",C132*C$185*gal_MG*C$186*lb_mt*kWh_MWh*CH4_CO2e)</f>
        <v>-</v>
      </c>
      <c r="D187" s="1005" t="str">
        <f t="shared" ref="D187:D207" si="9">C187</f>
        <v>-</v>
      </c>
      <c r="E187" s="539"/>
      <c r="F187" s="540"/>
      <c r="G187"/>
      <c r="H187" s="56"/>
      <c r="I187" s="167"/>
      <c r="J187" s="167"/>
      <c r="K187" s="167"/>
      <c r="L187" s="62"/>
      <c r="M187" s="308"/>
    </row>
    <row r="188" spans="1:13" s="109" customFormat="1">
      <c r="A188" s="284"/>
      <c r="B188" s="99" t="str">
        <f>'Background Controls'!I6</f>
        <v>Commercial/Institutional</v>
      </c>
      <c r="C188" s="559" t="str">
        <f t="shared" si="8"/>
        <v>-</v>
      </c>
      <c r="D188" s="1005" t="str">
        <f t="shared" si="9"/>
        <v>-</v>
      </c>
      <c r="E188" s="539"/>
      <c r="F188" s="540"/>
      <c r="G188"/>
      <c r="H188" s="56"/>
      <c r="I188" s="58"/>
      <c r="J188" s="58"/>
      <c r="K188" s="58"/>
      <c r="L188" s="62"/>
      <c r="M188" s="308"/>
    </row>
    <row r="189" spans="1:13" s="109" customFormat="1">
      <c r="A189" s="284"/>
      <c r="B189" s="99" t="str">
        <f>'Background Controls'!I7</f>
        <v>Industrial</v>
      </c>
      <c r="C189" s="559" t="str">
        <f t="shared" si="8"/>
        <v>-</v>
      </c>
      <c r="D189" s="1005" t="str">
        <f t="shared" si="9"/>
        <v>-</v>
      </c>
      <c r="E189" s="539"/>
      <c r="F189" s="540"/>
      <c r="G189"/>
      <c r="H189" s="1"/>
      <c r="I189" s="105"/>
      <c r="J189" s="105"/>
      <c r="K189"/>
      <c r="L189"/>
      <c r="M189" s="308"/>
    </row>
    <row r="190" spans="1:13" s="109" customFormat="1">
      <c r="A190" s="284"/>
      <c r="B190" s="99" t="str">
        <f>'Background Controls'!I8</f>
        <v>Energy Generation</v>
      </c>
      <c r="C190" s="559" t="str">
        <f t="shared" si="8"/>
        <v>-</v>
      </c>
      <c r="D190" s="1005" t="str">
        <f t="shared" si="9"/>
        <v>-</v>
      </c>
      <c r="E190" s="539"/>
      <c r="F190" s="540"/>
      <c r="G190"/>
      <c r="H190" s="1"/>
      <c r="I190" s="105"/>
      <c r="J190" s="105"/>
      <c r="K190"/>
      <c r="L190"/>
      <c r="M190" s="308"/>
    </row>
    <row r="191" spans="1:13" s="109" customFormat="1" hidden="1">
      <c r="A191" s="284"/>
      <c r="B191" s="99">
        <f>'Background Controls'!I9</f>
        <v>0</v>
      </c>
      <c r="C191" s="559" t="str">
        <f t="shared" si="8"/>
        <v>-</v>
      </c>
      <c r="D191" s="1005" t="str">
        <f t="shared" si="9"/>
        <v>-</v>
      </c>
      <c r="E191" s="539"/>
      <c r="F191" s="540"/>
      <c r="G191"/>
      <c r="H191" s="1"/>
      <c r="I191" s="105"/>
      <c r="J191" s="105"/>
      <c r="K191"/>
      <c r="L191"/>
      <c r="M191" s="308"/>
    </row>
    <row r="192" spans="1:13" s="109" customFormat="1" hidden="1">
      <c r="A192" s="284"/>
      <c r="B192" s="99">
        <f>'Background Controls'!I10</f>
        <v>0</v>
      </c>
      <c r="C192" s="559" t="str">
        <f t="shared" si="8"/>
        <v>-</v>
      </c>
      <c r="D192" s="1005" t="str">
        <f t="shared" si="9"/>
        <v>-</v>
      </c>
      <c r="E192" s="539"/>
      <c r="F192" s="540"/>
      <c r="G192"/>
      <c r="H192" s="1"/>
      <c r="I192" s="105"/>
      <c r="J192" s="105"/>
      <c r="K192"/>
      <c r="L192"/>
      <c r="M192" s="308"/>
    </row>
    <row r="193" spans="1:13" s="109" customFormat="1" hidden="1">
      <c r="A193" s="284"/>
      <c r="B193" s="99">
        <f>'Background Controls'!I11</f>
        <v>0</v>
      </c>
      <c r="C193" s="559" t="str">
        <f t="shared" si="8"/>
        <v>-</v>
      </c>
      <c r="D193" s="1005" t="str">
        <f t="shared" si="9"/>
        <v>-</v>
      </c>
      <c r="E193" s="539"/>
      <c r="F193" s="540"/>
      <c r="G193"/>
      <c r="H193" s="1"/>
      <c r="I193" s="105"/>
      <c r="J193" s="105"/>
      <c r="K193"/>
      <c r="L193"/>
      <c r="M193" s="308"/>
    </row>
    <row r="194" spans="1:13" s="109" customFormat="1" hidden="1">
      <c r="A194" s="284"/>
      <c r="B194" s="99">
        <f>'Background Controls'!I12</f>
        <v>0</v>
      </c>
      <c r="C194" s="559" t="str">
        <f t="shared" si="8"/>
        <v>-</v>
      </c>
      <c r="D194" s="1005" t="str">
        <f t="shared" si="9"/>
        <v>-</v>
      </c>
      <c r="E194" s="539"/>
      <c r="F194" s="540"/>
      <c r="G194"/>
      <c r="H194" s="1"/>
      <c r="I194" s="105"/>
      <c r="J194" s="105"/>
      <c r="K194"/>
      <c r="L194"/>
      <c r="M194" s="308"/>
    </row>
    <row r="195" spans="1:13" s="109" customFormat="1" hidden="1">
      <c r="A195" s="284"/>
      <c r="B195" s="99">
        <f>'Background Controls'!I13</f>
        <v>0</v>
      </c>
      <c r="C195" s="559" t="str">
        <f t="shared" si="8"/>
        <v>-</v>
      </c>
      <c r="D195" s="1005" t="str">
        <f t="shared" si="9"/>
        <v>-</v>
      </c>
      <c r="E195" s="539"/>
      <c r="F195" s="540"/>
      <c r="G195"/>
      <c r="H195" s="1"/>
      <c r="I195" s="105"/>
      <c r="J195" s="105"/>
      <c r="K195"/>
      <c r="L195"/>
      <c r="M195" s="308"/>
    </row>
    <row r="196" spans="1:13" s="109" customFormat="1" hidden="1">
      <c r="A196" s="284"/>
      <c r="B196" s="99">
        <f>'Background Controls'!I14</f>
        <v>0</v>
      </c>
      <c r="C196" s="559" t="str">
        <f t="shared" si="8"/>
        <v>-</v>
      </c>
      <c r="D196" s="1005" t="str">
        <f t="shared" si="9"/>
        <v>-</v>
      </c>
      <c r="E196" s="539"/>
      <c r="F196" s="540"/>
      <c r="G196"/>
      <c r="H196" s="1"/>
      <c r="I196" s="105"/>
      <c r="J196" s="105"/>
      <c r="K196"/>
      <c r="L196"/>
      <c r="M196" s="308"/>
    </row>
    <row r="197" spans="1:13" s="109" customFormat="1" hidden="1">
      <c r="A197" s="284"/>
      <c r="B197" s="99">
        <f>'Background Controls'!I15</f>
        <v>0</v>
      </c>
      <c r="C197" s="559" t="str">
        <f t="shared" si="8"/>
        <v>-</v>
      </c>
      <c r="D197" s="1005" t="str">
        <f t="shared" si="9"/>
        <v>-</v>
      </c>
      <c r="E197" s="539"/>
      <c r="F197" s="540"/>
      <c r="G197"/>
      <c r="H197" s="1"/>
      <c r="I197" s="105"/>
      <c r="J197" s="105"/>
      <c r="K197"/>
      <c r="L197"/>
      <c r="M197" s="308"/>
    </row>
    <row r="198" spans="1:13" s="109" customFormat="1" hidden="1">
      <c r="A198" s="284"/>
      <c r="B198" s="99">
        <f>'Background Controls'!I16</f>
        <v>0</v>
      </c>
      <c r="C198" s="559" t="str">
        <f t="shared" si="8"/>
        <v>-</v>
      </c>
      <c r="D198" s="1005" t="str">
        <f t="shared" si="9"/>
        <v>-</v>
      </c>
      <c r="E198" s="539"/>
      <c r="F198" s="540"/>
      <c r="G198"/>
      <c r="H198" s="1"/>
      <c r="I198" s="105"/>
      <c r="J198" s="105"/>
      <c r="K198"/>
      <c r="L198"/>
      <c r="M198" s="308"/>
    </row>
    <row r="199" spans="1:13" s="109" customFormat="1" hidden="1">
      <c r="A199" s="284"/>
      <c r="B199" s="99">
        <f>'Background Controls'!I17</f>
        <v>0</v>
      </c>
      <c r="C199" s="559" t="str">
        <f t="shared" si="8"/>
        <v>-</v>
      </c>
      <c r="D199" s="1005" t="str">
        <f t="shared" si="9"/>
        <v>-</v>
      </c>
      <c r="E199" s="539"/>
      <c r="F199" s="540"/>
      <c r="G199"/>
      <c r="H199" s="1"/>
      <c r="I199" s="105"/>
      <c r="J199" s="105"/>
      <c r="K199"/>
      <c r="L199"/>
      <c r="M199" s="308"/>
    </row>
    <row r="200" spans="1:13" s="109" customFormat="1" hidden="1">
      <c r="A200" s="284"/>
      <c r="B200" s="99">
        <f>'Background Controls'!I18</f>
        <v>0</v>
      </c>
      <c r="C200" s="559" t="str">
        <f t="shared" si="8"/>
        <v>-</v>
      </c>
      <c r="D200" s="1005" t="str">
        <f t="shared" si="9"/>
        <v>-</v>
      </c>
      <c r="E200" s="539"/>
      <c r="F200" s="540"/>
      <c r="G200"/>
      <c r="H200" s="1"/>
      <c r="I200" s="105"/>
      <c r="J200" s="105"/>
      <c r="K200"/>
      <c r="L200"/>
      <c r="M200" s="308"/>
    </row>
    <row r="201" spans="1:13" s="109" customFormat="1" hidden="1">
      <c r="A201" s="284"/>
      <c r="B201" s="99">
        <f>'Background Controls'!I19</f>
        <v>0</v>
      </c>
      <c r="C201" s="559" t="str">
        <f t="shared" si="8"/>
        <v>-</v>
      </c>
      <c r="D201" s="1005" t="str">
        <f t="shared" si="9"/>
        <v>-</v>
      </c>
      <c r="E201" s="539"/>
      <c r="F201" s="540"/>
      <c r="G201"/>
      <c r="H201" s="1"/>
      <c r="I201" s="105"/>
      <c r="J201" s="105"/>
      <c r="K201"/>
      <c r="L201"/>
      <c r="M201" s="308"/>
    </row>
    <row r="202" spans="1:13" s="109" customFormat="1" hidden="1">
      <c r="A202" s="284"/>
      <c r="B202" s="99">
        <f>'Background Controls'!I20</f>
        <v>0</v>
      </c>
      <c r="C202" s="559" t="str">
        <f t="shared" si="8"/>
        <v>-</v>
      </c>
      <c r="D202" s="1005" t="str">
        <f t="shared" si="9"/>
        <v>-</v>
      </c>
      <c r="E202" s="539"/>
      <c r="F202" s="540"/>
      <c r="G202"/>
      <c r="H202" s="1"/>
      <c r="I202" s="105"/>
      <c r="J202" s="105"/>
      <c r="K202"/>
      <c r="L202"/>
      <c r="M202" s="308"/>
    </row>
    <row r="203" spans="1:13" s="109" customFormat="1" hidden="1">
      <c r="A203" s="284"/>
      <c r="B203" s="99">
        <f>'Background Controls'!I21</f>
        <v>0</v>
      </c>
      <c r="C203" s="559" t="str">
        <f t="shared" si="8"/>
        <v>-</v>
      </c>
      <c r="D203" s="1005" t="str">
        <f t="shared" si="9"/>
        <v>-</v>
      </c>
      <c r="E203" s="539"/>
      <c r="F203" s="540"/>
      <c r="G203"/>
      <c r="H203" s="1"/>
      <c r="I203" s="105"/>
      <c r="J203" s="105"/>
      <c r="K203"/>
      <c r="L203"/>
      <c r="M203" s="308"/>
    </row>
    <row r="204" spans="1:13" s="109" customFormat="1" hidden="1">
      <c r="A204" s="284"/>
      <c r="B204" s="99">
        <f>'Background Controls'!I22</f>
        <v>0</v>
      </c>
      <c r="C204" s="559" t="str">
        <f t="shared" si="8"/>
        <v>-</v>
      </c>
      <c r="D204" s="1005" t="str">
        <f t="shared" si="9"/>
        <v>-</v>
      </c>
      <c r="E204" s="539"/>
      <c r="F204" s="540"/>
      <c r="G204"/>
      <c r="H204" s="1"/>
      <c r="I204" s="105"/>
      <c r="J204" s="105"/>
      <c r="K204"/>
      <c r="L204"/>
      <c r="M204" s="308"/>
    </row>
    <row r="205" spans="1:13" s="109" customFormat="1" hidden="1">
      <c r="A205" s="284"/>
      <c r="B205" s="99">
        <f>'Background Controls'!I23</f>
        <v>0</v>
      </c>
      <c r="C205" s="559" t="str">
        <f t="shared" si="8"/>
        <v>-</v>
      </c>
      <c r="D205" s="1005" t="str">
        <f t="shared" si="9"/>
        <v>-</v>
      </c>
      <c r="E205" s="539"/>
      <c r="F205" s="540"/>
      <c r="G205"/>
      <c r="H205" s="1"/>
      <c r="I205" s="105"/>
      <c r="J205" s="105"/>
      <c r="K205"/>
      <c r="L205"/>
      <c r="M205" s="308"/>
    </row>
    <row r="206" spans="1:13" s="109" customFormat="1" hidden="1">
      <c r="A206" s="284"/>
      <c r="B206" s="99">
        <f>'Background Controls'!I24</f>
        <v>0</v>
      </c>
      <c r="C206" s="559" t="str">
        <f t="shared" si="8"/>
        <v>-</v>
      </c>
      <c r="D206" s="1005" t="str">
        <f t="shared" si="9"/>
        <v>-</v>
      </c>
      <c r="E206" s="539"/>
      <c r="F206" s="540"/>
      <c r="G206"/>
      <c r="H206" s="1"/>
      <c r="I206" s="105"/>
      <c r="J206" s="105"/>
      <c r="K206"/>
      <c r="L206"/>
      <c r="M206" s="308"/>
    </row>
    <row r="207" spans="1:13" s="109" customFormat="1">
      <c r="A207" s="284"/>
      <c r="B207" s="860" t="s">
        <v>253</v>
      </c>
      <c r="C207" s="560">
        <f>SUM(C187:C206)</f>
        <v>0</v>
      </c>
      <c r="D207" s="1006">
        <f t="shared" si="9"/>
        <v>0</v>
      </c>
      <c r="E207" s="539"/>
      <c r="F207" s="540"/>
      <c r="G207"/>
      <c r="H207" s="1"/>
      <c r="I207" s="105"/>
      <c r="J207" s="105"/>
      <c r="K207"/>
      <c r="L207"/>
      <c r="M207" s="308"/>
    </row>
    <row r="208" spans="1:13" s="109" customFormat="1">
      <c r="A208" s="284"/>
      <c r="B208" s="1"/>
      <c r="C208" s="105"/>
      <c r="D208" s="105"/>
      <c r="E208" s="105"/>
      <c r="F208" s="105"/>
      <c r="G208"/>
      <c r="H208" s="1"/>
      <c r="I208" s="105"/>
      <c r="J208" s="105"/>
      <c r="K208"/>
      <c r="L208"/>
      <c r="M208" s="308"/>
    </row>
    <row r="209" spans="1:13" s="109" customFormat="1" ht="16.5">
      <c r="A209" s="286" t="s">
        <v>772</v>
      </c>
      <c r="B209"/>
      <c r="C209"/>
      <c r="D209"/>
      <c r="E209"/>
      <c r="F209"/>
      <c r="G209"/>
      <c r="H209"/>
      <c r="I209"/>
      <c r="J209"/>
      <c r="K209"/>
      <c r="L209"/>
      <c r="M209" s="308"/>
    </row>
    <row r="210" spans="1:13" s="109" customFormat="1" ht="16.5">
      <c r="A210" s="284"/>
      <c r="B210" s="1074" t="s">
        <v>773</v>
      </c>
      <c r="C210" s="1075"/>
      <c r="D210" s="1076"/>
      <c r="E210" s="534"/>
      <c r="F210" s="1"/>
      <c r="G210" s="1"/>
      <c r="H210"/>
      <c r="I210"/>
      <c r="J210"/>
      <c r="K210"/>
      <c r="L210"/>
      <c r="M210" s="308"/>
    </row>
    <row r="211" spans="1:13" s="109" customFormat="1">
      <c r="A211" s="284"/>
      <c r="B211" s="860"/>
      <c r="C211" s="97"/>
      <c r="D211" s="529" t="s">
        <v>263</v>
      </c>
      <c r="E211" s="531"/>
      <c r="F211" s="54"/>
      <c r="G211"/>
      <c r="H211"/>
      <c r="I211"/>
      <c r="J211"/>
      <c r="K211"/>
      <c r="L211"/>
      <c r="M211" s="308"/>
    </row>
    <row r="212" spans="1:13" s="109" customFormat="1" ht="29">
      <c r="A212" s="284"/>
      <c r="B212" s="212" t="s">
        <v>767</v>
      </c>
      <c r="C212" s="530">
        <f>C185</f>
        <v>5604.397429120615</v>
      </c>
      <c r="D212" s="1001"/>
      <c r="E212" s="535"/>
      <c r="F212" s="536"/>
      <c r="G212"/>
      <c r="H212"/>
      <c r="I212"/>
      <c r="J212"/>
      <c r="K212"/>
      <c r="L212"/>
      <c r="M212" s="308"/>
    </row>
    <row r="213" spans="1:13" s="109" customFormat="1" ht="16.5">
      <c r="A213" s="284"/>
      <c r="B213" s="212" t="s">
        <v>774</v>
      </c>
      <c r="C213" s="244" t="str">
        <f>IF(MyYear=0,"",VLOOKUP("N2O", water_factors_elec, elec_colindex_MyYear, FALSE))</f>
        <v/>
      </c>
      <c r="D213" s="1001"/>
      <c r="E213" s="537"/>
      <c r="F213" s="538"/>
      <c r="G213"/>
      <c r="H213"/>
      <c r="I213"/>
      <c r="J213"/>
      <c r="K213"/>
      <c r="L213"/>
      <c r="M213" s="308"/>
    </row>
    <row r="214" spans="1:13" s="109" customFormat="1">
      <c r="A214" s="284" t="s">
        <v>101</v>
      </c>
      <c r="B214" s="99" t="str">
        <f>'Background Controls'!I5</f>
        <v>Residential</v>
      </c>
      <c r="C214" s="559" t="str">
        <f t="shared" ref="C214:C233" si="10">IF(C132=0,"-",C132*C$212*gal_MG*C$213*lb_mt*kWh_MWh*N2O_CO2e)</f>
        <v>-</v>
      </c>
      <c r="D214" s="1005" t="str">
        <f>C214</f>
        <v>-</v>
      </c>
      <c r="E214" s="539"/>
      <c r="F214" s="540"/>
      <c r="G214"/>
      <c r="H214"/>
      <c r="I214"/>
      <c r="J214"/>
      <c r="K214"/>
      <c r="L214"/>
      <c r="M214" s="308"/>
    </row>
    <row r="215" spans="1:13" s="109" customFormat="1">
      <c r="A215" s="284"/>
      <c r="B215" s="99" t="str">
        <f>'Background Controls'!I6</f>
        <v>Commercial/Institutional</v>
      </c>
      <c r="C215" s="559" t="str">
        <f t="shared" si="10"/>
        <v>-</v>
      </c>
      <c r="D215" s="1005" t="str">
        <f>C215</f>
        <v>-</v>
      </c>
      <c r="E215" s="539"/>
      <c r="F215" s="540"/>
      <c r="G215"/>
      <c r="H215"/>
      <c r="I215"/>
      <c r="J215"/>
      <c r="K215"/>
      <c r="L215"/>
      <c r="M215" s="308"/>
    </row>
    <row r="216" spans="1:13" s="109" customFormat="1">
      <c r="A216" s="284"/>
      <c r="B216" s="99" t="str">
        <f>'Background Controls'!I7</f>
        <v>Industrial</v>
      </c>
      <c r="C216" s="559" t="str">
        <f t="shared" si="10"/>
        <v>-</v>
      </c>
      <c r="D216" s="1005" t="str">
        <f>C216</f>
        <v>-</v>
      </c>
      <c r="E216" s="539"/>
      <c r="F216" s="540"/>
      <c r="G216"/>
      <c r="H216"/>
      <c r="I216"/>
      <c r="J216"/>
      <c r="K216"/>
      <c r="L216"/>
      <c r="M216" s="308"/>
    </row>
    <row r="217" spans="1:13" s="109" customFormat="1">
      <c r="A217" s="284"/>
      <c r="B217" s="99" t="str">
        <f>'Background Controls'!I8</f>
        <v>Energy Generation</v>
      </c>
      <c r="C217" s="559" t="str">
        <f t="shared" si="10"/>
        <v>-</v>
      </c>
      <c r="D217" s="1005" t="str">
        <f>C217</f>
        <v>-</v>
      </c>
      <c r="E217" s="539"/>
      <c r="F217" s="540"/>
      <c r="G217"/>
      <c r="H217"/>
      <c r="I217"/>
      <c r="J217"/>
      <c r="K217"/>
      <c r="L217"/>
      <c r="M217" s="308"/>
    </row>
    <row r="218" spans="1:13" s="109" customFormat="1" hidden="1">
      <c r="A218" s="284"/>
      <c r="B218" s="99">
        <f>'Background Controls'!I9</f>
        <v>0</v>
      </c>
      <c r="C218" s="559" t="str">
        <f t="shared" si="10"/>
        <v>-</v>
      </c>
      <c r="D218" s="1005" t="str">
        <f t="shared" ref="D218:D233" si="11">C218</f>
        <v>-</v>
      </c>
      <c r="E218" s="539"/>
      <c r="F218" s="540"/>
      <c r="G218"/>
      <c r="H218"/>
      <c r="I218"/>
      <c r="J218"/>
      <c r="K218"/>
      <c r="L218"/>
      <c r="M218" s="308"/>
    </row>
    <row r="219" spans="1:13" s="109" customFormat="1" hidden="1">
      <c r="A219" s="284"/>
      <c r="B219" s="99">
        <f>'Background Controls'!I10</f>
        <v>0</v>
      </c>
      <c r="C219" s="559" t="str">
        <f t="shared" si="10"/>
        <v>-</v>
      </c>
      <c r="D219" s="1005" t="str">
        <f t="shared" si="11"/>
        <v>-</v>
      </c>
      <c r="E219" s="539"/>
      <c r="F219" s="540"/>
      <c r="G219"/>
      <c r="H219"/>
      <c r="I219"/>
      <c r="J219"/>
      <c r="K219"/>
      <c r="L219"/>
      <c r="M219" s="308"/>
    </row>
    <row r="220" spans="1:13" s="109" customFormat="1" hidden="1">
      <c r="A220" s="284"/>
      <c r="B220" s="99">
        <f>'Background Controls'!I11</f>
        <v>0</v>
      </c>
      <c r="C220" s="559" t="str">
        <f t="shared" si="10"/>
        <v>-</v>
      </c>
      <c r="D220" s="1005" t="str">
        <f t="shared" si="11"/>
        <v>-</v>
      </c>
      <c r="E220" s="539"/>
      <c r="F220" s="540"/>
      <c r="G220"/>
      <c r="H220"/>
      <c r="I220"/>
      <c r="J220"/>
      <c r="K220"/>
      <c r="L220"/>
      <c r="M220" s="308"/>
    </row>
    <row r="221" spans="1:13" s="109" customFormat="1" hidden="1">
      <c r="A221" s="284"/>
      <c r="B221" s="99">
        <f>'Background Controls'!I12</f>
        <v>0</v>
      </c>
      <c r="C221" s="559" t="str">
        <f t="shared" si="10"/>
        <v>-</v>
      </c>
      <c r="D221" s="1005" t="str">
        <f t="shared" si="11"/>
        <v>-</v>
      </c>
      <c r="E221" s="539"/>
      <c r="F221" s="540"/>
      <c r="G221"/>
      <c r="H221"/>
      <c r="I221"/>
      <c r="J221"/>
      <c r="K221"/>
      <c r="L221"/>
      <c r="M221" s="308"/>
    </row>
    <row r="222" spans="1:13" s="109" customFormat="1" hidden="1">
      <c r="A222" s="284"/>
      <c r="B222" s="99">
        <f>'Background Controls'!I13</f>
        <v>0</v>
      </c>
      <c r="C222" s="559" t="str">
        <f t="shared" si="10"/>
        <v>-</v>
      </c>
      <c r="D222" s="1005" t="str">
        <f t="shared" si="11"/>
        <v>-</v>
      </c>
      <c r="E222" s="539"/>
      <c r="F222" s="540"/>
      <c r="G222"/>
      <c r="H222"/>
      <c r="I222"/>
      <c r="J222"/>
      <c r="K222"/>
      <c r="L222"/>
      <c r="M222" s="308"/>
    </row>
    <row r="223" spans="1:13" s="109" customFormat="1" hidden="1">
      <c r="A223" s="284"/>
      <c r="B223" s="99">
        <f>'Background Controls'!I14</f>
        <v>0</v>
      </c>
      <c r="C223" s="559" t="str">
        <f t="shared" si="10"/>
        <v>-</v>
      </c>
      <c r="D223" s="1005" t="str">
        <f t="shared" si="11"/>
        <v>-</v>
      </c>
      <c r="E223" s="539"/>
      <c r="F223" s="540"/>
      <c r="G223"/>
      <c r="H223"/>
      <c r="I223"/>
      <c r="J223"/>
      <c r="K223"/>
      <c r="L223"/>
      <c r="M223" s="308"/>
    </row>
    <row r="224" spans="1:13" s="109" customFormat="1" hidden="1">
      <c r="A224" s="284"/>
      <c r="B224" s="99">
        <f>'Background Controls'!I15</f>
        <v>0</v>
      </c>
      <c r="C224" s="559" t="str">
        <f t="shared" si="10"/>
        <v>-</v>
      </c>
      <c r="D224" s="1005" t="str">
        <f t="shared" si="11"/>
        <v>-</v>
      </c>
      <c r="E224" s="539"/>
      <c r="F224" s="540"/>
      <c r="G224"/>
      <c r="H224"/>
      <c r="I224"/>
      <c r="J224"/>
      <c r="K224"/>
      <c r="L224"/>
      <c r="M224" s="308"/>
    </row>
    <row r="225" spans="1:13" s="109" customFormat="1" hidden="1">
      <c r="A225" s="284"/>
      <c r="B225" s="99">
        <f>'Background Controls'!I16</f>
        <v>0</v>
      </c>
      <c r="C225" s="559" t="str">
        <f t="shared" si="10"/>
        <v>-</v>
      </c>
      <c r="D225" s="1005" t="str">
        <f t="shared" si="11"/>
        <v>-</v>
      </c>
      <c r="E225" s="539"/>
      <c r="F225" s="540"/>
      <c r="G225"/>
      <c r="H225"/>
      <c r="I225"/>
      <c r="J225"/>
      <c r="K225"/>
      <c r="L225"/>
      <c r="M225" s="308"/>
    </row>
    <row r="226" spans="1:13" s="109" customFormat="1" hidden="1">
      <c r="A226" s="284"/>
      <c r="B226" s="99">
        <f>'Background Controls'!I17</f>
        <v>0</v>
      </c>
      <c r="C226" s="559" t="str">
        <f t="shared" si="10"/>
        <v>-</v>
      </c>
      <c r="D226" s="1005" t="str">
        <f t="shared" si="11"/>
        <v>-</v>
      </c>
      <c r="E226" s="539"/>
      <c r="F226" s="540"/>
      <c r="G226"/>
      <c r="H226"/>
      <c r="I226"/>
      <c r="J226"/>
      <c r="K226"/>
      <c r="L226"/>
      <c r="M226" s="308"/>
    </row>
    <row r="227" spans="1:13" s="109" customFormat="1" hidden="1">
      <c r="A227" s="284"/>
      <c r="B227" s="99">
        <f>'Background Controls'!I18</f>
        <v>0</v>
      </c>
      <c r="C227" s="559" t="str">
        <f t="shared" si="10"/>
        <v>-</v>
      </c>
      <c r="D227" s="1005" t="str">
        <f t="shared" si="11"/>
        <v>-</v>
      </c>
      <c r="E227" s="539"/>
      <c r="F227" s="540"/>
      <c r="G227"/>
      <c r="H227"/>
      <c r="I227"/>
      <c r="J227"/>
      <c r="K227"/>
      <c r="L227"/>
      <c r="M227" s="308"/>
    </row>
    <row r="228" spans="1:13" s="109" customFormat="1" hidden="1">
      <c r="A228" s="284"/>
      <c r="B228" s="99">
        <f>'Background Controls'!I19</f>
        <v>0</v>
      </c>
      <c r="C228" s="559" t="str">
        <f t="shared" si="10"/>
        <v>-</v>
      </c>
      <c r="D228" s="1005" t="str">
        <f t="shared" si="11"/>
        <v>-</v>
      </c>
      <c r="E228" s="539"/>
      <c r="F228" s="540"/>
      <c r="G228"/>
      <c r="H228"/>
      <c r="I228"/>
      <c r="J228"/>
      <c r="K228"/>
      <c r="L228"/>
      <c r="M228" s="308"/>
    </row>
    <row r="229" spans="1:13" s="109" customFormat="1" hidden="1">
      <c r="A229" s="284"/>
      <c r="B229" s="99">
        <f>'Background Controls'!I20</f>
        <v>0</v>
      </c>
      <c r="C229" s="559" t="str">
        <f t="shared" si="10"/>
        <v>-</v>
      </c>
      <c r="D229" s="1005" t="str">
        <f t="shared" si="11"/>
        <v>-</v>
      </c>
      <c r="E229" s="539"/>
      <c r="F229" s="540"/>
      <c r="G229"/>
      <c r="H229"/>
      <c r="I229"/>
      <c r="J229"/>
      <c r="K229"/>
      <c r="L229"/>
      <c r="M229" s="308"/>
    </row>
    <row r="230" spans="1:13" s="109" customFormat="1" hidden="1">
      <c r="A230" s="284"/>
      <c r="B230" s="99">
        <f>'Background Controls'!I21</f>
        <v>0</v>
      </c>
      <c r="C230" s="559" t="str">
        <f t="shared" si="10"/>
        <v>-</v>
      </c>
      <c r="D230" s="1005" t="str">
        <f t="shared" si="11"/>
        <v>-</v>
      </c>
      <c r="E230" s="539"/>
      <c r="F230" s="540"/>
      <c r="G230"/>
      <c r="H230"/>
      <c r="I230"/>
      <c r="J230"/>
      <c r="K230"/>
      <c r="L230"/>
      <c r="M230" s="308"/>
    </row>
    <row r="231" spans="1:13" s="109" customFormat="1" hidden="1">
      <c r="A231" s="284"/>
      <c r="B231" s="99">
        <f>'Background Controls'!I22</f>
        <v>0</v>
      </c>
      <c r="C231" s="559" t="str">
        <f t="shared" si="10"/>
        <v>-</v>
      </c>
      <c r="D231" s="1005" t="str">
        <f t="shared" si="11"/>
        <v>-</v>
      </c>
      <c r="E231" s="539"/>
      <c r="F231" s="540"/>
      <c r="G231"/>
      <c r="H231"/>
      <c r="I231"/>
      <c r="J231"/>
      <c r="K231"/>
      <c r="L231"/>
      <c r="M231" s="308"/>
    </row>
    <row r="232" spans="1:13" s="109" customFormat="1" hidden="1">
      <c r="A232" s="284"/>
      <c r="B232" s="99">
        <f>'Background Controls'!I23</f>
        <v>0</v>
      </c>
      <c r="C232" s="559" t="str">
        <f t="shared" si="10"/>
        <v>-</v>
      </c>
      <c r="D232" s="1005" t="str">
        <f t="shared" si="11"/>
        <v>-</v>
      </c>
      <c r="E232" s="539"/>
      <c r="F232" s="540"/>
      <c r="G232"/>
      <c r="H232"/>
      <c r="I232"/>
      <c r="J232"/>
      <c r="K232"/>
      <c r="L232"/>
      <c r="M232" s="308"/>
    </row>
    <row r="233" spans="1:13" s="109" customFormat="1" hidden="1">
      <c r="A233" s="284"/>
      <c r="B233" s="99">
        <f>'Background Controls'!I24</f>
        <v>0</v>
      </c>
      <c r="C233" s="559" t="str">
        <f t="shared" si="10"/>
        <v>-</v>
      </c>
      <c r="D233" s="1005" t="str">
        <f t="shared" si="11"/>
        <v>-</v>
      </c>
      <c r="E233" s="539"/>
      <c r="F233" s="540"/>
      <c r="G233"/>
      <c r="H233"/>
      <c r="I233"/>
      <c r="J233"/>
      <c r="K233"/>
      <c r="L233"/>
      <c r="M233" s="308"/>
    </row>
    <row r="234" spans="1:13" s="109" customFormat="1">
      <c r="A234" s="284"/>
      <c r="B234" s="860" t="s">
        <v>253</v>
      </c>
      <c r="C234" s="560">
        <f>SUM(C214:C233)</f>
        <v>0</v>
      </c>
      <c r="D234" s="1006">
        <f>C234</f>
        <v>0</v>
      </c>
      <c r="E234" s="539"/>
      <c r="F234" s="540"/>
      <c r="G234"/>
      <c r="H234"/>
      <c r="I234"/>
      <c r="J234"/>
      <c r="K234"/>
      <c r="L234"/>
      <c r="M234" s="308"/>
    </row>
    <row r="235" spans="1:13" s="109" customFormat="1">
      <c r="A235" s="284"/>
      <c r="B235"/>
      <c r="C235"/>
      <c r="D235"/>
      <c r="E235"/>
      <c r="F235"/>
      <c r="G235"/>
      <c r="H235"/>
      <c r="I235"/>
      <c r="J235"/>
      <c r="K235"/>
      <c r="L235"/>
      <c r="M235" s="308"/>
    </row>
    <row r="236" spans="1:13" s="109" customFormat="1">
      <c r="A236" s="268" t="s">
        <v>775</v>
      </c>
      <c r="B236"/>
      <c r="C236"/>
      <c r="D236"/>
      <c r="E236"/>
      <c r="F236"/>
      <c r="G236"/>
      <c r="H236"/>
      <c r="I236"/>
      <c r="J236"/>
      <c r="K236"/>
      <c r="L236"/>
      <c r="M236" s="308"/>
    </row>
    <row r="237" spans="1:13" s="109" customFormat="1">
      <c r="A237" s="284"/>
      <c r="B237" s="860"/>
      <c r="C237" s="97" t="s">
        <v>763</v>
      </c>
      <c r="D237" s="531"/>
      <c r="E237" s="54"/>
      <c r="F237" s="54"/>
      <c r="G237"/>
      <c r="H237"/>
      <c r="I237"/>
      <c r="J237"/>
      <c r="K237"/>
      <c r="L237"/>
      <c r="M237" s="308"/>
    </row>
    <row r="238" spans="1:13" s="109" customFormat="1" ht="16.5">
      <c r="A238" s="284"/>
      <c r="B238" s="120" t="s">
        <v>1221</v>
      </c>
      <c r="C238" s="341">
        <f>C180+C207+C234</f>
        <v>0</v>
      </c>
      <c r="D238" s="532"/>
      <c r="E238" s="533"/>
      <c r="F238" s="533"/>
      <c r="G238"/>
      <c r="H238"/>
      <c r="I238"/>
      <c r="J238"/>
      <c r="K238"/>
      <c r="L238"/>
      <c r="M238" s="308"/>
    </row>
    <row r="239" spans="1:13" s="109" customFormat="1">
      <c r="A239" s="284"/>
      <c r="B239"/>
      <c r="C239" s="342"/>
      <c r="D239" s="342"/>
      <c r="E239" s="342"/>
      <c r="F239" s="342"/>
      <c r="G239"/>
      <c r="H239"/>
      <c r="I239"/>
      <c r="J239"/>
      <c r="K239"/>
      <c r="L239"/>
      <c r="M239" s="308"/>
    </row>
    <row r="240" spans="1:13" s="109" customFormat="1">
      <c r="A240" s="265"/>
      <c r="B240"/>
      <c r="C240"/>
      <c r="D240"/>
      <c r="E240"/>
      <c r="F240"/>
      <c r="G240"/>
      <c r="H240"/>
      <c r="I240"/>
      <c r="J240"/>
      <c r="K240"/>
      <c r="L240"/>
      <c r="M240" s="308"/>
    </row>
    <row r="241" spans="1:13" s="109" customFormat="1">
      <c r="A241" s="265"/>
      <c r="B241"/>
      <c r="C241"/>
      <c r="D241"/>
      <c r="E241"/>
      <c r="F241"/>
      <c r="G241"/>
      <c r="H241"/>
      <c r="I241"/>
      <c r="J241"/>
      <c r="K241"/>
      <c r="L241"/>
      <c r="M241" s="308"/>
    </row>
    <row r="242" spans="1:13" s="109" customFormat="1">
      <c r="A242" s="265"/>
      <c r="B242"/>
      <c r="C242"/>
      <c r="D242"/>
      <c r="E242"/>
      <c r="F242"/>
      <c r="G242"/>
      <c r="H242"/>
      <c r="I242"/>
      <c r="J242"/>
      <c r="K242"/>
      <c r="L242"/>
      <c r="M242" s="308"/>
    </row>
    <row r="243" spans="1:13" s="109" customFormat="1" ht="65.150000000000006" customHeight="1">
      <c r="A243" s="1073" t="s">
        <v>1</v>
      </c>
      <c r="B243" s="1073"/>
      <c r="C243" s="1073"/>
      <c r="D243" s="1073"/>
      <c r="E243" s="1073"/>
      <c r="F243" s="1073"/>
      <c r="G243" s="1073"/>
      <c r="H243" s="1073"/>
      <c r="I243" s="1073"/>
      <c r="J243" s="1073"/>
      <c r="K243" s="1073"/>
      <c r="L243" s="1087"/>
      <c r="M243" s="308"/>
    </row>
  </sheetData>
  <mergeCells count="6">
    <mergeCell ref="A243:L243"/>
    <mergeCell ref="B51:F51"/>
    <mergeCell ref="B130:D130"/>
    <mergeCell ref="B156:D156"/>
    <mergeCell ref="B183:D183"/>
    <mergeCell ref="B210:D210"/>
  </mergeCells>
  <dataValidations count="2">
    <dataValidation allowBlank="1" showInputMessage="1" showErrorMessage="1" prompt="Please enter the amount of water consumed by each sector in the inventory year." sqref="C28" xr:uid="{00000000-0002-0000-1900-000000000000}"/>
    <dataValidation type="decimal" allowBlank="1" showInputMessage="1" showErrorMessage="1" error="This value must be between 0 and 100%." sqref="C19" xr:uid="{00000000-0002-0000-1900-000001000000}">
      <formula1>0</formula1>
      <formula2>1</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3266" r:id="rId4" name="ck_comp_Water">
          <controlPr locked="0" autoLine="0" linkedCell="comp_Water" r:id="rId5">
            <anchor moveWithCells="1">
              <from>
                <xdr:col>8</xdr:col>
                <xdr:colOff>95250</xdr:colOff>
                <xdr:row>0</xdr:row>
                <xdr:rowOff>107950</xdr:rowOff>
              </from>
              <to>
                <xdr:col>11</xdr:col>
                <xdr:colOff>425450</xdr:colOff>
                <xdr:row>0</xdr:row>
                <xdr:rowOff>374650</xdr:rowOff>
              </to>
            </anchor>
          </controlPr>
        </control>
      </mc:Choice>
      <mc:Fallback>
        <control shapeId="53266" r:id="rId4" name="ck_comp_Water"/>
      </mc:Fallback>
    </mc:AlternateContent>
    <mc:AlternateContent xmlns:mc="http://schemas.openxmlformats.org/markup-compatibility/2006">
      <mc:Choice Requires="x14">
        <control shapeId="53256" r:id="rId6" name="Drop Down 8">
          <controlPr locked="0" defaultSize="0" autoLine="0" autoPict="0" macro="[0]!Sheet21.ShowHideRows">
            <anchor moveWithCells="1">
              <from>
                <xdr:col>1</xdr:col>
                <xdr:colOff>609600</xdr:colOff>
                <xdr:row>12</xdr:row>
                <xdr:rowOff>50800</xdr:rowOff>
              </from>
              <to>
                <xdr:col>2</xdr:col>
                <xdr:colOff>285750</xdr:colOff>
                <xdr:row>13</xdr:row>
                <xdr:rowOff>69850</xdr:rowOff>
              </to>
            </anchor>
          </controlPr>
        </control>
      </mc:Choice>
    </mc:AlternateContent>
    <mc:AlternateContent xmlns:mc="http://schemas.openxmlformats.org/markup-compatibility/2006">
      <mc:Choice Requires="x14">
        <control shapeId="53262" r:id="rId7" name="Check Box 14">
          <controlPr defaultSize="0" autoFill="0" autoLine="0" autoPict="0" macro="[0]!Sheet21.ActivateDeptChart">
            <anchor moveWithCells="1">
              <from>
                <xdr:col>1</xdr:col>
                <xdr:colOff>1327150</xdr:colOff>
                <xdr:row>74</xdr:row>
                <xdr:rowOff>158750</xdr:rowOff>
              </from>
              <to>
                <xdr:col>2</xdr:col>
                <xdr:colOff>342900</xdr:colOff>
                <xdr:row>76</xdr:row>
                <xdr:rowOff>120650</xdr:rowOff>
              </to>
            </anchor>
          </controlPr>
        </control>
      </mc:Choice>
    </mc:AlternateContent>
    <mc:AlternateContent xmlns:mc="http://schemas.openxmlformats.org/markup-compatibility/2006">
      <mc:Choice Requires="x14">
        <control shapeId="53263" r:id="rId8" name="Check Box 15">
          <controlPr defaultSize="0" autoFill="0" autoLine="0" autoPict="0" macro="[0]!Sheet21.ActivateDeptChart">
            <anchor moveWithCells="1">
              <from>
                <xdr:col>2</xdr:col>
                <xdr:colOff>463550</xdr:colOff>
                <xdr:row>74</xdr:row>
                <xdr:rowOff>158750</xdr:rowOff>
              </from>
              <to>
                <xdr:col>3</xdr:col>
                <xdr:colOff>6350</xdr:colOff>
                <xdr:row>76</xdr:row>
                <xdr:rowOff>120650</xdr:rowOff>
              </to>
            </anchor>
          </controlPr>
        </control>
      </mc:Choice>
    </mc:AlternateContent>
    <mc:AlternateContent xmlns:mc="http://schemas.openxmlformats.org/markup-compatibility/2006">
      <mc:Choice Requires="x14">
        <control shapeId="53264" r:id="rId9" name="Check Box 16">
          <controlPr defaultSize="0" autoFill="0" autoLine="0" autoPict="0" macro="[0]!Sheet21.ActivateSourceChart">
            <anchor moveWithCells="1">
              <from>
                <xdr:col>1</xdr:col>
                <xdr:colOff>1346200</xdr:colOff>
                <xdr:row>99</xdr:row>
                <xdr:rowOff>152400</xdr:rowOff>
              </from>
              <to>
                <xdr:col>2</xdr:col>
                <xdr:colOff>323850</xdr:colOff>
                <xdr:row>101</xdr:row>
                <xdr:rowOff>133350</xdr:rowOff>
              </to>
            </anchor>
          </controlPr>
        </control>
      </mc:Choice>
    </mc:AlternateContent>
    <mc:AlternateContent xmlns:mc="http://schemas.openxmlformats.org/markup-compatibility/2006">
      <mc:Choice Requires="x14">
        <control shapeId="53265" r:id="rId10" name="Check Box 17">
          <controlPr defaultSize="0" autoFill="0" autoLine="0" autoPict="0" macro="[0]!Sheet21.ActivateSourceChart">
            <anchor moveWithCells="1">
              <from>
                <xdr:col>2</xdr:col>
                <xdr:colOff>501650</xdr:colOff>
                <xdr:row>99</xdr:row>
                <xdr:rowOff>152400</xdr:rowOff>
              </from>
              <to>
                <xdr:col>3</xdr:col>
                <xdr:colOff>50800</xdr:colOff>
                <xdr:row>101</xdr:row>
                <xdr:rowOff>133350</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theme="5"/>
  </sheetPr>
  <dimension ref="A1:V69"/>
  <sheetViews>
    <sheetView showGridLines="0" workbookViewId="0"/>
  </sheetViews>
  <sheetFormatPr defaultRowHeight="14.5"/>
  <cols>
    <col min="2" max="2" width="27.26953125" customWidth="1"/>
    <col min="3" max="3" width="15.7265625" customWidth="1"/>
    <col min="4" max="4" width="14.453125" customWidth="1"/>
    <col min="5" max="5" width="16.453125" customWidth="1"/>
    <col min="6" max="6" width="13.1796875" customWidth="1"/>
    <col min="7" max="7" width="0" hidden="1" customWidth="1"/>
    <col min="8" max="8" width="1.7265625" hidden="1" customWidth="1"/>
    <col min="9" max="12" width="2.81640625" hidden="1" customWidth="1"/>
    <col min="13" max="13" width="1.1796875" hidden="1" customWidth="1"/>
    <col min="14" max="14" width="1.453125" hidden="1" customWidth="1"/>
    <col min="22" max="22" width="9.1796875" style="266"/>
  </cols>
  <sheetData>
    <row r="1" spans="1:22" s="109" customFormat="1" ht="38.25" customHeight="1" thickBot="1">
      <c r="A1" s="482" t="s">
        <v>137</v>
      </c>
      <c r="B1" s="483"/>
      <c r="C1" s="483"/>
      <c r="D1" s="483"/>
      <c r="E1" s="483"/>
      <c r="F1" s="483"/>
      <c r="G1" s="483"/>
      <c r="H1" s="483"/>
      <c r="I1" s="483"/>
      <c r="J1" s="483"/>
      <c r="K1" s="483"/>
      <c r="L1" s="483"/>
      <c r="M1" s="483"/>
      <c r="N1" s="483"/>
      <c r="O1" s="483"/>
      <c r="P1" s="483"/>
      <c r="Q1" s="483"/>
      <c r="R1" s="483"/>
      <c r="S1" s="483"/>
      <c r="T1" s="483"/>
      <c r="U1" s="483"/>
      <c r="V1" s="491"/>
    </row>
    <row r="2" spans="1:22" ht="15.5">
      <c r="A2" s="574" t="s">
        <v>146</v>
      </c>
    </row>
    <row r="3" spans="1:22">
      <c r="A3" s="274"/>
    </row>
    <row r="4" spans="1:22">
      <c r="A4" s="265"/>
    </row>
    <row r="5" spans="1:22">
      <c r="A5" s="265"/>
    </row>
    <row r="6" spans="1:22">
      <c r="A6" s="265"/>
    </row>
    <row r="7" spans="1:22" ht="18.5">
      <c r="A7" s="300" t="s">
        <v>776</v>
      </c>
    </row>
    <row r="8" spans="1:22">
      <c r="A8" s="286" t="s">
        <v>777</v>
      </c>
      <c r="B8" s="205"/>
    </row>
    <row r="9" spans="1:22">
      <c r="A9" s="284"/>
    </row>
    <row r="10" spans="1:22" ht="29">
      <c r="A10" s="284"/>
      <c r="B10" s="840" t="s">
        <v>152</v>
      </c>
      <c r="C10" s="868" t="s">
        <v>778</v>
      </c>
      <c r="D10" s="868" t="s">
        <v>779</v>
      </c>
      <c r="E10" s="868" t="s">
        <v>780</v>
      </c>
    </row>
    <row r="11" spans="1:22" ht="15" customHeight="1">
      <c r="A11" s="284" t="s">
        <v>101</v>
      </c>
      <c r="B11" s="860" t="str">
        <f>'Background Controls'!I5</f>
        <v>Residential</v>
      </c>
      <c r="C11" s="848"/>
      <c r="D11" s="842"/>
      <c r="E11" s="842"/>
    </row>
    <row r="12" spans="1:22" ht="15" customHeight="1">
      <c r="A12" s="284"/>
      <c r="B12" s="860" t="str">
        <f>'Background Controls'!I6</f>
        <v>Commercial/Institutional</v>
      </c>
      <c r="C12" s="848"/>
      <c r="D12" s="842"/>
      <c r="E12" s="842"/>
    </row>
    <row r="13" spans="1:22" ht="15" customHeight="1">
      <c r="A13" s="284"/>
      <c r="B13" s="860" t="str">
        <f>'Background Controls'!I7</f>
        <v>Industrial</v>
      </c>
      <c r="C13" s="848"/>
      <c r="D13" s="842"/>
      <c r="E13" s="842"/>
    </row>
    <row r="14" spans="1:22" ht="15" customHeight="1">
      <c r="A14" s="284"/>
      <c r="B14" s="860" t="str">
        <f>'Background Controls'!I8</f>
        <v>Energy Generation</v>
      </c>
      <c r="C14" s="848"/>
      <c r="D14" s="842"/>
      <c r="E14" s="842"/>
    </row>
    <row r="15" spans="1:22" hidden="1">
      <c r="A15" s="284"/>
      <c r="B15" s="860">
        <f>'Background Controls'!I9</f>
        <v>0</v>
      </c>
      <c r="C15" s="842"/>
      <c r="D15" s="842"/>
      <c r="E15" s="842"/>
    </row>
    <row r="16" spans="1:22" hidden="1">
      <c r="A16" s="284"/>
      <c r="B16" s="860">
        <f>'Background Controls'!I10</f>
        <v>0</v>
      </c>
      <c r="C16" s="842"/>
      <c r="D16" s="842"/>
      <c r="E16" s="842"/>
    </row>
    <row r="17" spans="1:5" hidden="1">
      <c r="A17" s="284"/>
      <c r="B17" s="860">
        <f>'Background Controls'!I11</f>
        <v>0</v>
      </c>
      <c r="C17" s="842"/>
      <c r="D17" s="842"/>
      <c r="E17" s="842"/>
    </row>
    <row r="18" spans="1:5" hidden="1">
      <c r="A18" s="284"/>
      <c r="B18" s="860">
        <f>'Background Controls'!I12</f>
        <v>0</v>
      </c>
      <c r="C18" s="842"/>
      <c r="D18" s="842"/>
      <c r="E18" s="842"/>
    </row>
    <row r="19" spans="1:5" hidden="1">
      <c r="A19" s="284"/>
      <c r="B19" s="860">
        <f>'Background Controls'!I13</f>
        <v>0</v>
      </c>
      <c r="C19" s="842"/>
      <c r="D19" s="842"/>
      <c r="E19" s="842"/>
    </row>
    <row r="20" spans="1:5" hidden="1">
      <c r="A20" s="284"/>
      <c r="B20" s="860">
        <f>'Background Controls'!I14</f>
        <v>0</v>
      </c>
      <c r="C20" s="842"/>
      <c r="D20" s="842"/>
      <c r="E20" s="842"/>
    </row>
    <row r="21" spans="1:5" hidden="1">
      <c r="A21" s="284"/>
      <c r="B21" s="860">
        <f>'Background Controls'!I15</f>
        <v>0</v>
      </c>
      <c r="C21" s="842"/>
      <c r="D21" s="842"/>
      <c r="E21" s="842"/>
    </row>
    <row r="22" spans="1:5" hidden="1">
      <c r="A22" s="284"/>
      <c r="B22" s="860">
        <f>'Background Controls'!I16</f>
        <v>0</v>
      </c>
      <c r="C22" s="842"/>
      <c r="D22" s="842"/>
      <c r="E22" s="842"/>
    </row>
    <row r="23" spans="1:5" hidden="1">
      <c r="A23" s="284"/>
      <c r="B23" s="860">
        <f>'Background Controls'!I17</f>
        <v>0</v>
      </c>
      <c r="C23" s="842"/>
      <c r="D23" s="842"/>
      <c r="E23" s="842"/>
    </row>
    <row r="24" spans="1:5" hidden="1">
      <c r="A24" s="284"/>
      <c r="B24" s="860">
        <f>'Background Controls'!I18</f>
        <v>0</v>
      </c>
      <c r="C24" s="842"/>
      <c r="D24" s="842"/>
      <c r="E24" s="842"/>
    </row>
    <row r="25" spans="1:5" hidden="1">
      <c r="A25" s="284"/>
      <c r="B25" s="860">
        <f>'Background Controls'!I19</f>
        <v>0</v>
      </c>
      <c r="C25" s="842"/>
      <c r="D25" s="842"/>
      <c r="E25" s="842"/>
    </row>
    <row r="26" spans="1:5" hidden="1">
      <c r="A26" s="284"/>
      <c r="B26" s="860">
        <f>'Background Controls'!I20</f>
        <v>0</v>
      </c>
      <c r="C26" s="842"/>
      <c r="D26" s="842"/>
      <c r="E26" s="842"/>
    </row>
    <row r="27" spans="1:5" hidden="1">
      <c r="A27" s="284"/>
      <c r="B27" s="860">
        <f>'Background Controls'!I21</f>
        <v>0</v>
      </c>
      <c r="C27" s="842"/>
      <c r="D27" s="842"/>
      <c r="E27" s="842"/>
    </row>
    <row r="28" spans="1:5" hidden="1">
      <c r="A28" s="284"/>
      <c r="B28" s="860">
        <f>'Background Controls'!I22</f>
        <v>0</v>
      </c>
      <c r="C28" s="842"/>
      <c r="D28" s="842"/>
      <c r="E28" s="842"/>
    </row>
    <row r="29" spans="1:5" hidden="1">
      <c r="A29" s="284"/>
      <c r="B29" s="860">
        <f>'Background Controls'!I23</f>
        <v>0</v>
      </c>
      <c r="C29" s="842"/>
      <c r="D29" s="842"/>
      <c r="E29" s="842"/>
    </row>
    <row r="30" spans="1:5" hidden="1">
      <c r="A30" s="284"/>
      <c r="B30" s="860">
        <f>'Background Controls'!I24</f>
        <v>0</v>
      </c>
      <c r="C30" s="842"/>
      <c r="D30" s="842"/>
      <c r="E30" s="842"/>
    </row>
    <row r="31" spans="1:5">
      <c r="A31" s="284"/>
    </row>
    <row r="32" spans="1:5" ht="18.5">
      <c r="A32" s="283" t="s">
        <v>781</v>
      </c>
    </row>
    <row r="33" spans="1:6">
      <c r="A33" s="284"/>
    </row>
    <row r="34" spans="1:6" ht="16.5">
      <c r="A34" s="284"/>
      <c r="B34" s="1118" t="s">
        <v>782</v>
      </c>
      <c r="C34" s="1118"/>
      <c r="D34" s="1118"/>
      <c r="E34" s="1118"/>
      <c r="F34" s="1118"/>
    </row>
    <row r="35" spans="1:6" ht="16.5">
      <c r="A35" s="284"/>
      <c r="B35" s="860"/>
      <c r="C35" s="193" t="s">
        <v>783</v>
      </c>
      <c r="D35" s="193" t="s">
        <v>784</v>
      </c>
      <c r="E35" s="193" t="s">
        <v>785</v>
      </c>
      <c r="F35" s="853" t="s">
        <v>263</v>
      </c>
    </row>
    <row r="36" spans="1:6">
      <c r="A36" s="284" t="s">
        <v>101</v>
      </c>
      <c r="B36" s="99" t="str">
        <f>'Background Controls'!I5</f>
        <v>Residential</v>
      </c>
      <c r="C36" s="242">
        <f>((C11*Factors!$B$364*(1-Factors!$C$364)*Factors!$E$364)+(C11*Factors!$B$364*Factors!$C$364*Factors!$F$364)+(C11*Factors!$B$364*(1-Factors!$C$364)*Factors!$D$364*Factors!$G$364))*N2O_N2ON*GWP_N2O*mt_shortton</f>
        <v>0</v>
      </c>
      <c r="D36" s="242">
        <f>((D11*Factors!$B$365*(1-Factors!$C$365)*Factors!$E$365)+(D11*Factors!$B$365*Factors!$C$365*Factors!$F$365)+(D11*Factors!$B$365*(1-Factors!$C$365)*Factors!$D$365*Factors!$G$365))*N2O_N2ON*GWP_N2O*mt_shortton</f>
        <v>0</v>
      </c>
      <c r="E36" s="242">
        <f>((E11*Factors!$B$366*(1-Factors!$C$366)*Factors!$E$366)+(E11*Factors!$B$366*Factors!$C$366*Factors!$F$366)+(E11*Factors!$B$366*(1-Factors!$C$366)*Factors!$D$366*Factors!$G$366))*N2O_N2ON*GWP_N2O*mt_shortton</f>
        <v>0</v>
      </c>
      <c r="F36" s="243">
        <f>SUM(C36:E36)</f>
        <v>0</v>
      </c>
    </row>
    <row r="37" spans="1:6">
      <c r="A37" s="284"/>
      <c r="B37" s="99" t="str">
        <f>'Background Controls'!I6</f>
        <v>Commercial/Institutional</v>
      </c>
      <c r="C37" s="242">
        <f>((C12*Factors!$B$364*(1-Factors!$C$364)*Factors!$E$364)+(C12*Factors!$B$364*Factors!$C$364*Factors!$F$364)+(C12*Factors!$B$364*(1-Factors!$C$364)*Factors!$D$364*Factors!$G$364))*N2O_N2ON*GWP_N2O*mt_shortton</f>
        <v>0</v>
      </c>
      <c r="D37" s="242">
        <f>((D12*Factors!$B$365*(1-Factors!$C$365)*Factors!$E$365)+(D12*Factors!$B$365*Factors!$C$365*Factors!$F$365)+(D12*Factors!$B$365*(1-Factors!$C$365)*Factors!$D$365*Factors!$G$365))*N2O_N2ON*GWP_N2O*mt_shortton</f>
        <v>0</v>
      </c>
      <c r="E37" s="242">
        <f>((E12*Factors!$B$366*(1-Factors!$C$366)*Factors!$E$366)+(E12*Factors!$B$366*Factors!$C$366*Factors!$F$366)+(E12*Factors!$B$366*(1-Factors!$C$366)*Factors!$D$366*Factors!$G$366))*N2O_N2ON*GWP_N2O*mt_shortton</f>
        <v>0</v>
      </c>
      <c r="F37" s="243">
        <f t="shared" ref="F37:F55" si="0">SUM(C37:E37)</f>
        <v>0</v>
      </c>
    </row>
    <row r="38" spans="1:6">
      <c r="A38" s="284"/>
      <c r="B38" s="99" t="str">
        <f>'Background Controls'!I7</f>
        <v>Industrial</v>
      </c>
      <c r="C38" s="242">
        <f>((C13*Factors!$B$364*(1-Factors!$C$364)*Factors!$E$364)+(C13*Factors!$B$364*Factors!$C$364*Factors!$F$364)+(C13*Factors!$B$364*(1-Factors!$C$364)*Factors!$D$364*Factors!$G$364))*N2O_N2ON*GWP_N2O*mt_shortton</f>
        <v>0</v>
      </c>
      <c r="D38" s="242">
        <f>((D13*Factors!$B$365*(1-Factors!$C$365)*Factors!$E$365)+(D13*Factors!$B$365*Factors!$C$365*Factors!$F$365)+(D13*Factors!$B$365*(1-Factors!$C$365)*Factors!$D$365*Factors!$G$365))*N2O_N2ON*GWP_N2O*mt_shortton</f>
        <v>0</v>
      </c>
      <c r="E38" s="242">
        <f>((E13*Factors!$B$366*(1-Factors!$C$366)*Factors!$E$366)+(E13*Factors!$B$366*Factors!$C$366*Factors!$F$366)+(E13*Factors!$B$366*(1-Factors!$C$366)*Factors!$D$366*Factors!$G$366))*N2O_N2ON*GWP_N2O*mt_shortton</f>
        <v>0</v>
      </c>
      <c r="F38" s="243">
        <f t="shared" si="0"/>
        <v>0</v>
      </c>
    </row>
    <row r="39" spans="1:6">
      <c r="A39" s="284"/>
      <c r="B39" s="99" t="str">
        <f>'Background Controls'!I8</f>
        <v>Energy Generation</v>
      </c>
      <c r="C39" s="242">
        <f>((C14*Factors!$B$364*(1-Factors!$C$364)*Factors!$E$364)+(C14*Factors!$B$364*Factors!$C$364*Factors!$F$364)+(C14*Factors!$B$364*(1-Factors!$C$364)*Factors!$D$364*Factors!$G$364))*N2O_N2ON*GWP_N2O*mt_shortton</f>
        <v>0</v>
      </c>
      <c r="D39" s="242">
        <f>((D14*Factors!$B$365*(1-Factors!$C$365)*Factors!$E$365)+(D14*Factors!$B$365*Factors!$C$365*Factors!$F$365)+(D14*Factors!$B$365*(1-Factors!$C$365)*Factors!$D$365*Factors!$G$365))*N2O_N2ON*GWP_N2O*mt_shortton</f>
        <v>0</v>
      </c>
      <c r="E39" s="242">
        <f>((E14*Factors!$B$366*(1-Factors!$C$366)*Factors!$E$366)+(E14*Factors!$B$366*Factors!$C$366*Factors!$F$366)+(E14*Factors!$B$366*(1-Factors!$C$366)*Factors!$D$366*Factors!$G$366))*N2O_N2ON*GWP_N2O*mt_shortton</f>
        <v>0</v>
      </c>
      <c r="F39" s="243">
        <f t="shared" si="0"/>
        <v>0</v>
      </c>
    </row>
    <row r="40" spans="1:6" hidden="1">
      <c r="A40" s="284"/>
      <c r="B40" s="99">
        <f>'Background Controls'!I9</f>
        <v>0</v>
      </c>
      <c r="C40" s="242">
        <f>((C15*Factors!$B$364*(1-Factors!$C$364)*Factors!$E$364)+(C15*Factors!$B$364*Factors!$C$364*Factors!$F$364)+(C15*Factors!$B$364*(1-Factors!$C$364)*Factors!$D$364*Factors!$G$364))*N2O_N2ON*GWP_N2O*mt_shortton</f>
        <v>0</v>
      </c>
      <c r="D40" s="242">
        <f>((D15*Factors!$B$365*(1-Factors!$C$365)*Factors!$E$365)+(D15*Factors!$B$365*Factors!$C$365*Factors!$F$365)+(D15*Factors!$B$365*(1-Factors!$C$365)*Factors!$D$365*Factors!$G$365))*N2O_N2ON*GWP_N2O*mt_shortton</f>
        <v>0</v>
      </c>
      <c r="E40" s="242">
        <f>((E15*Factors!$B$366*(1-Factors!$C$366)*Factors!$E$366)+(E15*Factors!$B$366*Factors!$C$366*Factors!$F$366)+(E15*Factors!$B$366*(1-Factors!$C$366)*Factors!$D$366*Factors!$G$366))*N2O_N2ON*GWP_N2O*mt_shortton</f>
        <v>0</v>
      </c>
      <c r="F40" s="243">
        <f t="shared" si="0"/>
        <v>0</v>
      </c>
    </row>
    <row r="41" spans="1:6" hidden="1">
      <c r="A41" s="284"/>
      <c r="B41" s="99">
        <f>'Background Controls'!I10</f>
        <v>0</v>
      </c>
      <c r="C41" s="242">
        <f>((C16*Factors!$B$364*(1-Factors!$C$364)*Factors!$E$364)+(C16*Factors!$B$364*Factors!$C$364*Factors!$F$364)+(C16*Factors!$B$364*(1-Factors!$C$364)*Factors!$D$364*Factors!$G$364))*N2O_N2ON*GWP_N2O*mt_shortton</f>
        <v>0</v>
      </c>
      <c r="D41" s="242">
        <f>((D16*Factors!$B$365*(1-Factors!$C$365)*Factors!$E$365)+(D16*Factors!$B$365*Factors!$C$365*Factors!$F$365)+(D16*Factors!$B$365*(1-Factors!$C$365)*Factors!$D$365*Factors!$G$365))*N2O_N2ON*GWP_N2O*mt_shortton</f>
        <v>0</v>
      </c>
      <c r="E41" s="242">
        <f>((E16*Factors!$B$366*(1-Factors!$C$366)*Factors!$E$366)+(E16*Factors!$B$366*Factors!$C$366*Factors!$F$366)+(E16*Factors!$B$366*(1-Factors!$C$366)*Factors!$D$366*Factors!$G$366))*N2O_N2ON*GWP_N2O*mt_shortton</f>
        <v>0</v>
      </c>
      <c r="F41" s="243">
        <f t="shared" si="0"/>
        <v>0</v>
      </c>
    </row>
    <row r="42" spans="1:6" hidden="1">
      <c r="A42" s="284"/>
      <c r="B42" s="99">
        <f>'Background Controls'!I11</f>
        <v>0</v>
      </c>
      <c r="C42" s="242">
        <f>((C17*Factors!$B$364*(1-Factors!$C$364)*Factors!$E$364)+(C17*Factors!$B$364*Factors!$C$364*Factors!$F$364)+(C17*Factors!$B$364*(1-Factors!$C$364)*Factors!$D$364*Factors!$G$364))*N2O_N2ON*GWP_N2O*mt_shortton</f>
        <v>0</v>
      </c>
      <c r="D42" s="242">
        <f>((D17*Factors!$B$365*(1-Factors!$C$365)*Factors!$E$365)+(D17*Factors!$B$365*Factors!$C$365*Factors!$F$365)+(D17*Factors!$B$365*(1-Factors!$C$365)*Factors!$D$365*Factors!$G$365))*N2O_N2ON*GWP_N2O*mt_shortton</f>
        <v>0</v>
      </c>
      <c r="E42" s="242">
        <f>((E17*Factors!$B$366*(1-Factors!$C$366)*Factors!$E$366)+(E17*Factors!$B$366*Factors!$C$366*Factors!$F$366)+(E17*Factors!$B$366*(1-Factors!$C$366)*Factors!$D$366*Factors!$G$366))*N2O_N2ON*GWP_N2O*mt_shortton</f>
        <v>0</v>
      </c>
      <c r="F42" s="243">
        <f t="shared" si="0"/>
        <v>0</v>
      </c>
    </row>
    <row r="43" spans="1:6" hidden="1">
      <c r="A43" s="284"/>
      <c r="B43" s="99">
        <f>'Background Controls'!I12</f>
        <v>0</v>
      </c>
      <c r="C43" s="242">
        <f>((C18*Factors!$B$364*(1-Factors!$C$364)*Factors!$E$364)+(C18*Factors!$B$364*Factors!$C$364*Factors!$F$364)+(C18*Factors!$B$364*(1-Factors!$C$364)*Factors!$D$364*Factors!$G$364))*N2O_N2ON*GWP_N2O*mt_shortton</f>
        <v>0</v>
      </c>
      <c r="D43" s="242">
        <f>((D18*Factors!$B$365*(1-Factors!$C$365)*Factors!$E$365)+(D18*Factors!$B$365*Factors!$C$365*Factors!$F$365)+(D18*Factors!$B$365*(1-Factors!$C$365)*Factors!$D$365*Factors!$G$365))*N2O_N2ON*GWP_N2O*mt_shortton</f>
        <v>0</v>
      </c>
      <c r="E43" s="242">
        <f>((E18*Factors!$B$366*(1-Factors!$C$366)*Factors!$E$366)+(E18*Factors!$B$366*Factors!$C$366*Factors!$F$366)+(E18*Factors!$B$366*(1-Factors!$C$366)*Factors!$D$366*Factors!$G$366))*N2O_N2ON*GWP_N2O*mt_shortton</f>
        <v>0</v>
      </c>
      <c r="F43" s="243">
        <f t="shared" si="0"/>
        <v>0</v>
      </c>
    </row>
    <row r="44" spans="1:6" hidden="1">
      <c r="A44" s="284"/>
      <c r="B44" s="99">
        <f>'Background Controls'!I13</f>
        <v>0</v>
      </c>
      <c r="C44" s="242">
        <f>((C19*Factors!$B$364*(1-Factors!$C$364)*Factors!$E$364)+(C19*Factors!$B$364*Factors!$C$364*Factors!$F$364)+(C19*Factors!$B$364*(1-Factors!$C$364)*Factors!$D$364*Factors!$G$364))*N2O_N2ON*GWP_N2O*mt_shortton</f>
        <v>0</v>
      </c>
      <c r="D44" s="242">
        <f>((D19*Factors!$B$365*(1-Factors!$C$365)*Factors!$E$365)+(D19*Factors!$B$365*Factors!$C$365*Factors!$F$365)+(D19*Factors!$B$365*(1-Factors!$C$365)*Factors!$D$365*Factors!$G$365))*N2O_N2ON*GWP_N2O*mt_shortton</f>
        <v>0</v>
      </c>
      <c r="E44" s="242">
        <f>((E19*Factors!$B$366*(1-Factors!$C$366)*Factors!$E$366)+(E19*Factors!$B$366*Factors!$C$366*Factors!$F$366)+(E19*Factors!$B$366*(1-Factors!$C$366)*Factors!$D$366*Factors!$G$366))*N2O_N2ON*GWP_N2O*mt_shortton</f>
        <v>0</v>
      </c>
      <c r="F44" s="243">
        <f t="shared" si="0"/>
        <v>0</v>
      </c>
    </row>
    <row r="45" spans="1:6" hidden="1">
      <c r="A45" s="284"/>
      <c r="B45" s="99">
        <f>'Background Controls'!I14</f>
        <v>0</v>
      </c>
      <c r="C45" s="242">
        <f>((C20*Factors!$B$364*(1-Factors!$C$364)*Factors!$E$364)+(C20*Factors!$B$364*Factors!$C$364*Factors!$F$364)+(C20*Factors!$B$364*(1-Factors!$C$364)*Factors!$D$364*Factors!$G$364))*N2O_N2ON*GWP_N2O*mt_shortton</f>
        <v>0</v>
      </c>
      <c r="D45" s="242">
        <f>((D20*Factors!$B$365*(1-Factors!$C$365)*Factors!$E$365)+(D20*Factors!$B$365*Factors!$C$365*Factors!$F$365)+(D20*Factors!$B$365*(1-Factors!$C$365)*Factors!$D$365*Factors!$G$365))*N2O_N2ON*GWP_N2O*mt_shortton</f>
        <v>0</v>
      </c>
      <c r="E45" s="242">
        <f>((E20*Factors!$B$366*(1-Factors!$C$366)*Factors!$E$366)+(E20*Factors!$B$366*Factors!$C$366*Factors!$F$366)+(E20*Factors!$B$366*(1-Factors!$C$366)*Factors!$D$366*Factors!$G$366))*N2O_N2ON*GWP_N2O*mt_shortton</f>
        <v>0</v>
      </c>
      <c r="F45" s="243">
        <f t="shared" si="0"/>
        <v>0</v>
      </c>
    </row>
    <row r="46" spans="1:6" hidden="1">
      <c r="A46" s="284"/>
      <c r="B46" s="99">
        <f>'Background Controls'!I15</f>
        <v>0</v>
      </c>
      <c r="C46" s="242">
        <f>((C21*Factors!$B$364*(1-Factors!$C$364)*Factors!$E$364)+(C21*Factors!$B$364*Factors!$C$364*Factors!$F$364)+(C21*Factors!$B$364*(1-Factors!$C$364)*Factors!$D$364*Factors!$G$364))*N2O_N2ON*GWP_N2O*mt_shortton</f>
        <v>0</v>
      </c>
      <c r="D46" s="242">
        <f>((D21*Factors!$B$365*(1-Factors!$C$365)*Factors!$E$365)+(D21*Factors!$B$365*Factors!$C$365*Factors!$F$365)+(D21*Factors!$B$365*(1-Factors!$C$365)*Factors!$D$365*Factors!$G$365))*N2O_N2ON*GWP_N2O*mt_shortton</f>
        <v>0</v>
      </c>
      <c r="E46" s="242">
        <f>((E21*Factors!$B$366*(1-Factors!$C$366)*Factors!$E$366)+(E21*Factors!$B$366*Factors!$C$366*Factors!$F$366)+(E21*Factors!$B$366*(1-Factors!$C$366)*Factors!$D$366*Factors!$G$366))*N2O_N2ON*GWP_N2O*mt_shortton</f>
        <v>0</v>
      </c>
      <c r="F46" s="243">
        <f t="shared" si="0"/>
        <v>0</v>
      </c>
    </row>
    <row r="47" spans="1:6" hidden="1">
      <c r="A47" s="284"/>
      <c r="B47" s="99">
        <f>'Background Controls'!I16</f>
        <v>0</v>
      </c>
      <c r="C47" s="242">
        <f>((C22*Factors!$B$364*(1-Factors!$C$364)*Factors!$E$364)+(C22*Factors!$B$364*Factors!$C$364*Factors!$F$364)+(C22*Factors!$B$364*(1-Factors!$C$364)*Factors!$D$364*Factors!$G$364))*N2O_N2ON*GWP_N2O*mt_shortton</f>
        <v>0</v>
      </c>
      <c r="D47" s="242">
        <f>((D22*Factors!$B$365*(1-Factors!$C$365)*Factors!$E$365)+(D22*Factors!$B$365*Factors!$C$365*Factors!$F$365)+(D22*Factors!$B$365*(1-Factors!$C$365)*Factors!$D$365*Factors!$G$365))*N2O_N2ON*GWP_N2O*mt_shortton</f>
        <v>0</v>
      </c>
      <c r="E47" s="242">
        <f>((E22*Factors!$B$366*(1-Factors!$C$366)*Factors!$E$366)+(E22*Factors!$B$366*Factors!$C$366*Factors!$F$366)+(E22*Factors!$B$366*(1-Factors!$C$366)*Factors!$D$366*Factors!$G$366))*N2O_N2ON*GWP_N2O*mt_shortton</f>
        <v>0</v>
      </c>
      <c r="F47" s="243">
        <f t="shared" si="0"/>
        <v>0</v>
      </c>
    </row>
    <row r="48" spans="1:6" hidden="1">
      <c r="A48" s="284"/>
      <c r="B48" s="99">
        <f>'Background Controls'!I17</f>
        <v>0</v>
      </c>
      <c r="C48" s="242">
        <f>((C23*Factors!$B$364*(1-Factors!$C$364)*Factors!$E$364)+(C23*Factors!$B$364*Factors!$C$364*Factors!$F$364)+(C23*Factors!$B$364*(1-Factors!$C$364)*Factors!$D$364*Factors!$G$364))*N2O_N2ON*GWP_N2O*mt_shortton</f>
        <v>0</v>
      </c>
      <c r="D48" s="242">
        <f>((D23*Factors!$B$365*(1-Factors!$C$365)*Factors!$E$365)+(D23*Factors!$B$365*Factors!$C$365*Factors!$F$365)+(D23*Factors!$B$365*(1-Factors!$C$365)*Factors!$D$365*Factors!$G$365))*N2O_N2ON*GWP_N2O*mt_shortton</f>
        <v>0</v>
      </c>
      <c r="E48" s="242">
        <f>((E23*Factors!$B$366*(1-Factors!$C$366)*Factors!$E$366)+(E23*Factors!$B$366*Factors!$C$366*Factors!$F$366)+(E23*Factors!$B$366*(1-Factors!$C$366)*Factors!$D$366*Factors!$G$366))*N2O_N2ON*GWP_N2O*mt_shortton</f>
        <v>0</v>
      </c>
      <c r="F48" s="243">
        <f t="shared" si="0"/>
        <v>0</v>
      </c>
    </row>
    <row r="49" spans="1:6" hidden="1">
      <c r="A49" s="284"/>
      <c r="B49" s="99">
        <f>'Background Controls'!I18</f>
        <v>0</v>
      </c>
      <c r="C49" s="242">
        <f>((C24*Factors!$B$364*(1-Factors!$C$364)*Factors!$E$364)+(C24*Factors!$B$364*Factors!$C$364*Factors!$F$364)+(C24*Factors!$B$364*(1-Factors!$C$364)*Factors!$D$364*Factors!$G$364))*N2O_N2ON*GWP_N2O*mt_shortton</f>
        <v>0</v>
      </c>
      <c r="D49" s="242">
        <f>((D24*Factors!$B$365*(1-Factors!$C$365)*Factors!$E$365)+(D24*Factors!$B$365*Factors!$C$365*Factors!$F$365)+(D24*Factors!$B$365*(1-Factors!$C$365)*Factors!$D$365*Factors!$G$365))*N2O_N2ON*GWP_N2O*mt_shortton</f>
        <v>0</v>
      </c>
      <c r="E49" s="242">
        <f>((E24*Factors!$B$366*(1-Factors!$C$366)*Factors!$E$366)+(E24*Factors!$B$366*Factors!$C$366*Factors!$F$366)+(E24*Factors!$B$366*(1-Factors!$C$366)*Factors!$D$366*Factors!$G$366))*N2O_N2ON*GWP_N2O*mt_shortton</f>
        <v>0</v>
      </c>
      <c r="F49" s="243">
        <f t="shared" si="0"/>
        <v>0</v>
      </c>
    </row>
    <row r="50" spans="1:6" hidden="1">
      <c r="A50" s="284"/>
      <c r="B50" s="99">
        <f>'Background Controls'!I19</f>
        <v>0</v>
      </c>
      <c r="C50" s="242">
        <f>((C25*Factors!$B$364*(1-Factors!$C$364)*Factors!$E$364)+(C25*Factors!$B$364*Factors!$C$364*Factors!$F$364)+(C25*Factors!$B$364*(1-Factors!$C$364)*Factors!$D$364*Factors!$G$364))*N2O_N2ON*GWP_N2O*mt_shortton</f>
        <v>0</v>
      </c>
      <c r="D50" s="242">
        <f>((D25*Factors!$B$365*(1-Factors!$C$365)*Factors!$E$365)+(D25*Factors!$B$365*Factors!$C$365*Factors!$F$365)+(D25*Factors!$B$365*(1-Factors!$C$365)*Factors!$D$365*Factors!$G$365))*N2O_N2ON*GWP_N2O*mt_shortton</f>
        <v>0</v>
      </c>
      <c r="E50" s="242">
        <f>((E25*Factors!$B$366*(1-Factors!$C$366)*Factors!$E$366)+(E25*Factors!$B$366*Factors!$C$366*Factors!$F$366)+(E25*Factors!$B$366*(1-Factors!$C$366)*Factors!$D$366*Factors!$G$366))*N2O_N2ON*GWP_N2O*mt_shortton</f>
        <v>0</v>
      </c>
      <c r="F50" s="243">
        <f t="shared" si="0"/>
        <v>0</v>
      </c>
    </row>
    <row r="51" spans="1:6" hidden="1">
      <c r="A51" s="284"/>
      <c r="B51" s="99">
        <f>'Background Controls'!I20</f>
        <v>0</v>
      </c>
      <c r="C51" s="242">
        <f>((C26*Factors!$B$364*(1-Factors!$C$364)*Factors!$E$364)+(C26*Factors!$B$364*Factors!$C$364*Factors!$F$364)+(C26*Factors!$B$364*(1-Factors!$C$364)*Factors!$D$364*Factors!$G$364))*N2O_N2ON*GWP_N2O*mt_shortton</f>
        <v>0</v>
      </c>
      <c r="D51" s="242">
        <f>((D26*Factors!$B$365*(1-Factors!$C$365)*Factors!$E$365)+(D26*Factors!$B$365*Factors!$C$365*Factors!$F$365)+(D26*Factors!$B$365*(1-Factors!$C$365)*Factors!$D$365*Factors!$G$365))*N2O_N2ON*GWP_N2O*mt_shortton</f>
        <v>0</v>
      </c>
      <c r="E51" s="242">
        <f>((E26*Factors!$B$366*(1-Factors!$C$366)*Factors!$E$366)+(E26*Factors!$B$366*Factors!$C$366*Factors!$F$366)+(E26*Factors!$B$366*(1-Factors!$C$366)*Factors!$D$366*Factors!$G$366))*N2O_N2ON*GWP_N2O*mt_shortton</f>
        <v>0</v>
      </c>
      <c r="F51" s="243">
        <f t="shared" si="0"/>
        <v>0</v>
      </c>
    </row>
    <row r="52" spans="1:6" hidden="1">
      <c r="A52" s="284"/>
      <c r="B52" s="99">
        <f>'Background Controls'!I21</f>
        <v>0</v>
      </c>
      <c r="C52" s="242">
        <f>((C27*Factors!$B$364*(1-Factors!$C$364)*Factors!$E$364)+(C27*Factors!$B$364*Factors!$C$364*Factors!$F$364)+(C27*Factors!$B$364*(1-Factors!$C$364)*Factors!$D$364*Factors!$G$364))*N2O_N2ON*GWP_N2O*mt_shortton</f>
        <v>0</v>
      </c>
      <c r="D52" s="242">
        <f>((D27*Factors!$B$365*(1-Factors!$C$365)*Factors!$E$365)+(D27*Factors!$B$365*Factors!$C$365*Factors!$F$365)+(D27*Factors!$B$365*(1-Factors!$C$365)*Factors!$D$365*Factors!$G$365))*N2O_N2ON*GWP_N2O*mt_shortton</f>
        <v>0</v>
      </c>
      <c r="E52" s="242">
        <f>((E27*Factors!$B$366*(1-Factors!$C$366)*Factors!$E$366)+(E27*Factors!$B$366*Factors!$C$366*Factors!$F$366)+(E27*Factors!$B$366*(1-Factors!$C$366)*Factors!$D$366*Factors!$G$366))*N2O_N2ON*GWP_N2O*mt_shortton</f>
        <v>0</v>
      </c>
      <c r="F52" s="243">
        <f t="shared" si="0"/>
        <v>0</v>
      </c>
    </row>
    <row r="53" spans="1:6" hidden="1">
      <c r="A53" s="284"/>
      <c r="B53" s="99">
        <f>'Background Controls'!I22</f>
        <v>0</v>
      </c>
      <c r="C53" s="242">
        <f>((C28*Factors!$B$364*(1-Factors!$C$364)*Factors!$E$364)+(C28*Factors!$B$364*Factors!$C$364*Factors!$F$364)+(C28*Factors!$B$364*(1-Factors!$C$364)*Factors!$D$364*Factors!$G$364))*N2O_N2ON*GWP_N2O*mt_shortton</f>
        <v>0</v>
      </c>
      <c r="D53" s="242">
        <f>((D28*Factors!$B$365*(1-Factors!$C$365)*Factors!$E$365)+(D28*Factors!$B$365*Factors!$C$365*Factors!$F$365)+(D28*Factors!$B$365*(1-Factors!$C$365)*Factors!$D$365*Factors!$G$365))*N2O_N2ON*GWP_N2O*mt_shortton</f>
        <v>0</v>
      </c>
      <c r="E53" s="242">
        <f>((E28*Factors!$B$366*(1-Factors!$C$366)*Factors!$E$366)+(E28*Factors!$B$366*Factors!$C$366*Factors!$F$366)+(E28*Factors!$B$366*(1-Factors!$C$366)*Factors!$D$366*Factors!$G$366))*N2O_N2ON*GWP_N2O*mt_shortton</f>
        <v>0</v>
      </c>
      <c r="F53" s="243">
        <f t="shared" si="0"/>
        <v>0</v>
      </c>
    </row>
    <row r="54" spans="1:6" hidden="1">
      <c r="A54" s="284"/>
      <c r="B54" s="99">
        <f>'Background Controls'!I23</f>
        <v>0</v>
      </c>
      <c r="C54" s="242">
        <f>((C29*Factors!$B$364*(1-Factors!$C$364)*Factors!$E$364)+(C29*Factors!$B$364*Factors!$C$364*Factors!$F$364)+(C29*Factors!$B$364*(1-Factors!$C$364)*Factors!$D$364*Factors!$G$364))*N2O_N2ON*GWP_N2O*mt_shortton</f>
        <v>0</v>
      </c>
      <c r="D54" s="242">
        <f>((D29*Factors!$B$365*(1-Factors!$C$365)*Factors!$E$365)+(D29*Factors!$B$365*Factors!$C$365*Factors!$F$365)+(D29*Factors!$B$365*(1-Factors!$C$365)*Factors!$D$365*Factors!$G$365))*N2O_N2ON*GWP_N2O*mt_shortton</f>
        <v>0</v>
      </c>
      <c r="E54" s="242">
        <f>((E29*Factors!$B$366*(1-Factors!$C$366)*Factors!$E$366)+(E29*Factors!$B$366*Factors!$C$366*Factors!$F$366)+(E29*Factors!$B$366*(1-Factors!$C$366)*Factors!$D$366*Factors!$G$366))*N2O_N2ON*GWP_N2O*mt_shortton</f>
        <v>0</v>
      </c>
      <c r="F54" s="243">
        <f t="shared" si="0"/>
        <v>0</v>
      </c>
    </row>
    <row r="55" spans="1:6" hidden="1">
      <c r="A55" s="284"/>
      <c r="B55" s="99">
        <f>'Background Controls'!I24</f>
        <v>0</v>
      </c>
      <c r="C55" s="242">
        <f>((C30*Factors!$B$364*(1-Factors!$C$364)*Factors!$E$364)+(C30*Factors!$B$364*Factors!$C$364*Factors!$F$364)+(C30*Factors!$B$364*(1-Factors!$C$364)*Factors!$D$364*Factors!$G$364))*N2O_N2ON*GWP_N2O*mt_shortton</f>
        <v>0</v>
      </c>
      <c r="D55" s="242">
        <f>((D30*Factors!$B$365*(1-Factors!$C$365)*Factors!$E$365)+(D30*Factors!$B$365*Factors!$C$365*Factors!$F$365)+(D30*Factors!$B$365*(1-Factors!$C$365)*Factors!$D$365*Factors!$G$365))*N2O_N2ON*GWP_N2O*mt_shortton</f>
        <v>0</v>
      </c>
      <c r="E55" s="242">
        <f>((E30*Factors!$B$366*(1-Factors!$C$366)*Factors!$E$366)+(E30*Factors!$B$366*Factors!$C$366*Factors!$F$366)+(E30*Factors!$B$366*(1-Factors!$C$366)*Factors!$D$366*Factors!$G$366))*N2O_N2ON*GWP_N2O*mt_shortton</f>
        <v>0</v>
      </c>
      <c r="F55" s="243">
        <f t="shared" si="0"/>
        <v>0</v>
      </c>
    </row>
    <row r="56" spans="1:6" ht="29">
      <c r="A56" s="284"/>
      <c r="B56" s="919" t="s">
        <v>786</v>
      </c>
      <c r="C56" s="525">
        <f>IF(ISERROR(SUM(C36:C55)),"",SUM(C36:C55))</f>
        <v>0</v>
      </c>
      <c r="D56" s="581">
        <f>IF(ISERROR(SUM(D36:D55)),"",SUM(D36:D55))</f>
        <v>0</v>
      </c>
      <c r="E56" s="582">
        <f>IF(ISERROR(SUM(E36:E55)),"",SUM(E36:E55))</f>
        <v>0</v>
      </c>
      <c r="F56" s="933">
        <f>IF(ISERROR(SUM(F36:F55)),"",SUM(F36:F55))</f>
        <v>0</v>
      </c>
    </row>
    <row r="69" spans="1:22" s="109" customFormat="1" ht="65.150000000000006" customHeight="1">
      <c r="A69" s="1098" t="s">
        <v>1</v>
      </c>
      <c r="B69" s="1073"/>
      <c r="C69" s="1073"/>
      <c r="D69" s="1073"/>
      <c r="E69" s="1073"/>
      <c r="F69" s="1073"/>
      <c r="G69" s="1073"/>
      <c r="H69" s="1073"/>
      <c r="I69" s="1073"/>
      <c r="J69" s="1073"/>
      <c r="K69" s="1073"/>
      <c r="L69" s="1073"/>
      <c r="M69" s="1073"/>
      <c r="N69" s="1073"/>
      <c r="O69" s="1073"/>
      <c r="P69" s="1073"/>
      <c r="Q69" s="1073"/>
      <c r="R69" s="1073"/>
      <c r="S69" s="1073"/>
      <c r="T69" s="1073"/>
      <c r="U69" s="1073"/>
      <c r="V69" s="1087"/>
    </row>
  </sheetData>
  <mergeCells count="2">
    <mergeCell ref="A69:V69"/>
    <mergeCell ref="B34:F34"/>
  </mergeCells>
  <dataValidations disablePrompts="1" count="1">
    <dataValidation allowBlank="1" showErrorMessage="1" sqref="C11:D30" xr:uid="{00000000-0002-0000-1A00-000000000000}"/>
  </dataValidations>
  <pageMargins left="0.7" right="0.7" top="0.75" bottom="0.75" header="0.3" footer="0.3"/>
  <pageSetup orientation="portrait" r:id="rId1"/>
  <drawing r:id="rId2"/>
  <legacyDrawing r:id="rId3"/>
  <controls>
    <mc:AlternateContent xmlns:mc="http://schemas.openxmlformats.org/markup-compatibility/2006">
      <mc:Choice Requires="x14">
        <control shapeId="57345" r:id="rId4" name="ck_comp_AgLandManagement">
          <controlPr locked="0" autoLine="0" linkedCell="comp_AgLandManagement" r:id="rId5">
            <anchor moveWithCells="1">
              <from>
                <xdr:col>17</xdr:col>
                <xdr:colOff>412750</xdr:colOff>
                <xdr:row>0</xdr:row>
                <xdr:rowOff>114300</xdr:rowOff>
              </from>
              <to>
                <xdr:col>21</xdr:col>
                <xdr:colOff>527050</xdr:colOff>
                <xdr:row>0</xdr:row>
                <xdr:rowOff>381000</xdr:rowOff>
              </to>
            </anchor>
          </controlPr>
        </control>
      </mc:Choice>
      <mc:Fallback>
        <control shapeId="57345" r:id="rId4" name="ck_comp_AgLandManagement"/>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tabColor theme="5"/>
  </sheetPr>
  <dimension ref="A1:V69"/>
  <sheetViews>
    <sheetView showGridLines="0" workbookViewId="0">
      <selection activeCell="Q37" sqref="Q37"/>
    </sheetView>
  </sheetViews>
  <sheetFormatPr defaultRowHeight="14.5"/>
  <cols>
    <col min="2" max="2" width="27.26953125" customWidth="1"/>
    <col min="3" max="3" width="20.453125" customWidth="1"/>
    <col min="4" max="5" width="13.453125" customWidth="1"/>
    <col min="7" max="7" width="0" hidden="1" customWidth="1"/>
    <col min="9" max="14" width="0" hidden="1" customWidth="1"/>
    <col min="22" max="22" width="9.1796875" style="266"/>
  </cols>
  <sheetData>
    <row r="1" spans="1:22" s="109" customFormat="1" ht="38.25" customHeight="1" thickBot="1">
      <c r="A1" s="482" t="s">
        <v>138</v>
      </c>
      <c r="B1" s="483"/>
      <c r="C1" s="483"/>
      <c r="D1" s="483"/>
      <c r="E1" s="483"/>
      <c r="F1" s="483"/>
      <c r="G1" s="483"/>
      <c r="H1" s="483"/>
      <c r="I1" s="483"/>
      <c r="J1" s="483"/>
      <c r="K1" s="483"/>
      <c r="L1" s="483"/>
      <c r="M1" s="483"/>
      <c r="N1" s="483"/>
      <c r="O1" s="483"/>
      <c r="P1" s="483"/>
      <c r="Q1" s="483"/>
      <c r="R1" s="483"/>
      <c r="S1" s="483"/>
      <c r="T1" s="483"/>
      <c r="U1" s="483"/>
      <c r="V1" s="491"/>
    </row>
    <row r="2" spans="1:22">
      <c r="A2" s="575"/>
    </row>
    <row r="3" spans="1:22">
      <c r="A3" s="265"/>
    </row>
    <row r="4" spans="1:22">
      <c r="A4" s="265"/>
    </row>
    <row r="5" spans="1:22">
      <c r="A5" s="265"/>
    </row>
    <row r="6" spans="1:22">
      <c r="A6" s="265"/>
    </row>
    <row r="7" spans="1:22" ht="18.5">
      <c r="A7" s="300" t="s">
        <v>787</v>
      </c>
    </row>
    <row r="8" spans="1:22">
      <c r="A8" s="286" t="s">
        <v>788</v>
      </c>
      <c r="B8" s="205"/>
    </row>
    <row r="9" spans="1:22">
      <c r="A9" s="265"/>
    </row>
    <row r="10" spans="1:22" ht="44.5">
      <c r="A10" s="300"/>
      <c r="B10" s="840" t="s">
        <v>152</v>
      </c>
      <c r="C10" s="868" t="s">
        <v>789</v>
      </c>
      <c r="D10" s="868" t="s">
        <v>790</v>
      </c>
      <c r="E10" s="523"/>
    </row>
    <row r="11" spans="1:22">
      <c r="A11" s="284" t="s">
        <v>101</v>
      </c>
      <c r="B11" s="860" t="str">
        <f>'Background Controls'!I5</f>
        <v>Residential</v>
      </c>
      <c r="C11" s="848"/>
      <c r="D11" s="900"/>
      <c r="E11" s="524"/>
    </row>
    <row r="12" spans="1:22" ht="18.5">
      <c r="A12" s="300"/>
      <c r="B12" s="860" t="str">
        <f>'Background Controls'!I6</f>
        <v>Commercial/Institutional</v>
      </c>
      <c r="C12" s="848"/>
      <c r="D12" s="900"/>
      <c r="E12" s="524"/>
    </row>
    <row r="13" spans="1:22" ht="18.5">
      <c r="A13" s="300"/>
      <c r="B13" s="860" t="str">
        <f>'Background Controls'!I7</f>
        <v>Industrial</v>
      </c>
      <c r="C13" s="848"/>
      <c r="D13" s="900"/>
      <c r="E13" s="524"/>
    </row>
    <row r="14" spans="1:22" ht="18.5">
      <c r="A14" s="300"/>
      <c r="B14" s="860" t="str">
        <f>'Background Controls'!I8</f>
        <v>Energy Generation</v>
      </c>
      <c r="C14" s="848"/>
      <c r="D14" s="900"/>
      <c r="E14" s="524"/>
    </row>
    <row r="15" spans="1:22" ht="18.5" hidden="1">
      <c r="A15" s="300"/>
      <c r="B15" s="860">
        <f>'Background Controls'!I9</f>
        <v>0</v>
      </c>
      <c r="C15" s="849"/>
      <c r="D15" s="900"/>
      <c r="E15" s="524"/>
    </row>
    <row r="16" spans="1:22" ht="18.5" hidden="1">
      <c r="A16" s="300"/>
      <c r="B16" s="860">
        <f>'Background Controls'!I10</f>
        <v>0</v>
      </c>
      <c r="C16" s="849"/>
      <c r="D16" s="900"/>
      <c r="E16" s="524"/>
    </row>
    <row r="17" spans="1:5" ht="18.5" hidden="1">
      <c r="A17" s="300"/>
      <c r="B17" s="860">
        <f>'Background Controls'!I11</f>
        <v>0</v>
      </c>
      <c r="C17" s="849"/>
      <c r="D17" s="900"/>
      <c r="E17" s="524"/>
    </row>
    <row r="18" spans="1:5" ht="18.5" hidden="1">
      <c r="A18" s="300"/>
      <c r="B18" s="860">
        <f>'Background Controls'!I12</f>
        <v>0</v>
      </c>
      <c r="C18" s="849"/>
      <c r="D18" s="900"/>
      <c r="E18" s="524"/>
    </row>
    <row r="19" spans="1:5" ht="18.5" hidden="1">
      <c r="A19" s="300"/>
      <c r="B19" s="860">
        <f>'Background Controls'!I13</f>
        <v>0</v>
      </c>
      <c r="C19" s="849"/>
      <c r="D19" s="900"/>
      <c r="E19" s="524"/>
    </row>
    <row r="20" spans="1:5" ht="18.5" hidden="1">
      <c r="A20" s="300"/>
      <c r="B20" s="860">
        <f>'Background Controls'!I14</f>
        <v>0</v>
      </c>
      <c r="C20" s="849"/>
      <c r="D20" s="900"/>
      <c r="E20" s="524"/>
    </row>
    <row r="21" spans="1:5" ht="18.5" hidden="1">
      <c r="A21" s="300"/>
      <c r="B21" s="860">
        <f>'Background Controls'!I15</f>
        <v>0</v>
      </c>
      <c r="C21" s="849"/>
      <c r="D21" s="900"/>
      <c r="E21" s="524"/>
    </row>
    <row r="22" spans="1:5" ht="18.5" hidden="1">
      <c r="A22" s="300"/>
      <c r="B22" s="860">
        <f>'Background Controls'!I16</f>
        <v>0</v>
      </c>
      <c r="C22" s="849"/>
      <c r="D22" s="900"/>
      <c r="E22" s="524"/>
    </row>
    <row r="23" spans="1:5" ht="18.5" hidden="1">
      <c r="A23" s="300"/>
      <c r="B23" s="860">
        <f>'Background Controls'!I17</f>
        <v>0</v>
      </c>
      <c r="C23" s="849"/>
      <c r="D23" s="900"/>
      <c r="E23" s="524"/>
    </row>
    <row r="24" spans="1:5" ht="18.5" hidden="1">
      <c r="A24" s="300"/>
      <c r="B24" s="860">
        <f>'Background Controls'!I18</f>
        <v>0</v>
      </c>
      <c r="C24" s="849"/>
      <c r="D24" s="900"/>
      <c r="E24" s="524"/>
    </row>
    <row r="25" spans="1:5" ht="18.5" hidden="1">
      <c r="A25" s="300"/>
      <c r="B25" s="860">
        <f>'Background Controls'!I19</f>
        <v>0</v>
      </c>
      <c r="C25" s="849"/>
      <c r="D25" s="900"/>
      <c r="E25" s="524"/>
    </row>
    <row r="26" spans="1:5" ht="18.5" hidden="1">
      <c r="A26" s="300"/>
      <c r="B26" s="860">
        <f>'Background Controls'!I20</f>
        <v>0</v>
      </c>
      <c r="C26" s="849"/>
      <c r="D26" s="900"/>
      <c r="E26" s="524"/>
    </row>
    <row r="27" spans="1:5" ht="18.5" hidden="1">
      <c r="A27" s="300"/>
      <c r="B27" s="860">
        <f>'Background Controls'!I21</f>
        <v>0</v>
      </c>
      <c r="C27" s="849"/>
      <c r="D27" s="900"/>
      <c r="E27" s="524"/>
    </row>
    <row r="28" spans="1:5" ht="18.5" hidden="1">
      <c r="A28" s="300"/>
      <c r="B28" s="860">
        <f>'Background Controls'!I22</f>
        <v>0</v>
      </c>
      <c r="C28" s="849"/>
      <c r="D28" s="900"/>
      <c r="E28" s="524"/>
    </row>
    <row r="29" spans="1:5" ht="18.5" hidden="1">
      <c r="A29" s="300"/>
      <c r="B29" s="860">
        <f>'Background Controls'!I23</f>
        <v>0</v>
      </c>
      <c r="C29" s="849"/>
      <c r="D29" s="900"/>
      <c r="E29" s="524"/>
    </row>
    <row r="30" spans="1:5" ht="18.5" hidden="1">
      <c r="A30" s="300"/>
      <c r="B30" s="860">
        <f>'Background Controls'!I24</f>
        <v>0</v>
      </c>
      <c r="C30" s="849"/>
      <c r="D30" s="900"/>
      <c r="E30" s="524"/>
    </row>
    <row r="31" spans="1:5">
      <c r="A31" s="265"/>
    </row>
    <row r="32" spans="1:5">
      <c r="A32" s="265"/>
    </row>
    <row r="33" spans="1:5" ht="18.5">
      <c r="A33" s="283" t="s">
        <v>791</v>
      </c>
    </row>
    <row r="34" spans="1:5">
      <c r="A34" s="265"/>
    </row>
    <row r="35" spans="1:5" ht="16.5">
      <c r="A35" s="265"/>
      <c r="B35" s="1118" t="s">
        <v>792</v>
      </c>
      <c r="C35" s="1118"/>
      <c r="D35" s="1118"/>
      <c r="E35" s="1"/>
    </row>
    <row r="36" spans="1:5">
      <c r="A36" s="265"/>
      <c r="B36" s="860"/>
      <c r="C36" s="193" t="s">
        <v>793</v>
      </c>
      <c r="D36" s="853" t="s">
        <v>263</v>
      </c>
      <c r="E36" s="62"/>
    </row>
    <row r="37" spans="1:5">
      <c r="A37" s="284" t="s">
        <v>101</v>
      </c>
      <c r="B37" s="99" t="str">
        <f>'Background Controls'!I5</f>
        <v>Residential</v>
      </c>
      <c r="C37" s="242">
        <f>((C11*D11*Factors!$B$372*100)*44/12)</f>
        <v>0</v>
      </c>
      <c r="D37" s="243">
        <f>C37</f>
        <v>0</v>
      </c>
      <c r="E37" s="242"/>
    </row>
    <row r="38" spans="1:5">
      <c r="A38" s="265"/>
      <c r="B38" s="99" t="str">
        <f>'Background Controls'!I6</f>
        <v>Commercial/Institutional</v>
      </c>
      <c r="C38" s="242">
        <f>((C12*D12*Factors!$B$372*100)*44/12)</f>
        <v>0</v>
      </c>
      <c r="D38" s="243">
        <f t="shared" ref="D38:D56" si="0">C38</f>
        <v>0</v>
      </c>
      <c r="E38" s="242"/>
    </row>
    <row r="39" spans="1:5">
      <c r="A39" s="265"/>
      <c r="B39" s="99" t="str">
        <f>'Background Controls'!I7</f>
        <v>Industrial</v>
      </c>
      <c r="C39" s="242">
        <f>((C13*D13*Factors!$B$372*100)*44/12)</f>
        <v>0</v>
      </c>
      <c r="D39" s="243">
        <f t="shared" si="0"/>
        <v>0</v>
      </c>
      <c r="E39" s="242"/>
    </row>
    <row r="40" spans="1:5">
      <c r="A40" s="265"/>
      <c r="B40" s="99" t="str">
        <f>'Background Controls'!I8</f>
        <v>Energy Generation</v>
      </c>
      <c r="C40" s="242">
        <f>((C14*D14*Factors!$B$372*100)*44/12)</f>
        <v>0</v>
      </c>
      <c r="D40" s="243">
        <f t="shared" si="0"/>
        <v>0</v>
      </c>
      <c r="E40" s="242"/>
    </row>
    <row r="41" spans="1:5" hidden="1">
      <c r="A41" s="265"/>
      <c r="B41" s="99">
        <f>'Background Controls'!I9</f>
        <v>0</v>
      </c>
      <c r="C41" s="242">
        <f>((C15*D15*Factors!$B$372*100)*44/12)</f>
        <v>0</v>
      </c>
      <c r="D41" s="243">
        <f t="shared" si="0"/>
        <v>0</v>
      </c>
      <c r="E41" s="242"/>
    </row>
    <row r="42" spans="1:5" hidden="1">
      <c r="A42" s="265"/>
      <c r="B42" s="99">
        <f>'Background Controls'!I10</f>
        <v>0</v>
      </c>
      <c r="C42" s="242">
        <f>((C16*D16*Factors!$B$372*100)*44/12)</f>
        <v>0</v>
      </c>
      <c r="D42" s="243">
        <f t="shared" si="0"/>
        <v>0</v>
      </c>
      <c r="E42" s="242"/>
    </row>
    <row r="43" spans="1:5" hidden="1">
      <c r="A43" s="265"/>
      <c r="B43" s="99">
        <f>'Background Controls'!I11</f>
        <v>0</v>
      </c>
      <c r="C43" s="242">
        <f>((C17*D17*Factors!$B$372*100)*44/12)</f>
        <v>0</v>
      </c>
      <c r="D43" s="243">
        <f t="shared" si="0"/>
        <v>0</v>
      </c>
      <c r="E43" s="242"/>
    </row>
    <row r="44" spans="1:5" hidden="1">
      <c r="A44" s="265"/>
      <c r="B44" s="99">
        <f>'Background Controls'!I12</f>
        <v>0</v>
      </c>
      <c r="C44" s="242">
        <f>((C18*D18*Factors!$B$372*100)*44/12)</f>
        <v>0</v>
      </c>
      <c r="D44" s="243">
        <f t="shared" si="0"/>
        <v>0</v>
      </c>
      <c r="E44" s="242"/>
    </row>
    <row r="45" spans="1:5" hidden="1">
      <c r="A45" s="265"/>
      <c r="B45" s="99">
        <f>'Background Controls'!I13</f>
        <v>0</v>
      </c>
      <c r="C45" s="242">
        <f>((C19*D19*Factors!$B$372*100)*44/12)</f>
        <v>0</v>
      </c>
      <c r="D45" s="243">
        <f t="shared" si="0"/>
        <v>0</v>
      </c>
      <c r="E45" s="242"/>
    </row>
    <row r="46" spans="1:5" hidden="1">
      <c r="A46" s="265"/>
      <c r="B46" s="99">
        <f>'Background Controls'!I14</f>
        <v>0</v>
      </c>
      <c r="C46" s="242">
        <f>((C20*D20*Factors!$B$372*100)*44/12)</f>
        <v>0</v>
      </c>
      <c r="D46" s="243">
        <f t="shared" si="0"/>
        <v>0</v>
      </c>
      <c r="E46" s="242"/>
    </row>
    <row r="47" spans="1:5" hidden="1">
      <c r="A47" s="265"/>
      <c r="B47" s="99">
        <f>'Background Controls'!I15</f>
        <v>0</v>
      </c>
      <c r="C47" s="242">
        <f>((C21*D21*Factors!$B$372*100)*44/12)</f>
        <v>0</v>
      </c>
      <c r="D47" s="243">
        <f t="shared" si="0"/>
        <v>0</v>
      </c>
      <c r="E47" s="242"/>
    </row>
    <row r="48" spans="1:5" hidden="1">
      <c r="A48" s="265"/>
      <c r="B48" s="99">
        <f>'Background Controls'!I16</f>
        <v>0</v>
      </c>
      <c r="C48" s="242">
        <f>((C22*D22*Factors!$B$372*100)*44/12)</f>
        <v>0</v>
      </c>
      <c r="D48" s="243">
        <f t="shared" si="0"/>
        <v>0</v>
      </c>
      <c r="E48" s="242"/>
    </row>
    <row r="49" spans="1:5" hidden="1">
      <c r="A49" s="265"/>
      <c r="B49" s="99">
        <f>'Background Controls'!I17</f>
        <v>0</v>
      </c>
      <c r="C49" s="242">
        <f>((C23*D23*Factors!$B$372*100)*44/12)</f>
        <v>0</v>
      </c>
      <c r="D49" s="243">
        <f t="shared" si="0"/>
        <v>0</v>
      </c>
      <c r="E49" s="242"/>
    </row>
    <row r="50" spans="1:5" hidden="1">
      <c r="A50" s="265"/>
      <c r="B50" s="99">
        <f>'Background Controls'!I18</f>
        <v>0</v>
      </c>
      <c r="C50" s="242">
        <f>((C24*D24*Factors!$B$372*100)*44/12)</f>
        <v>0</v>
      </c>
      <c r="D50" s="243">
        <f t="shared" si="0"/>
        <v>0</v>
      </c>
      <c r="E50" s="242"/>
    </row>
    <row r="51" spans="1:5" hidden="1">
      <c r="A51" s="265"/>
      <c r="B51" s="99">
        <f>'Background Controls'!I19</f>
        <v>0</v>
      </c>
      <c r="C51" s="242">
        <f>((C25*D25*Factors!$B$372*100)*44/12)</f>
        <v>0</v>
      </c>
      <c r="D51" s="243">
        <f t="shared" si="0"/>
        <v>0</v>
      </c>
      <c r="E51" s="242"/>
    </row>
    <row r="52" spans="1:5" hidden="1">
      <c r="A52" s="265"/>
      <c r="B52" s="99">
        <f>'Background Controls'!I20</f>
        <v>0</v>
      </c>
      <c r="C52" s="242">
        <f>((C26*D26*Factors!$B$372*100)*44/12)</f>
        <v>0</v>
      </c>
      <c r="D52" s="243">
        <f t="shared" si="0"/>
        <v>0</v>
      </c>
      <c r="E52" s="242"/>
    </row>
    <row r="53" spans="1:5" hidden="1">
      <c r="A53" s="265"/>
      <c r="B53" s="99">
        <f>'Background Controls'!I21</f>
        <v>0</v>
      </c>
      <c r="C53" s="242">
        <f>((C27*D27*Factors!$B$372*100)*44/12)</f>
        <v>0</v>
      </c>
      <c r="D53" s="243">
        <f t="shared" si="0"/>
        <v>0</v>
      </c>
      <c r="E53" s="242"/>
    </row>
    <row r="54" spans="1:5" hidden="1">
      <c r="A54" s="265"/>
      <c r="B54" s="99">
        <f>'Background Controls'!I22</f>
        <v>0</v>
      </c>
      <c r="C54" s="242">
        <f>((C28*D28*Factors!$B$372*100)*44/12)</f>
        <v>0</v>
      </c>
      <c r="D54" s="243">
        <f t="shared" si="0"/>
        <v>0</v>
      </c>
      <c r="E54" s="242"/>
    </row>
    <row r="55" spans="1:5" hidden="1">
      <c r="A55" s="265"/>
      <c r="B55" s="99">
        <f>'Background Controls'!I23</f>
        <v>0</v>
      </c>
      <c r="C55" s="242">
        <f>((C29*D29*Factors!$B$372*100)*44/12)</f>
        <v>0</v>
      </c>
      <c r="D55" s="243">
        <f t="shared" si="0"/>
        <v>0</v>
      </c>
      <c r="E55" s="242"/>
    </row>
    <row r="56" spans="1:5" hidden="1">
      <c r="A56" s="265"/>
      <c r="B56" s="99">
        <f>'Background Controls'!I24</f>
        <v>0</v>
      </c>
      <c r="C56" s="242">
        <f>((C30*D30*Factors!$B$372*100)*44/12)</f>
        <v>0</v>
      </c>
      <c r="D56" s="243">
        <f t="shared" si="0"/>
        <v>0</v>
      </c>
      <c r="E56" s="242"/>
    </row>
    <row r="57" spans="1:5" ht="29">
      <c r="A57" s="265"/>
      <c r="B57" s="854" t="s">
        <v>794</v>
      </c>
      <c r="C57" s="525">
        <f>IF(ISERROR(SUM(C37:C56)),"",SUM(C37:C56))</f>
        <v>0</v>
      </c>
      <c r="D57" s="933">
        <f>C57</f>
        <v>0</v>
      </c>
      <c r="E57" s="526"/>
    </row>
    <row r="58" spans="1:5">
      <c r="A58" s="265"/>
    </row>
    <row r="59" spans="1:5">
      <c r="A59" s="265"/>
    </row>
    <row r="60" spans="1:5">
      <c r="A60" s="265"/>
    </row>
    <row r="61" spans="1:5">
      <c r="A61" s="265"/>
    </row>
    <row r="62" spans="1:5">
      <c r="A62" s="265"/>
    </row>
    <row r="63" spans="1:5">
      <c r="A63" s="265"/>
    </row>
    <row r="64" spans="1:5">
      <c r="A64" s="265"/>
    </row>
    <row r="65" spans="1:22">
      <c r="A65" s="265"/>
    </row>
    <row r="66" spans="1:22">
      <c r="A66" s="265"/>
    </row>
    <row r="67" spans="1:22">
      <c r="A67" s="265"/>
    </row>
    <row r="68" spans="1:22">
      <c r="A68" s="265"/>
    </row>
    <row r="69" spans="1:22" s="109" customFormat="1" ht="65.150000000000006" customHeight="1">
      <c r="A69" s="1098" t="s">
        <v>1</v>
      </c>
      <c r="B69" s="1073"/>
      <c r="C69" s="1073"/>
      <c r="D69" s="1073"/>
      <c r="E69" s="1073"/>
      <c r="F69" s="1073"/>
      <c r="G69" s="1073"/>
      <c r="H69" s="1073"/>
      <c r="I69" s="1073"/>
      <c r="J69" s="1073"/>
      <c r="K69" s="1073"/>
      <c r="L69" s="1073"/>
      <c r="M69" s="1073"/>
      <c r="N69" s="1073"/>
      <c r="O69" s="1073"/>
      <c r="P69" s="1073"/>
      <c r="Q69" s="1073"/>
      <c r="R69" s="1073"/>
      <c r="S69" s="1073"/>
      <c r="T69" s="1073"/>
      <c r="U69" s="1073"/>
      <c r="V69" s="1087"/>
    </row>
  </sheetData>
  <mergeCells count="2">
    <mergeCell ref="A69:V69"/>
    <mergeCell ref="B35:D35"/>
  </mergeCells>
  <dataValidations count="1">
    <dataValidation allowBlank="1" showErrorMessage="1" sqref="C11:D30" xr:uid="{00000000-0002-0000-1B00-000000000000}"/>
  </dataValidations>
  <pageMargins left="0.7" right="0.7" top="0.75" bottom="0.75" header="0.3" footer="0.3"/>
  <pageSetup orientation="portrait" r:id="rId1"/>
  <drawing r:id="rId2"/>
  <legacyDrawing r:id="rId3"/>
  <controls>
    <mc:AlternateContent xmlns:mc="http://schemas.openxmlformats.org/markup-compatibility/2006">
      <mc:Choice Requires="x14">
        <control shapeId="55297" r:id="rId4" name="ck_comp_UrbanForestry">
          <controlPr locked="0" autoLine="0" linkedCell="comp_UrbanForestry" r:id="rId5">
            <anchor moveWithCells="1">
              <from>
                <xdr:col>17</xdr:col>
                <xdr:colOff>393700</xdr:colOff>
                <xdr:row>0</xdr:row>
                <xdr:rowOff>107950</xdr:rowOff>
              </from>
              <to>
                <xdr:col>21</xdr:col>
                <xdr:colOff>508000</xdr:colOff>
                <xdr:row>0</xdr:row>
                <xdr:rowOff>374650</xdr:rowOff>
              </to>
            </anchor>
          </controlPr>
        </control>
      </mc:Choice>
      <mc:Fallback>
        <control shapeId="55297" r:id="rId4" name="ck_comp_UrbanForestry"/>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tabColor theme="5"/>
  </sheetPr>
  <dimension ref="A1:V42"/>
  <sheetViews>
    <sheetView showGridLines="0" workbookViewId="0">
      <selection activeCell="C5" sqref="C5"/>
    </sheetView>
  </sheetViews>
  <sheetFormatPr defaultColWidth="9.1796875" defaultRowHeight="14.5"/>
  <cols>
    <col min="1" max="1" width="9.1796875" style="109"/>
    <col min="2" max="2" width="30" style="109" customWidth="1"/>
    <col min="3" max="3" width="37.453125" style="109" customWidth="1"/>
    <col min="4" max="4" width="13" style="109" customWidth="1"/>
    <col min="5" max="16384" width="9.1796875" style="109"/>
  </cols>
  <sheetData>
    <row r="1" spans="1:15" ht="38.25" customHeight="1" thickBot="1">
      <c r="A1" s="520" t="s">
        <v>139</v>
      </c>
      <c r="B1" s="483"/>
      <c r="C1" s="483"/>
      <c r="D1" s="483"/>
      <c r="E1" s="483"/>
      <c r="F1" s="483"/>
      <c r="G1" s="483"/>
      <c r="H1" s="483"/>
      <c r="I1" s="483"/>
      <c r="J1" s="483"/>
      <c r="K1" s="483"/>
      <c r="L1" s="483"/>
      <c r="M1" s="483"/>
      <c r="N1" s="491"/>
    </row>
    <row r="2" spans="1:15">
      <c r="A2" s="575"/>
      <c r="B2"/>
      <c r="C2"/>
      <c r="D2"/>
      <c r="E2"/>
      <c r="F2"/>
      <c r="G2"/>
      <c r="H2"/>
      <c r="I2"/>
      <c r="J2"/>
      <c r="K2"/>
      <c r="L2"/>
      <c r="M2"/>
      <c r="N2" s="266"/>
      <c r="O2" s="308"/>
    </row>
    <row r="3" spans="1:15" ht="90.75" customHeight="1">
      <c r="A3" s="265"/>
      <c r="B3"/>
      <c r="C3"/>
      <c r="D3"/>
      <c r="E3"/>
      <c r="F3"/>
      <c r="G3"/>
      <c r="H3"/>
      <c r="I3"/>
      <c r="J3"/>
      <c r="K3"/>
      <c r="L3"/>
      <c r="M3"/>
      <c r="N3" s="266"/>
      <c r="O3" s="308"/>
    </row>
    <row r="4" spans="1:15">
      <c r="A4" s="265"/>
      <c r="B4" s="57" t="s">
        <v>1227</v>
      </c>
      <c r="C4"/>
      <c r="D4"/>
      <c r="E4"/>
      <c r="F4"/>
      <c r="G4"/>
      <c r="H4"/>
      <c r="I4"/>
      <c r="J4"/>
      <c r="K4"/>
      <c r="L4"/>
      <c r="M4"/>
      <c r="N4" s="266"/>
      <c r="O4" s="308"/>
    </row>
    <row r="5" spans="1:15">
      <c r="A5" s="265"/>
      <c r="B5" s="6" t="s">
        <v>795</v>
      </c>
      <c r="C5"/>
      <c r="D5"/>
      <c r="E5"/>
      <c r="F5"/>
      <c r="G5"/>
      <c r="H5"/>
      <c r="I5"/>
      <c r="J5"/>
      <c r="K5"/>
      <c r="L5"/>
      <c r="M5"/>
      <c r="N5" s="266"/>
      <c r="O5" s="308"/>
    </row>
    <row r="6" spans="1:15">
      <c r="A6" s="265"/>
      <c r="B6"/>
      <c r="C6"/>
      <c r="D6"/>
      <c r="E6"/>
      <c r="F6"/>
      <c r="G6"/>
      <c r="H6"/>
      <c r="I6"/>
      <c r="J6"/>
      <c r="K6"/>
      <c r="L6"/>
      <c r="M6"/>
      <c r="N6" s="266"/>
      <c r="O6" s="308"/>
    </row>
    <row r="7" spans="1:15">
      <c r="A7" s="307" t="str">
        <f>IF('Solid Waste-Control'!$A$10=2, "Show", "Hide")</f>
        <v>Hide</v>
      </c>
      <c r="B7" s="57" t="s">
        <v>796</v>
      </c>
      <c r="C7"/>
      <c r="D7"/>
      <c r="E7"/>
      <c r="F7"/>
      <c r="G7"/>
      <c r="H7"/>
      <c r="I7"/>
      <c r="J7"/>
      <c r="K7"/>
      <c r="L7"/>
      <c r="M7"/>
      <c r="N7" s="266"/>
      <c r="O7" s="308"/>
    </row>
    <row r="8" spans="1:15">
      <c r="A8" s="307" t="str">
        <f>IF('Solid Waste-Control'!$A$10=2, "Show", "Hide")</f>
        <v>Hide</v>
      </c>
      <c r="B8"/>
      <c r="C8"/>
      <c r="D8"/>
      <c r="E8"/>
      <c r="F8"/>
      <c r="G8"/>
      <c r="H8"/>
      <c r="I8"/>
      <c r="J8"/>
      <c r="K8"/>
      <c r="L8"/>
      <c r="M8"/>
      <c r="N8" s="266"/>
      <c r="O8" s="308"/>
    </row>
    <row r="9" spans="1:15">
      <c r="A9" s="307" t="str">
        <f>IF('Solid Waste-Control'!$A$10=2, "Show", "Hide")</f>
        <v>Hide</v>
      </c>
      <c r="B9" s="1119" t="s">
        <v>797</v>
      </c>
      <c r="C9" s="1120"/>
      <c r="D9" s="1121"/>
      <c r="E9"/>
      <c r="F9"/>
      <c r="G9"/>
      <c r="H9"/>
      <c r="I9"/>
      <c r="J9"/>
      <c r="K9"/>
      <c r="L9"/>
      <c r="M9"/>
      <c r="N9" s="266"/>
      <c r="O9" s="308"/>
    </row>
    <row r="10" spans="1:15" ht="8.15" customHeight="1">
      <c r="A10" s="307" t="str">
        <f>IF('Solid Waste-Control'!$A$10=2, "Show", "Hide")</f>
        <v>Hide</v>
      </c>
      <c r="B10" s="250"/>
      <c r="C10"/>
      <c r="D10" s="42"/>
      <c r="E10"/>
      <c r="F10"/>
      <c r="G10"/>
      <c r="H10"/>
      <c r="I10"/>
      <c r="J10"/>
      <c r="K10"/>
      <c r="L10"/>
      <c r="M10"/>
      <c r="N10" s="266"/>
      <c r="O10" s="308"/>
    </row>
    <row r="11" spans="1:15" ht="16.5">
      <c r="A11" s="307" t="str">
        <f>IF('Solid Waste-Control'!$A$10=2, "Show", "Hide")</f>
        <v>Hide</v>
      </c>
      <c r="B11" s="46" t="s">
        <v>798</v>
      </c>
      <c r="C11" s="842"/>
      <c r="D11" s="252" t="s">
        <v>71</v>
      </c>
      <c r="E11"/>
      <c r="F11"/>
      <c r="G11"/>
      <c r="H11"/>
      <c r="I11"/>
      <c r="J11"/>
      <c r="K11"/>
      <c r="L11"/>
      <c r="M11"/>
      <c r="N11" s="266"/>
      <c r="O11" s="308"/>
    </row>
    <row r="12" spans="1:15">
      <c r="A12" s="307" t="str">
        <f>IF('Solid Waste-Control'!$A$10=2, "Show", "Hide")</f>
        <v>Hide</v>
      </c>
      <c r="B12" s="43"/>
      <c r="C12" s="251"/>
      <c r="D12" s="45"/>
      <c r="E12"/>
      <c r="F12"/>
      <c r="G12"/>
      <c r="H12"/>
      <c r="I12"/>
      <c r="J12"/>
      <c r="K12"/>
      <c r="L12"/>
      <c r="M12"/>
      <c r="N12" s="266"/>
      <c r="O12" s="308"/>
    </row>
    <row r="13" spans="1:15">
      <c r="A13" s="307" t="str">
        <f>IF('Solid Waste-Control'!$A$10=2, "Show", "Hide")</f>
        <v>Hide</v>
      </c>
      <c r="B13"/>
      <c r="C13" s="263"/>
      <c r="D13"/>
      <c r="E13"/>
      <c r="F13"/>
      <c r="G13"/>
      <c r="H13"/>
      <c r="I13"/>
      <c r="J13"/>
      <c r="K13"/>
      <c r="L13"/>
      <c r="M13"/>
      <c r="N13" s="266"/>
      <c r="O13" s="308"/>
    </row>
    <row r="14" spans="1:15">
      <c r="A14" s="307" t="str">
        <f>IF('Solid Waste-Control'!$A$10=2, "Show", "Hide")</f>
        <v>Hide</v>
      </c>
      <c r="B14" t="s">
        <v>799</v>
      </c>
      <c r="C14" s="263"/>
      <c r="D14"/>
      <c r="E14"/>
      <c r="F14"/>
      <c r="G14"/>
      <c r="H14"/>
      <c r="I14"/>
      <c r="J14"/>
      <c r="K14"/>
      <c r="L14"/>
      <c r="M14"/>
      <c r="N14" s="266"/>
      <c r="O14" s="308"/>
    </row>
    <row r="15" spans="1:15">
      <c r="A15" s="307" t="str">
        <f>IF('Solid Waste-Control'!$A$10=2, "Show", "Hide")</f>
        <v>Hide</v>
      </c>
      <c r="B15" t="s">
        <v>800</v>
      </c>
      <c r="C15" s="263"/>
      <c r="D15"/>
      <c r="E15"/>
      <c r="F15"/>
      <c r="G15"/>
      <c r="H15"/>
      <c r="I15"/>
      <c r="J15"/>
      <c r="K15"/>
      <c r="L15"/>
      <c r="M15"/>
      <c r="N15" s="266"/>
      <c r="O15" s="308"/>
    </row>
    <row r="16" spans="1:15" ht="16.5">
      <c r="A16" s="307" t="str">
        <f>IF('Solid Waste-Control'!$A$10=2, "Show", "Hide")</f>
        <v>Hide</v>
      </c>
      <c r="B16" s="840" t="s">
        <v>152</v>
      </c>
      <c r="C16" s="868" t="s">
        <v>801</v>
      </c>
      <c r="D16" s="868" t="s">
        <v>71</v>
      </c>
      <c r="E16"/>
      <c r="F16"/>
      <c r="G16"/>
      <c r="H16"/>
      <c r="I16"/>
      <c r="J16"/>
      <c r="K16"/>
      <c r="L16"/>
      <c r="M16"/>
      <c r="N16" s="266"/>
      <c r="O16" s="308"/>
    </row>
    <row r="17" spans="1:15">
      <c r="A17" s="307" t="str">
        <f>IF('Solid Waste-Control'!$A$10=2, "Dstart", "Hide")</f>
        <v>Hide</v>
      </c>
      <c r="B17" s="860" t="str">
        <f>'Background Controls'!I5</f>
        <v>Residential</v>
      </c>
      <c r="C17" s="934"/>
      <c r="D17" s="860">
        <f>$C$11*C17</f>
        <v>0</v>
      </c>
      <c r="E17"/>
      <c r="F17"/>
      <c r="G17"/>
      <c r="H17"/>
      <c r="I17"/>
      <c r="J17"/>
      <c r="K17"/>
      <c r="L17"/>
      <c r="M17"/>
      <c r="N17" s="266"/>
      <c r="O17" s="308"/>
    </row>
    <row r="18" spans="1:15">
      <c r="A18" s="307" t="str">
        <f>IF('Solid Waste-Control'!$A$10=2, "Show", "Hide")</f>
        <v>Hide</v>
      </c>
      <c r="B18" s="860" t="str">
        <f>'Background Controls'!I6</f>
        <v>Commercial/Institutional</v>
      </c>
      <c r="C18" s="934"/>
      <c r="D18" s="860">
        <f t="shared" ref="D18:D36" si="0">$C$11*C18</f>
        <v>0</v>
      </c>
      <c r="E18"/>
      <c r="F18"/>
      <c r="G18"/>
      <c r="H18"/>
      <c r="I18"/>
      <c r="J18"/>
      <c r="K18"/>
      <c r="L18"/>
      <c r="M18"/>
      <c r="N18" s="266"/>
      <c r="O18" s="308"/>
    </row>
    <row r="19" spans="1:15">
      <c r="A19" s="307" t="str">
        <f>IF('Solid Waste-Control'!$A$10=2, "Show", "Hide")</f>
        <v>Hide</v>
      </c>
      <c r="B19" s="860" t="str">
        <f>'Background Controls'!I7</f>
        <v>Industrial</v>
      </c>
      <c r="C19" s="934"/>
      <c r="D19" s="860">
        <f t="shared" si="0"/>
        <v>0</v>
      </c>
      <c r="E19"/>
      <c r="F19"/>
      <c r="G19"/>
      <c r="H19"/>
      <c r="I19"/>
      <c r="J19"/>
      <c r="K19"/>
      <c r="L19"/>
      <c r="M19"/>
      <c r="N19" s="266"/>
      <c r="O19" s="308"/>
    </row>
    <row r="20" spans="1:15">
      <c r="A20" s="307" t="str">
        <f>IF('Solid Waste-Control'!$A$10=2, "Show", "Hide")</f>
        <v>Hide</v>
      </c>
      <c r="B20" s="860" t="str">
        <f>'Background Controls'!I8</f>
        <v>Energy Generation</v>
      </c>
      <c r="C20" s="934"/>
      <c r="D20" s="860">
        <f t="shared" si="0"/>
        <v>0</v>
      </c>
      <c r="E20"/>
      <c r="F20"/>
      <c r="G20"/>
      <c r="H20"/>
      <c r="I20"/>
      <c r="J20"/>
      <c r="K20"/>
      <c r="L20"/>
      <c r="M20"/>
      <c r="N20" s="266"/>
      <c r="O20" s="308"/>
    </row>
    <row r="21" spans="1:15" hidden="1">
      <c r="A21" s="307" t="str">
        <f>IF('Solid Waste-Control'!$A$10=2, "Show", "Hide")</f>
        <v>Hide</v>
      </c>
      <c r="B21" s="860">
        <f>'Background Controls'!I9</f>
        <v>0</v>
      </c>
      <c r="C21" s="934"/>
      <c r="D21" s="860">
        <f t="shared" si="0"/>
        <v>0</v>
      </c>
      <c r="E21"/>
      <c r="F21"/>
      <c r="G21"/>
      <c r="H21"/>
      <c r="I21"/>
      <c r="J21"/>
      <c r="K21"/>
      <c r="L21"/>
      <c r="M21"/>
      <c r="N21" s="266"/>
      <c r="O21" s="308"/>
    </row>
    <row r="22" spans="1:15" hidden="1">
      <c r="A22" s="307" t="str">
        <f>IF('Solid Waste-Control'!$A$10=2, "Show", "Hide")</f>
        <v>Hide</v>
      </c>
      <c r="B22" s="860">
        <f>'Background Controls'!I10</f>
        <v>0</v>
      </c>
      <c r="C22" s="934"/>
      <c r="D22" s="860">
        <f t="shared" si="0"/>
        <v>0</v>
      </c>
      <c r="E22"/>
      <c r="F22"/>
      <c r="G22"/>
      <c r="H22"/>
      <c r="I22"/>
      <c r="J22"/>
      <c r="K22"/>
      <c r="L22"/>
      <c r="M22"/>
      <c r="N22" s="266"/>
      <c r="O22" s="308"/>
    </row>
    <row r="23" spans="1:15" hidden="1">
      <c r="A23" s="307" t="str">
        <f>IF('Solid Waste-Control'!$A$10=2, "Show", "Hide")</f>
        <v>Hide</v>
      </c>
      <c r="B23" s="860">
        <f>'Background Controls'!I11</f>
        <v>0</v>
      </c>
      <c r="C23" s="934"/>
      <c r="D23" s="860">
        <f t="shared" si="0"/>
        <v>0</v>
      </c>
      <c r="E23"/>
      <c r="F23"/>
      <c r="G23"/>
      <c r="H23"/>
      <c r="I23"/>
      <c r="J23"/>
      <c r="K23"/>
      <c r="L23"/>
      <c r="M23"/>
      <c r="N23" s="266"/>
      <c r="O23" s="308"/>
    </row>
    <row r="24" spans="1:15" hidden="1">
      <c r="A24" s="307" t="str">
        <f>IF('Solid Waste-Control'!$A$10=2, "Show", "Hide")</f>
        <v>Hide</v>
      </c>
      <c r="B24" s="860">
        <f>'Background Controls'!I12</f>
        <v>0</v>
      </c>
      <c r="C24" s="934"/>
      <c r="D24" s="860">
        <f t="shared" si="0"/>
        <v>0</v>
      </c>
      <c r="E24"/>
      <c r="F24"/>
      <c r="G24"/>
      <c r="H24"/>
      <c r="I24"/>
      <c r="J24"/>
      <c r="K24"/>
      <c r="L24"/>
      <c r="M24"/>
      <c r="N24" s="266"/>
      <c r="O24" s="308"/>
    </row>
    <row r="25" spans="1:15" hidden="1">
      <c r="A25" s="307" t="str">
        <f>IF('Solid Waste-Control'!$A$10=2, "Show", "Hide")</f>
        <v>Hide</v>
      </c>
      <c r="B25" s="860">
        <f>'Background Controls'!I13</f>
        <v>0</v>
      </c>
      <c r="C25" s="934"/>
      <c r="D25" s="860">
        <f t="shared" si="0"/>
        <v>0</v>
      </c>
      <c r="E25"/>
      <c r="F25"/>
      <c r="G25"/>
      <c r="H25"/>
      <c r="I25"/>
      <c r="J25"/>
      <c r="K25"/>
      <c r="L25"/>
      <c r="M25"/>
      <c r="N25" s="266"/>
      <c r="O25" s="308"/>
    </row>
    <row r="26" spans="1:15" hidden="1">
      <c r="A26" s="307" t="str">
        <f>IF('Solid Waste-Control'!$A$10=2, "Show", "Hide")</f>
        <v>Hide</v>
      </c>
      <c r="B26" s="860">
        <f>'Background Controls'!I14</f>
        <v>0</v>
      </c>
      <c r="C26" s="934"/>
      <c r="D26" s="860">
        <f t="shared" si="0"/>
        <v>0</v>
      </c>
      <c r="E26"/>
      <c r="F26"/>
      <c r="G26"/>
      <c r="H26"/>
      <c r="I26"/>
      <c r="J26"/>
      <c r="K26"/>
      <c r="L26"/>
      <c r="M26"/>
      <c r="N26" s="266"/>
      <c r="O26" s="308"/>
    </row>
    <row r="27" spans="1:15" hidden="1">
      <c r="A27" s="307" t="str">
        <f>IF('Solid Waste-Control'!$A$10=2, "Show", "Hide")</f>
        <v>Hide</v>
      </c>
      <c r="B27" s="860">
        <f>'Background Controls'!I15</f>
        <v>0</v>
      </c>
      <c r="C27" s="934"/>
      <c r="D27" s="860">
        <f t="shared" si="0"/>
        <v>0</v>
      </c>
      <c r="E27"/>
      <c r="F27"/>
      <c r="G27"/>
      <c r="H27"/>
      <c r="I27"/>
      <c r="J27"/>
      <c r="K27"/>
      <c r="L27"/>
      <c r="M27"/>
      <c r="N27" s="266"/>
      <c r="O27" s="308"/>
    </row>
    <row r="28" spans="1:15" hidden="1">
      <c r="A28" s="307" t="str">
        <f>IF('Solid Waste-Control'!$A$10=2, "Show", "Hide")</f>
        <v>Hide</v>
      </c>
      <c r="B28" s="860">
        <f>'Background Controls'!I16</f>
        <v>0</v>
      </c>
      <c r="C28" s="934"/>
      <c r="D28" s="860">
        <f t="shared" si="0"/>
        <v>0</v>
      </c>
      <c r="E28"/>
      <c r="F28"/>
      <c r="G28"/>
      <c r="H28"/>
      <c r="I28"/>
      <c r="J28"/>
      <c r="K28"/>
      <c r="L28"/>
      <c r="M28"/>
      <c r="N28" s="266"/>
      <c r="O28" s="308"/>
    </row>
    <row r="29" spans="1:15" hidden="1">
      <c r="A29" s="307" t="str">
        <f>IF('Solid Waste-Control'!$A$10=2, "Show", "Hide")</f>
        <v>Hide</v>
      </c>
      <c r="B29" s="860">
        <f>'Background Controls'!I17</f>
        <v>0</v>
      </c>
      <c r="C29" s="934"/>
      <c r="D29" s="860">
        <f t="shared" si="0"/>
        <v>0</v>
      </c>
      <c r="E29"/>
      <c r="F29"/>
      <c r="G29"/>
      <c r="H29"/>
      <c r="I29"/>
      <c r="J29"/>
      <c r="K29"/>
      <c r="L29"/>
      <c r="M29"/>
      <c r="N29" s="266"/>
      <c r="O29" s="308"/>
    </row>
    <row r="30" spans="1:15" hidden="1">
      <c r="A30" s="307" t="str">
        <f>IF('Solid Waste-Control'!$A$10=2, "Show", "Hide")</f>
        <v>Hide</v>
      </c>
      <c r="B30" s="860">
        <f>'Background Controls'!I18</f>
        <v>0</v>
      </c>
      <c r="C30" s="934"/>
      <c r="D30" s="860">
        <f t="shared" si="0"/>
        <v>0</v>
      </c>
      <c r="E30"/>
      <c r="F30"/>
      <c r="G30"/>
      <c r="H30"/>
      <c r="I30"/>
      <c r="J30"/>
      <c r="K30"/>
      <c r="L30"/>
      <c r="M30"/>
      <c r="N30" s="266"/>
      <c r="O30" s="308"/>
    </row>
    <row r="31" spans="1:15" hidden="1">
      <c r="A31" s="307" t="str">
        <f>IF('Solid Waste-Control'!$A$10=2, "Show", "Hide")</f>
        <v>Hide</v>
      </c>
      <c r="B31" s="860">
        <f>'Background Controls'!I19</f>
        <v>0</v>
      </c>
      <c r="C31" s="934"/>
      <c r="D31" s="860">
        <f t="shared" si="0"/>
        <v>0</v>
      </c>
      <c r="E31"/>
      <c r="F31"/>
      <c r="G31"/>
      <c r="H31"/>
      <c r="I31"/>
      <c r="J31"/>
      <c r="K31"/>
      <c r="L31"/>
      <c r="M31"/>
      <c r="N31" s="266"/>
      <c r="O31" s="308"/>
    </row>
    <row r="32" spans="1:15" hidden="1">
      <c r="A32" s="307" t="str">
        <f>IF('Solid Waste-Control'!$A$10=2, "Show", "Hide")</f>
        <v>Hide</v>
      </c>
      <c r="B32" s="860">
        <f>'Background Controls'!I20</f>
        <v>0</v>
      </c>
      <c r="C32" s="934"/>
      <c r="D32" s="860">
        <f t="shared" si="0"/>
        <v>0</v>
      </c>
      <c r="E32"/>
      <c r="F32"/>
      <c r="G32"/>
      <c r="H32"/>
      <c r="I32"/>
      <c r="J32"/>
      <c r="K32"/>
      <c r="L32"/>
      <c r="M32"/>
      <c r="N32" s="266"/>
      <c r="O32" s="308"/>
    </row>
    <row r="33" spans="1:22" hidden="1">
      <c r="A33" s="307" t="str">
        <f>IF('Solid Waste-Control'!$A$10=2, "Show", "Hide")</f>
        <v>Hide</v>
      </c>
      <c r="B33" s="860">
        <f>'Background Controls'!I21</f>
        <v>0</v>
      </c>
      <c r="C33" s="934"/>
      <c r="D33" s="860">
        <f t="shared" si="0"/>
        <v>0</v>
      </c>
      <c r="E33"/>
      <c r="F33"/>
      <c r="G33"/>
      <c r="H33"/>
      <c r="I33"/>
      <c r="J33"/>
      <c r="K33"/>
      <c r="L33"/>
      <c r="M33"/>
      <c r="N33" s="266"/>
      <c r="O33" s="308"/>
    </row>
    <row r="34" spans="1:22" hidden="1">
      <c r="A34" s="307" t="str">
        <f>IF('Solid Waste-Control'!$A$10=2, "Show", "Hide")</f>
        <v>Hide</v>
      </c>
      <c r="B34" s="860">
        <f>'Background Controls'!I22</f>
        <v>0</v>
      </c>
      <c r="C34" s="934"/>
      <c r="D34" s="860">
        <f t="shared" si="0"/>
        <v>0</v>
      </c>
      <c r="E34"/>
      <c r="F34"/>
      <c r="G34"/>
      <c r="H34"/>
      <c r="I34"/>
      <c r="J34"/>
      <c r="K34"/>
      <c r="L34"/>
      <c r="M34"/>
      <c r="N34" s="266"/>
      <c r="O34" s="308"/>
    </row>
    <row r="35" spans="1:22" hidden="1">
      <c r="A35" s="307" t="str">
        <f>IF('Solid Waste-Control'!$A$10=2, "Show", "Hide")</f>
        <v>Hide</v>
      </c>
      <c r="B35" s="860">
        <f>'Background Controls'!I23</f>
        <v>0</v>
      </c>
      <c r="C35" s="934"/>
      <c r="D35" s="860">
        <f t="shared" si="0"/>
        <v>0</v>
      </c>
      <c r="E35"/>
      <c r="F35"/>
      <c r="G35"/>
      <c r="H35"/>
      <c r="I35"/>
      <c r="J35"/>
      <c r="K35"/>
      <c r="L35"/>
      <c r="M35"/>
      <c r="N35" s="266"/>
      <c r="O35" s="308"/>
    </row>
    <row r="36" spans="1:22" hidden="1">
      <c r="A36" s="307" t="str">
        <f>IF('Solid Waste-Control'!$A$10=2, "Show", "Hide")</f>
        <v>Hide</v>
      </c>
      <c r="B36" s="860">
        <f>'Background Controls'!I24</f>
        <v>0</v>
      </c>
      <c r="C36" s="934"/>
      <c r="D36" s="860">
        <f t="shared" si="0"/>
        <v>0</v>
      </c>
      <c r="E36"/>
      <c r="F36"/>
      <c r="G36"/>
      <c r="H36"/>
      <c r="I36"/>
      <c r="J36"/>
      <c r="K36"/>
      <c r="L36"/>
      <c r="M36"/>
      <c r="N36" s="266"/>
      <c r="O36" s="308"/>
    </row>
    <row r="37" spans="1:22">
      <c r="A37" s="307" t="str">
        <f>IF('Solid Waste-Control'!$A$10=2, "Show", "Hide")</f>
        <v>Hide</v>
      </c>
      <c r="B37" s="840" t="s">
        <v>253</v>
      </c>
      <c r="C37" s="935">
        <f>SUM(C17:C36)</f>
        <v>0</v>
      </c>
      <c r="D37" s="936">
        <f>SUM(D17:D36)</f>
        <v>0</v>
      </c>
      <c r="E37"/>
      <c r="F37"/>
      <c r="G37"/>
      <c r="H37"/>
      <c r="I37"/>
      <c r="J37"/>
      <c r="K37"/>
      <c r="L37"/>
      <c r="M37"/>
      <c r="N37" s="266"/>
      <c r="O37" s="308"/>
    </row>
    <row r="38" spans="1:22">
      <c r="A38" s="307" t="str">
        <f>IF('Solid Waste-Control'!$A$10=2, "Show", "Hide")</f>
        <v>Hide</v>
      </c>
      <c r="B38"/>
      <c r="C38"/>
      <c r="D38"/>
      <c r="E38"/>
      <c r="F38"/>
      <c r="G38"/>
      <c r="H38"/>
      <c r="I38"/>
      <c r="J38"/>
      <c r="K38"/>
      <c r="L38"/>
      <c r="M38"/>
      <c r="N38" s="266"/>
      <c r="O38" s="308"/>
    </row>
    <row r="39" spans="1:22">
      <c r="A39" s="265"/>
      <c r="B39"/>
      <c r="C39"/>
      <c r="D39"/>
      <c r="E39"/>
      <c r="F39"/>
      <c r="G39"/>
      <c r="H39"/>
      <c r="I39"/>
      <c r="J39"/>
      <c r="K39"/>
      <c r="L39"/>
      <c r="M39"/>
      <c r="N39" s="266"/>
      <c r="O39" s="308"/>
    </row>
    <row r="40" spans="1:22">
      <c r="A40" s="265"/>
      <c r="B40"/>
      <c r="C40"/>
      <c r="D40"/>
      <c r="E40"/>
      <c r="F40"/>
      <c r="G40"/>
      <c r="H40"/>
      <c r="I40"/>
      <c r="J40"/>
      <c r="K40"/>
      <c r="L40"/>
      <c r="M40"/>
      <c r="N40" s="266"/>
      <c r="O40" s="308"/>
    </row>
    <row r="41" spans="1:22" ht="65.150000000000006" customHeight="1" thickBot="1">
      <c r="A41" s="1122" t="s">
        <v>1</v>
      </c>
      <c r="B41" s="1123"/>
      <c r="C41" s="1123"/>
      <c r="D41" s="1123"/>
      <c r="E41" s="1123"/>
      <c r="F41" s="1123"/>
      <c r="G41" s="1123"/>
      <c r="H41" s="1123"/>
      <c r="I41" s="1123"/>
      <c r="J41" s="1123"/>
      <c r="K41" s="1123"/>
      <c r="L41" s="1123"/>
      <c r="M41" s="1123"/>
      <c r="N41" s="1124"/>
      <c r="P41" s="518"/>
      <c r="Q41" s="518"/>
      <c r="R41" s="518"/>
      <c r="S41" s="518"/>
      <c r="T41" s="518"/>
      <c r="U41" s="518"/>
      <c r="V41" s="518"/>
    </row>
    <row r="42" spans="1:22" ht="15" thickTop="1">
      <c r="A42" s="519"/>
      <c r="B42" s="519"/>
      <c r="C42" s="519"/>
      <c r="D42" s="519"/>
      <c r="E42" s="519"/>
      <c r="F42" s="519"/>
      <c r="G42" s="519"/>
      <c r="H42" s="519"/>
      <c r="I42" s="519"/>
      <c r="J42" s="519"/>
      <c r="K42" s="519"/>
      <c r="L42" s="519"/>
      <c r="M42" s="519"/>
      <c r="N42" s="519"/>
    </row>
  </sheetData>
  <mergeCells count="2">
    <mergeCell ref="B9:D9"/>
    <mergeCell ref="A41:N41"/>
  </mergeCells>
  <conditionalFormatting sqref="C37">
    <cfRule type="cellIs" dxfId="1" priority="2" operator="notBetween">
      <formula>0.995</formula>
      <formula>1.005</formula>
    </cfRule>
  </conditionalFormatting>
  <conditionalFormatting sqref="D37">
    <cfRule type="cellIs" dxfId="0" priority="1" operator="notEqual">
      <formula>$C$11</formula>
    </cfRule>
  </conditionalFormatting>
  <hyperlinks>
    <hyperlink ref="B5" r:id="rId1" xr:uid="{00000000-0004-0000-1C00-000000000000}"/>
  </hyperlinks>
  <pageMargins left="0.7" right="0.7" top="0.75" bottom="0.75" header="0.3" footer="0.3"/>
  <pageSetup orientation="portrait" r:id="rId2"/>
  <drawing r:id="rId3"/>
  <legacyDrawing r:id="rId4"/>
  <controls>
    <mc:AlternateContent xmlns:mc="http://schemas.openxmlformats.org/markup-compatibility/2006">
      <mc:Choice Requires="x14">
        <control shapeId="61443" r:id="rId5" name="CheckBox1">
          <controlPr locked="0" defaultSize="0" autoLine="0" linkedCell="comp_WasteProd" r:id="rId6">
            <anchor moveWithCells="1">
              <from>
                <xdr:col>9</xdr:col>
                <xdr:colOff>412750</xdr:colOff>
                <xdr:row>0</xdr:row>
                <xdr:rowOff>152400</xdr:rowOff>
              </from>
              <to>
                <xdr:col>13</xdr:col>
                <xdr:colOff>419100</xdr:colOff>
                <xdr:row>0</xdr:row>
                <xdr:rowOff>355600</xdr:rowOff>
              </to>
            </anchor>
          </controlPr>
        </control>
      </mc:Choice>
      <mc:Fallback>
        <control shapeId="61443" r:id="rId5" name="Check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2">
    <tabColor theme="5"/>
  </sheetPr>
  <dimension ref="A1:Q29"/>
  <sheetViews>
    <sheetView showGridLines="0" workbookViewId="0">
      <selection activeCell="L16" sqref="L16"/>
    </sheetView>
  </sheetViews>
  <sheetFormatPr defaultColWidth="8.81640625" defaultRowHeight="14.5"/>
  <cols>
    <col min="1" max="1" width="8.81640625" style="284"/>
    <col min="2" max="2" width="25.1796875" customWidth="1"/>
    <col min="3" max="3" width="21.7265625" customWidth="1"/>
    <col min="4" max="4" width="10.453125" customWidth="1"/>
    <col min="5" max="5" width="11.1796875" customWidth="1"/>
    <col min="11" max="11" width="13.453125" customWidth="1"/>
    <col min="16" max="16" width="8.81640625" style="308"/>
    <col min="17" max="17" width="0" style="109" hidden="1" customWidth="1"/>
    <col min="18" max="16384" width="8.81640625" style="109"/>
  </cols>
  <sheetData>
    <row r="1" spans="1:17" ht="38.25" customHeight="1" thickBot="1">
      <c r="A1" s="488" t="s">
        <v>140</v>
      </c>
      <c r="B1" s="483"/>
      <c r="C1" s="483"/>
      <c r="D1" s="483"/>
      <c r="E1" s="483"/>
      <c r="F1" s="483"/>
      <c r="G1" s="483"/>
      <c r="H1" s="483"/>
      <c r="I1" s="483"/>
      <c r="J1" s="483"/>
      <c r="K1" s="483"/>
      <c r="L1" s="483"/>
      <c r="M1" s="483"/>
      <c r="N1" s="483"/>
      <c r="O1" s="483"/>
    </row>
    <row r="3" spans="1:17">
      <c r="B3" s="1"/>
    </row>
    <row r="4" spans="1:17">
      <c r="B4" s="1"/>
    </row>
    <row r="5" spans="1:17">
      <c r="B5" s="1"/>
    </row>
    <row r="6" spans="1:17">
      <c r="B6" s="1"/>
    </row>
    <row r="9" spans="1:17">
      <c r="A9" s="284">
        <v>2</v>
      </c>
      <c r="B9" s="1" t="s">
        <v>802</v>
      </c>
      <c r="Q9" s="1016">
        <v>1</v>
      </c>
    </row>
    <row r="11" spans="1:17">
      <c r="A11" s="284" t="str">
        <f>IF($Q$9=1, "Show", "Hide")</f>
        <v>Show</v>
      </c>
    </row>
    <row r="12" spans="1:17" hidden="1">
      <c r="B12" s="1"/>
      <c r="E12" s="576"/>
    </row>
    <row r="13" spans="1:17">
      <c r="B13" s="57"/>
    </row>
    <row r="14" spans="1:17" ht="16.5">
      <c r="A14" s="284" t="str">
        <f>IF($Q$9=1, "Show", "Hide")</f>
        <v>Show</v>
      </c>
      <c r="E14" s="1096" t="s">
        <v>71</v>
      </c>
      <c r="F14" s="1097"/>
      <c r="G14" s="1097"/>
      <c r="H14" s="1097"/>
      <c r="I14" s="1097"/>
      <c r="J14" s="1097"/>
      <c r="K14" s="1125"/>
    </row>
    <row r="15" spans="1:17" ht="16.5">
      <c r="A15" s="284" t="str">
        <f>IF($Q$9=1, "Show", "Hide")</f>
        <v>Show</v>
      </c>
      <c r="B15" s="840" t="s">
        <v>803</v>
      </c>
      <c r="C15" s="840" t="s">
        <v>152</v>
      </c>
      <c r="D15" s="840" t="s">
        <v>804</v>
      </c>
      <c r="E15" s="853" t="s">
        <v>16</v>
      </c>
      <c r="F15" s="853" t="s">
        <v>20</v>
      </c>
      <c r="G15" s="853" t="s">
        <v>73</v>
      </c>
      <c r="H15" s="853" t="s">
        <v>805</v>
      </c>
      <c r="I15" s="853" t="s">
        <v>806</v>
      </c>
      <c r="J15" s="853" t="s">
        <v>807</v>
      </c>
      <c r="K15" s="853" t="s">
        <v>253</v>
      </c>
    </row>
    <row r="16" spans="1:17">
      <c r="A16" s="284" t="str">
        <f t="shared" ref="A16:A25" si="0">IF($Q$9=1, "Show", "Hide")</f>
        <v>Show</v>
      </c>
      <c r="B16" s="841"/>
      <c r="C16" s="841"/>
      <c r="D16" s="841"/>
      <c r="E16" s="841"/>
      <c r="F16" s="841"/>
      <c r="G16" s="841"/>
      <c r="H16" s="841"/>
      <c r="I16" s="841"/>
      <c r="J16" s="841"/>
      <c r="K16" s="937">
        <f t="shared" ref="K16:K25" si="1">SUM(E16:J16)</f>
        <v>0</v>
      </c>
    </row>
    <row r="17" spans="1:16">
      <c r="A17" s="284" t="str">
        <f t="shared" si="0"/>
        <v>Show</v>
      </c>
      <c r="B17" s="841"/>
      <c r="C17" s="841"/>
      <c r="D17" s="841"/>
      <c r="E17" s="841"/>
      <c r="F17" s="841"/>
      <c r="G17" s="841"/>
      <c r="H17" s="841"/>
      <c r="I17" s="841"/>
      <c r="J17" s="841"/>
      <c r="K17" s="937">
        <f t="shared" si="1"/>
        <v>0</v>
      </c>
    </row>
    <row r="18" spans="1:16">
      <c r="A18" s="284" t="str">
        <f t="shared" si="0"/>
        <v>Show</v>
      </c>
      <c r="B18" s="841"/>
      <c r="C18" s="841"/>
      <c r="D18" s="841"/>
      <c r="E18" s="841"/>
      <c r="F18" s="841"/>
      <c r="G18" s="841"/>
      <c r="H18" s="841"/>
      <c r="I18" s="841"/>
      <c r="J18" s="841"/>
      <c r="K18" s="937">
        <f t="shared" si="1"/>
        <v>0</v>
      </c>
    </row>
    <row r="19" spans="1:16">
      <c r="A19" s="284" t="str">
        <f t="shared" si="0"/>
        <v>Show</v>
      </c>
      <c r="B19" s="841"/>
      <c r="C19" s="841"/>
      <c r="D19" s="841"/>
      <c r="E19" s="841"/>
      <c r="F19" s="841"/>
      <c r="G19" s="841"/>
      <c r="H19" s="841"/>
      <c r="I19" s="841"/>
      <c r="J19" s="841"/>
      <c r="K19" s="937">
        <f t="shared" si="1"/>
        <v>0</v>
      </c>
    </row>
    <row r="20" spans="1:16" s="585" customFormat="1">
      <c r="A20" s="660" t="str">
        <f t="shared" si="0"/>
        <v>Show</v>
      </c>
      <c r="B20" s="841"/>
      <c r="C20" s="841"/>
      <c r="D20" s="841"/>
      <c r="E20" s="841"/>
      <c r="F20" s="841"/>
      <c r="G20" s="841"/>
      <c r="H20" s="841"/>
      <c r="I20" s="841"/>
      <c r="J20" s="841"/>
      <c r="K20" s="1025">
        <f t="shared" si="1"/>
        <v>0</v>
      </c>
      <c r="L20" s="576"/>
      <c r="M20" s="576"/>
      <c r="N20" s="576"/>
      <c r="O20" s="576"/>
      <c r="P20" s="584"/>
    </row>
    <row r="21" spans="1:16" s="585" customFormat="1">
      <c r="A21" s="660" t="str">
        <f t="shared" si="0"/>
        <v>Show</v>
      </c>
      <c r="B21" s="841"/>
      <c r="C21" s="841"/>
      <c r="D21" s="841"/>
      <c r="E21" s="841"/>
      <c r="F21" s="841"/>
      <c r="G21" s="841"/>
      <c r="H21" s="841"/>
      <c r="I21" s="841"/>
      <c r="J21" s="841"/>
      <c r="K21" s="1025">
        <f t="shared" si="1"/>
        <v>0</v>
      </c>
      <c r="L21" s="576"/>
      <c r="M21" s="576"/>
      <c r="N21" s="576"/>
      <c r="O21" s="576"/>
      <c r="P21" s="584"/>
    </row>
    <row r="22" spans="1:16" s="585" customFormat="1">
      <c r="A22" s="660" t="str">
        <f t="shared" si="0"/>
        <v>Show</v>
      </c>
      <c r="B22" s="841"/>
      <c r="C22" s="841"/>
      <c r="D22" s="841"/>
      <c r="E22" s="841"/>
      <c r="F22" s="841"/>
      <c r="G22" s="841"/>
      <c r="H22" s="841"/>
      <c r="I22" s="841"/>
      <c r="J22" s="841"/>
      <c r="K22" s="1025">
        <f t="shared" si="1"/>
        <v>0</v>
      </c>
      <c r="L22" s="576"/>
      <c r="M22" s="576"/>
      <c r="N22" s="576"/>
      <c r="O22" s="576"/>
      <c r="P22" s="584"/>
    </row>
    <row r="23" spans="1:16" s="585" customFormat="1">
      <c r="A23" s="660" t="str">
        <f t="shared" si="0"/>
        <v>Show</v>
      </c>
      <c r="B23" s="841"/>
      <c r="C23" s="841"/>
      <c r="D23" s="841"/>
      <c r="E23" s="841"/>
      <c r="F23" s="841"/>
      <c r="G23" s="841"/>
      <c r="H23" s="841"/>
      <c r="I23" s="841"/>
      <c r="J23" s="841"/>
      <c r="K23" s="1025">
        <f t="shared" si="1"/>
        <v>0</v>
      </c>
      <c r="L23" s="576"/>
      <c r="M23" s="576"/>
      <c r="N23" s="576"/>
      <c r="O23" s="576"/>
      <c r="P23" s="584"/>
    </row>
    <row r="24" spans="1:16" s="585" customFormat="1">
      <c r="A24" s="660" t="str">
        <f t="shared" si="0"/>
        <v>Show</v>
      </c>
      <c r="B24" s="841"/>
      <c r="C24" s="841"/>
      <c r="D24" s="841"/>
      <c r="E24" s="841"/>
      <c r="F24" s="841"/>
      <c r="G24" s="841"/>
      <c r="H24" s="841"/>
      <c r="I24" s="841"/>
      <c r="J24" s="841"/>
      <c r="K24" s="1025">
        <f t="shared" si="1"/>
        <v>0</v>
      </c>
      <c r="L24" s="576"/>
      <c r="M24" s="576"/>
      <c r="N24" s="576"/>
      <c r="O24" s="576"/>
      <c r="P24" s="584"/>
    </row>
    <row r="25" spans="1:16" s="585" customFormat="1">
      <c r="A25" s="660" t="str">
        <f t="shared" si="0"/>
        <v>Show</v>
      </c>
      <c r="B25" s="841"/>
      <c r="C25" s="841"/>
      <c r="D25" s="841"/>
      <c r="E25" s="841"/>
      <c r="F25" s="841"/>
      <c r="G25" s="841"/>
      <c r="H25" s="841"/>
      <c r="I25" s="841"/>
      <c r="J25" s="841"/>
      <c r="K25" s="1025">
        <f t="shared" si="1"/>
        <v>0</v>
      </c>
      <c r="L25" s="576"/>
      <c r="M25" s="576"/>
      <c r="N25" s="576"/>
      <c r="O25" s="576"/>
      <c r="P25" s="584"/>
    </row>
    <row r="29" spans="1:16" ht="65.150000000000006" customHeight="1">
      <c r="A29" s="1073" t="s">
        <v>1</v>
      </c>
      <c r="B29" s="1073"/>
      <c r="C29" s="1073"/>
      <c r="D29" s="1073"/>
      <c r="E29" s="1073"/>
      <c r="F29" s="1073"/>
      <c r="G29" s="1073"/>
      <c r="H29" s="1073"/>
      <c r="I29" s="1073"/>
      <c r="J29" s="1073"/>
      <c r="K29" s="1073"/>
      <c r="L29" s="1073"/>
      <c r="M29" s="1073"/>
      <c r="N29" s="1073"/>
      <c r="O29" s="1087"/>
    </row>
  </sheetData>
  <mergeCells count="2">
    <mergeCell ref="E14:K14"/>
    <mergeCell ref="A29:O29"/>
  </mergeCells>
  <dataValidations count="9">
    <dataValidation allowBlank="1" showInputMessage="1" showErrorMessage="1" prompt="Enter the total annual carbon dioxide emissions from this source (MT CO2e)." sqref="E16:E25" xr:uid="{00000000-0002-0000-1D00-000000000000}"/>
    <dataValidation allowBlank="1" showInputMessage="1" showErrorMessage="1" prompt="Enter the total annual methane emissions from this source (MT CO2e)." sqref="F16:F25" xr:uid="{00000000-0002-0000-1D00-000001000000}"/>
    <dataValidation allowBlank="1" showInputMessage="1" showErrorMessage="1" prompt="Enter the total annual nitrous oxide emissions from this source (MT CO2e)." sqref="G16:G25" xr:uid="{00000000-0002-0000-1D00-000002000000}"/>
    <dataValidation allowBlank="1" showInputMessage="1" showErrorMessage="1" prompt="Enter the total annual hydrofluorocarbon emissions from this source (MT CO2e)." sqref="H16:H25" xr:uid="{00000000-0002-0000-1D00-000003000000}"/>
    <dataValidation allowBlank="1" showInputMessage="1" showErrorMessage="1" prompt="Enter the total annual perfluorocarbon emissions from this source (MT CO2e)." sqref="I16:I25" xr:uid="{00000000-0002-0000-1D00-000004000000}"/>
    <dataValidation allowBlank="1" showInputMessage="1" showErrorMessage="1" prompt="Enter the total annual sulfur hexafluoride emissions from this source (MT CO2e)." sqref="J16:J25" xr:uid="{00000000-0002-0000-1D00-000005000000}"/>
    <dataValidation type="list" allowBlank="1" showInputMessage="1" showErrorMessage="1" prompt="Please select whether these emissions are Scope 1 (direct), Scope 2 (indirect utility emissions), or Scope 3 (other indirect)" sqref="D16:D25" xr:uid="{00000000-0002-0000-1D00-000006000000}">
      <formula1>scope_list</formula1>
    </dataValidation>
    <dataValidation allowBlank="1" showInputMessage="1" showErrorMessage="1" prompt="Please enter a brief description of these emissions (e.g. Industrial Process Cement) here. This is for your reference only." sqref="B16:B25" xr:uid="{00000000-0002-0000-1D00-000007000000}"/>
    <dataValidation type="list" allowBlank="1" showInputMessage="1" showErrorMessage="1" prompt="Please assign these emissions to a sector." sqref="C16:C25" xr:uid="{00000000-0002-0000-1D00-000008000000}">
      <formula1>DepartmentList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4280" r:id="rId4" name="ck_comp_AdditionalSources">
          <controlPr locked="0" autoLine="0" linkedCell="comp_AdditionalSources" r:id="rId5">
            <anchor moveWithCells="1">
              <from>
                <xdr:col>10</xdr:col>
                <xdr:colOff>717550</xdr:colOff>
                <xdr:row>0</xdr:row>
                <xdr:rowOff>127000</xdr:rowOff>
              </from>
              <to>
                <xdr:col>14</xdr:col>
                <xdr:colOff>482600</xdr:colOff>
                <xdr:row>0</xdr:row>
                <xdr:rowOff>393700</xdr:rowOff>
              </to>
            </anchor>
          </controlPr>
        </control>
      </mc:Choice>
      <mc:Fallback>
        <control shapeId="54280" r:id="rId4" name="ck_comp_AdditionalSources"/>
      </mc:Fallback>
    </mc:AlternateContent>
    <mc:AlternateContent xmlns:mc="http://schemas.openxmlformats.org/markup-compatibility/2006">
      <mc:Choice Requires="x14">
        <control shapeId="54279" r:id="rId6" name="Drop Down 7">
          <controlPr locked="0" defaultSize="0" autoLine="0" autoPict="0" macro="[0]!Sheet22.ShowHideRows">
            <anchor moveWithCells="1">
              <from>
                <xdr:col>5</xdr:col>
                <xdr:colOff>0</xdr:colOff>
                <xdr:row>8</xdr:row>
                <xdr:rowOff>12700</xdr:rowOff>
              </from>
              <to>
                <xdr:col>7</xdr:col>
                <xdr:colOff>38100</xdr:colOff>
                <xdr:row>9</xdr:row>
                <xdr:rowOff>31750</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9A2C-54F4-40C0-B812-2DFFFE43BC7B}">
  <sheetPr codeName="Sheet32">
    <tabColor theme="6"/>
  </sheetPr>
  <dimension ref="A1:BW160"/>
  <sheetViews>
    <sheetView showGridLines="0" zoomScaleNormal="100" workbookViewId="0">
      <selection activeCell="F9" sqref="F9"/>
    </sheetView>
  </sheetViews>
  <sheetFormatPr defaultColWidth="8.81640625" defaultRowHeight="14.5"/>
  <cols>
    <col min="1" max="1" width="8.81640625" style="285"/>
    <col min="2" max="2" width="31.54296875" customWidth="1"/>
    <col min="3" max="3" width="13.453125" customWidth="1"/>
    <col min="4" max="4" width="12.1796875" customWidth="1"/>
    <col min="5" max="5" width="11.81640625" customWidth="1"/>
    <col min="6" max="7" width="10.26953125" customWidth="1"/>
    <col min="8" max="8" width="11.1796875" customWidth="1"/>
    <col min="9" max="9" width="12.453125" customWidth="1"/>
    <col min="10" max="10" width="14" customWidth="1"/>
    <col min="11" max="11" width="9.453125" customWidth="1"/>
    <col min="12" max="12" width="19.54296875" customWidth="1"/>
    <col min="13" max="13" width="17.54296875" customWidth="1"/>
    <col min="14" max="14" width="9.81640625" customWidth="1"/>
    <col min="15" max="15" width="11.453125" customWidth="1"/>
    <col min="16" max="18" width="9.1796875" customWidth="1"/>
    <col min="19" max="19" width="12.81640625" customWidth="1"/>
    <col min="20" max="20" width="13.453125" customWidth="1"/>
    <col min="21" max="21" width="5.1796875" customWidth="1"/>
    <col min="22" max="22" width="8.81640625" style="265"/>
    <col min="24" max="24" width="8.81640625" style="740" bestFit="1" customWidth="1"/>
    <col min="25" max="25" width="10.453125" style="740" bestFit="1" customWidth="1"/>
    <col min="26" max="29" width="8.81640625" style="740" bestFit="1" customWidth="1"/>
    <col min="30" max="30" width="10.453125" style="740" bestFit="1" customWidth="1"/>
    <col min="31" max="31" width="8.81640625" style="740" bestFit="1" customWidth="1"/>
    <col min="32" max="33" width="8.81640625" style="740"/>
  </cols>
  <sheetData>
    <row r="1" spans="1:32" ht="38.25" customHeight="1" thickBot="1">
      <c r="A1" s="488" t="s">
        <v>808</v>
      </c>
      <c r="B1" s="483"/>
      <c r="C1" s="483"/>
      <c r="D1" s="483"/>
      <c r="E1" s="483"/>
      <c r="F1" s="483"/>
      <c r="G1" s="483"/>
      <c r="H1" s="483"/>
      <c r="I1" s="483"/>
      <c r="J1" s="483"/>
      <c r="K1" s="483"/>
      <c r="L1" s="707"/>
      <c r="M1" s="707"/>
      <c r="N1" s="483"/>
      <c r="O1" s="483"/>
      <c r="P1" s="483"/>
      <c r="Q1" s="483"/>
      <c r="R1" s="483"/>
      <c r="S1" s="483"/>
      <c r="T1" s="483"/>
      <c r="U1" s="483"/>
      <c r="W1" s="112"/>
    </row>
    <row r="2" spans="1:32" ht="48.65" customHeight="1" thickBot="1">
      <c r="F2" s="112" t="str">
        <f>IF(SUM('Additional Emission Sources'!H16:H25)&gt;0, "Show", "Hide")</f>
        <v>Hide</v>
      </c>
      <c r="G2" s="112" t="str">
        <f>IF(SUM('Additional Emission Sources'!I16:I25)&gt;0, "Show", "Hide")</f>
        <v>Hide</v>
      </c>
      <c r="H2" s="112" t="str">
        <f>IF(SUM('Additional Emission Sources'!J16:J25)&gt;0, "Show", "Hide")</f>
        <v>Hide</v>
      </c>
      <c r="L2" s="708" t="s">
        <v>809</v>
      </c>
      <c r="M2" s="709" t="s">
        <v>810</v>
      </c>
      <c r="W2" s="112"/>
    </row>
    <row r="3" spans="1:32" ht="17.5">
      <c r="B3" s="1045" t="s">
        <v>1222</v>
      </c>
      <c r="C3" s="1046"/>
      <c r="D3" s="1046"/>
      <c r="E3" s="1046"/>
      <c r="F3" s="1046"/>
      <c r="G3" s="1046"/>
      <c r="H3" s="1046"/>
      <c r="I3" s="1046"/>
      <c r="J3" s="1047"/>
      <c r="M3" s="710">
        <f>IF(ISERROR(I25/MyPopulation),0,I25/MyPopulation)</f>
        <v>0</v>
      </c>
      <c r="N3" s="1" t="str">
        <f>"Per capita Emissions for "&amp;MyCity &amp;"(MT CO2e/person) "</f>
        <v xml:space="preserve">Per capita Emissions for (MT CO2e/person) </v>
      </c>
      <c r="W3" s="1129" t="str">
        <f xml:space="preserve"> "Total " &amp;MyCity &amp;" Emissions  (MT CO2e)"</f>
        <v>Total  Emissions  (MT CO2e)</v>
      </c>
      <c r="X3" s="1129"/>
      <c r="Y3" s="1129"/>
      <c r="Z3" s="1129"/>
      <c r="AA3" s="1129"/>
      <c r="AB3" s="1129"/>
      <c r="AC3" s="1129"/>
      <c r="AD3" s="1129"/>
      <c r="AE3" s="1129"/>
    </row>
    <row r="4" spans="1:32" ht="31">
      <c r="B4" s="254"/>
      <c r="C4" s="257" t="s">
        <v>16</v>
      </c>
      <c r="D4" s="255" t="s">
        <v>20</v>
      </c>
      <c r="E4" s="255" t="s">
        <v>73</v>
      </c>
      <c r="F4" s="255" t="s">
        <v>805</v>
      </c>
      <c r="G4" s="255" t="s">
        <v>806</v>
      </c>
      <c r="H4" s="256" t="s">
        <v>807</v>
      </c>
      <c r="I4" s="253" t="s">
        <v>811</v>
      </c>
      <c r="J4" s="123" t="s">
        <v>812</v>
      </c>
      <c r="W4" s="711"/>
      <c r="X4" s="712" t="s">
        <v>813</v>
      </c>
      <c r="Y4" s="712" t="s">
        <v>814</v>
      </c>
      <c r="Z4" s="712" t="s">
        <v>815</v>
      </c>
      <c r="AA4" s="712" t="s">
        <v>805</v>
      </c>
      <c r="AB4" s="712" t="s">
        <v>806</v>
      </c>
      <c r="AC4" s="712" t="s">
        <v>816</v>
      </c>
      <c r="AD4" s="712" t="s">
        <v>817</v>
      </c>
      <c r="AE4" s="712" t="s">
        <v>812</v>
      </c>
      <c r="AF4" s="112"/>
    </row>
    <row r="5" spans="1:32">
      <c r="B5" s="706" t="s">
        <v>818</v>
      </c>
      <c r="C5" s="668">
        <f>SUMIF($A$14:$A$24, RIGHT($B5, 1), C$14:C$24)+SUMIF('Additional Emission Sources'!$D$16:$D$25,  RIGHT($B5,1), 'Additional Emission Sources'!E$16:E$25)</f>
        <v>0</v>
      </c>
      <c r="D5" s="669">
        <f>SUMIF($A$14:$A$24, RIGHT($B5, 1), D$14:D$24)+SUMIF('Additional Emission Sources'!$D$16:$D$25,  RIGHT($B5,1), 'Additional Emission Sources'!F$16:F$25)</f>
        <v>0</v>
      </c>
      <c r="E5" s="669">
        <f>SUMIF($A$14:$A$24, RIGHT($B5, 1), E$14:E$24)+SUMIF('Additional Emission Sources'!$D$16:$D$25,  RIGHT($B5,1), 'Additional Emission Sources'!G$16:G$25)</f>
        <v>0</v>
      </c>
      <c r="F5" s="669">
        <f>SUMIF('Additional Emission Sources'!$D$16:$D$25,  RIGHT($B5,1), 'Additional Emission Sources'!H$16:H$25)</f>
        <v>0</v>
      </c>
      <c r="G5" s="669">
        <f>SUMIF('Additional Emission Sources'!$D$16:$D$25,  RIGHT($B5,1), 'Additional Emission Sources'!I$16:I$25)</f>
        <v>0</v>
      </c>
      <c r="H5" s="670">
        <f>SUMIF('Additional Emission Sources'!$D$16:$D$25,  RIGHT($B5,1), 'Additional Emission Sources'!J$16:J$25)</f>
        <v>0</v>
      </c>
      <c r="I5" s="671">
        <f t="shared" ref="I5:I10" si="0">SUM(C5:H5)</f>
        <v>0</v>
      </c>
      <c r="J5" s="236">
        <f>IF($I$9=0,0,I5/$I$9)</f>
        <v>0</v>
      </c>
      <c r="W5" s="713" t="s">
        <v>818</v>
      </c>
      <c r="X5" s="714">
        <f>C5</f>
        <v>0</v>
      </c>
      <c r="Y5" s="714">
        <f t="shared" ref="Y5:AE5" si="1">D5</f>
        <v>0</v>
      </c>
      <c r="Z5" s="714">
        <f t="shared" si="1"/>
        <v>0</v>
      </c>
      <c r="AA5" s="714">
        <f t="shared" si="1"/>
        <v>0</v>
      </c>
      <c r="AB5" s="714">
        <f t="shared" si="1"/>
        <v>0</v>
      </c>
      <c r="AC5" s="714">
        <f t="shared" si="1"/>
        <v>0</v>
      </c>
      <c r="AD5" s="714">
        <f t="shared" si="1"/>
        <v>0</v>
      </c>
      <c r="AE5" s="714">
        <f t="shared" si="1"/>
        <v>0</v>
      </c>
      <c r="AF5" s="112"/>
    </row>
    <row r="6" spans="1:32" ht="15" customHeight="1">
      <c r="B6" s="706" t="s">
        <v>819</v>
      </c>
      <c r="C6" s="671">
        <f>SUMIF($A$14:$A$24, RIGHT(LEFT($B6, 11),5), C$14:C$24)+SUMIF('Additional Emission Sources'!$D$16:$D$25,  RIGHT(LEFT($B6, 7),1), 'Additional Emission Sources'!E$16:E$25)</f>
        <v>0</v>
      </c>
      <c r="D6" s="672">
        <f>SUMIF($A$14:$A$24, RIGHT(LEFT($B6, 11),5), D$14:D$24)+SUMIF('Additional Emission Sources'!$D$16:$D$25,  RIGHT(LEFT($B6, 7),1), 'Additional Emission Sources'!F$16:F$25)</f>
        <v>0</v>
      </c>
      <c r="E6" s="672">
        <f>SUMIF($A$14:$A$24, RIGHT(LEFT($B6, 11),5), E$14:E$24)+SUMIF('Additional Emission Sources'!$D$16:$D$25,  RIGHT(LEFT($B6, 7),1), 'Additional Emission Sources'!G$16:G$25)</f>
        <v>0</v>
      </c>
      <c r="F6" s="672">
        <f>SUMIF('Additional Emission Sources'!$D$16:$D$25,  RIGHT($B6,1), 'Additional Emission Sources'!H$16:H$25)</f>
        <v>0</v>
      </c>
      <c r="G6" s="672">
        <f>SUMIF('Additional Emission Sources'!$D$16:$D$25,  RIGHT($B6,1), 'Additional Emission Sources'!I$16:I$25)</f>
        <v>0</v>
      </c>
      <c r="H6" s="339">
        <f>SUMIF('Additional Emission Sources'!$D$16:$D$25,  RIGHT($B6,1), 'Additional Emission Sources'!J$16:J$25)</f>
        <v>0</v>
      </c>
      <c r="I6" s="671">
        <f t="shared" si="0"/>
        <v>0</v>
      </c>
      <c r="J6" s="236" t="str">
        <f>IF(OR($I$9=0,$M$2="Market Based"),"",I6/$I$9)</f>
        <v/>
      </c>
      <c r="W6" s="713" t="s">
        <v>819</v>
      </c>
      <c r="X6" s="714">
        <f>IF($M$2="Market Based",C7,C6)</f>
        <v>0</v>
      </c>
      <c r="Y6" s="714">
        <f t="shared" ref="Y6:AE6" si="2">IF($M$2="Market Based",D7,D6)</f>
        <v>0</v>
      </c>
      <c r="Z6" s="714">
        <f t="shared" si="2"/>
        <v>0</v>
      </c>
      <c r="AA6" s="714">
        <f t="shared" si="2"/>
        <v>0</v>
      </c>
      <c r="AB6" s="714">
        <f t="shared" si="2"/>
        <v>0</v>
      </c>
      <c r="AC6" s="714">
        <f t="shared" si="2"/>
        <v>0</v>
      </c>
      <c r="AD6" s="714">
        <f t="shared" si="2"/>
        <v>0</v>
      </c>
      <c r="AE6" s="714" t="str">
        <f t="shared" si="2"/>
        <v/>
      </c>
      <c r="AF6" s="112"/>
    </row>
    <row r="7" spans="1:32" ht="29">
      <c r="B7" s="715" t="s">
        <v>820</v>
      </c>
      <c r="C7" s="671">
        <f>SUMIF($A$14:$A$24, RIGHT(LEFT($B7, 11),5), C$14:C$24)+SUMIF('Additional Emission Sources'!$D$16:$D$25,  RIGHT(LEFT($B7, 7),1), 'Additional Emission Sources'!E$16:E$25)</f>
        <v>0</v>
      </c>
      <c r="D7" s="672">
        <f>SUMIF($A$14:$A$24, RIGHT(LEFT($B7, 11),5), D$14:D$24)+SUMIF('Additional Emission Sources'!$D$16:$D$25,  RIGHT(LEFT($B7, 7),1), 'Additional Emission Sources'!F$16:F$25)</f>
        <v>0</v>
      </c>
      <c r="E7" s="716">
        <f>SUMIF($A$14:$A$24, RIGHT(LEFT($B7, 11),5), E$14:E$24)+SUMIF('Additional Emission Sources'!$D$16:$D$25,  RIGHT(LEFT($B7, 7),1), 'Additional Emission Sources'!G$16:G$25)</f>
        <v>0</v>
      </c>
      <c r="F7" s="716"/>
      <c r="G7" s="716"/>
      <c r="H7" s="717"/>
      <c r="I7" s="671">
        <f t="shared" si="0"/>
        <v>0</v>
      </c>
      <c r="J7" s="236" t="str">
        <f>IF(OR($I$9=0,$M$2="Location Based"),"",I7/$I$9)</f>
        <v/>
      </c>
      <c r="W7" s="713" t="s">
        <v>821</v>
      </c>
      <c r="X7" s="714">
        <f>C8</f>
        <v>0</v>
      </c>
      <c r="Y7" s="714">
        <f t="shared" ref="Y7:AE9" si="3">D8</f>
        <v>0</v>
      </c>
      <c r="Z7" s="714">
        <f t="shared" si="3"/>
        <v>0</v>
      </c>
      <c r="AA7" s="714">
        <f t="shared" si="3"/>
        <v>0</v>
      </c>
      <c r="AB7" s="714">
        <f t="shared" si="3"/>
        <v>0</v>
      </c>
      <c r="AC7" s="714">
        <f t="shared" si="3"/>
        <v>0</v>
      </c>
      <c r="AD7" s="714">
        <f t="shared" si="3"/>
        <v>0</v>
      </c>
      <c r="AE7" s="714">
        <f t="shared" si="3"/>
        <v>0</v>
      </c>
      <c r="AF7" s="112"/>
    </row>
    <row r="8" spans="1:32" ht="15" customHeight="1">
      <c r="B8" s="706" t="s">
        <v>821</v>
      </c>
      <c r="C8" s="673">
        <f>SUMIF($A$13:$A$24, RIGHT($B8, 1), C$13:C$24)+SUMIF('Additional Emission Sources'!$D$16:$D$25,  RIGHT($B8,1), 'Additional Emission Sources'!E$16:E$25)</f>
        <v>0</v>
      </c>
      <c r="D8" s="674">
        <f>SUMIF($A$13:$A$24, RIGHT($B8, 1), D$13:D$24)+SUMIF('Additional Emission Sources'!$D$16:$D$25,  RIGHT($B8,1), 'Additional Emission Sources'!F$16:F$25)</f>
        <v>0</v>
      </c>
      <c r="E8" s="738">
        <f>SUMIF($A$13:$A$24, RIGHT($B8, 1), E$13:E$24)+SUMIF('Additional Emission Sources'!$D$16:$D$25,  RIGHT($B8,1), 'Additional Emission Sources'!G$16:G$25)</f>
        <v>0</v>
      </c>
      <c r="F8" s="738">
        <f>SUMIF($A$13:$A$24, RIGHT($B8, 1), F$13:F$24)+SUMIF('Additional Emission Sources'!$D$16:$D$25,  RIGHT($B8,1), 'Additional Emission Sources'!H$16:H$25)</f>
        <v>0</v>
      </c>
      <c r="G8" s="738">
        <f>SUMIF($A$13:$A$24, RIGHT($B8, 1), G$13:G$24)+SUMIF('Additional Emission Sources'!$D$16:$D$25,  RIGHT($B8,1), 'Additional Emission Sources'!I$16:I$25)</f>
        <v>0</v>
      </c>
      <c r="H8" s="739">
        <f>SUMIF($A$13:$A$24, RIGHT($B8, 1), H$13:H$24)+SUMIF('Additional Emission Sources'!$D$16:$D$25,  RIGHT($B8,1), 'Additional Emission Sources'!J$16:J$25)</f>
        <v>0</v>
      </c>
      <c r="I8" s="671">
        <f>SUM(C8:H8)</f>
        <v>0</v>
      </c>
      <c r="J8" s="236">
        <f>IF($I$9=0,0,I8/$I$9)</f>
        <v>0</v>
      </c>
      <c r="W8" s="718" t="s">
        <v>822</v>
      </c>
      <c r="X8" s="719">
        <f>C9</f>
        <v>0</v>
      </c>
      <c r="Y8" s="719">
        <f t="shared" si="3"/>
        <v>0</v>
      </c>
      <c r="Z8" s="719">
        <f t="shared" si="3"/>
        <v>0</v>
      </c>
      <c r="AA8" s="719">
        <f t="shared" si="3"/>
        <v>0</v>
      </c>
      <c r="AB8" s="719">
        <f t="shared" si="3"/>
        <v>0</v>
      </c>
      <c r="AC8" s="719">
        <f t="shared" si="3"/>
        <v>0</v>
      </c>
      <c r="AD8" s="719">
        <f t="shared" si="3"/>
        <v>0</v>
      </c>
      <c r="AE8" s="719">
        <f t="shared" si="3"/>
        <v>0</v>
      </c>
      <c r="AF8" s="112"/>
    </row>
    <row r="9" spans="1:32" ht="18" customHeight="1">
      <c r="B9" s="887" t="s">
        <v>822</v>
      </c>
      <c r="C9" s="737">
        <f t="shared" ref="C9:E10" si="4">C25</f>
        <v>0</v>
      </c>
      <c r="D9" s="737">
        <f t="shared" si="4"/>
        <v>0</v>
      </c>
      <c r="E9" s="737">
        <f t="shared" si="4"/>
        <v>0</v>
      </c>
      <c r="F9" s="720">
        <f>SUM(F5:F8)</f>
        <v>0</v>
      </c>
      <c r="G9" s="720">
        <f>SUM(G5:G8)</f>
        <v>0</v>
      </c>
      <c r="H9" s="720">
        <f>SUM(H5:H8)</f>
        <v>0</v>
      </c>
      <c r="I9" s="675">
        <f t="shared" si="0"/>
        <v>0</v>
      </c>
      <c r="J9" s="721">
        <f>SUM(J5:J8)</f>
        <v>0</v>
      </c>
      <c r="W9" s="718" t="s">
        <v>823</v>
      </c>
      <c r="X9" s="719">
        <f>C10</f>
        <v>0</v>
      </c>
      <c r="Y9" s="719">
        <f t="shared" si="3"/>
        <v>0</v>
      </c>
      <c r="Z9" s="719">
        <f t="shared" si="3"/>
        <v>0</v>
      </c>
      <c r="AA9" s="719">
        <f t="shared" si="3"/>
        <v>0</v>
      </c>
      <c r="AB9" s="719">
        <f t="shared" si="3"/>
        <v>0</v>
      </c>
      <c r="AC9" s="719">
        <f t="shared" si="3"/>
        <v>0</v>
      </c>
      <c r="AD9" s="719">
        <f t="shared" si="3"/>
        <v>0</v>
      </c>
      <c r="AE9" s="719">
        <f t="shared" si="3"/>
        <v>0</v>
      </c>
      <c r="AF9" s="112"/>
    </row>
    <row r="10" spans="1:32" ht="15.75" customHeight="1">
      <c r="B10" s="887" t="s">
        <v>823</v>
      </c>
      <c r="C10" s="667">
        <f t="shared" si="4"/>
        <v>0</v>
      </c>
      <c r="D10" s="667">
        <f t="shared" si="4"/>
        <v>0</v>
      </c>
      <c r="E10" s="667">
        <f t="shared" si="4"/>
        <v>0</v>
      </c>
      <c r="F10" s="720">
        <f>SUM(F5:F8)</f>
        <v>0</v>
      </c>
      <c r="G10" s="720">
        <f>SUM(G5:G8)</f>
        <v>0</v>
      </c>
      <c r="H10" s="720">
        <f>SUM(H5:H8)</f>
        <v>0</v>
      </c>
      <c r="I10" s="675">
        <f t="shared" si="0"/>
        <v>0</v>
      </c>
      <c r="J10" s="721">
        <f>SUM(J5:J8)</f>
        <v>0</v>
      </c>
      <c r="W10" s="718"/>
      <c r="X10" s="722"/>
      <c r="Y10" s="722"/>
      <c r="Z10" s="722"/>
      <c r="AA10" s="722"/>
      <c r="AB10" s="722"/>
      <c r="AC10" s="722"/>
      <c r="AD10" s="723"/>
      <c r="AE10" s="723"/>
      <c r="AF10" s="112"/>
    </row>
    <row r="11" spans="1:32" ht="14.25" customHeight="1">
      <c r="B11" s="724"/>
      <c r="C11" s="167"/>
      <c r="D11" s="167"/>
      <c r="E11" s="167"/>
      <c r="F11" s="167"/>
      <c r="G11" s="167"/>
      <c r="H11" s="167"/>
      <c r="I11" s="115"/>
      <c r="J11" s="115"/>
      <c r="W11" s="1129" t="s">
        <v>824</v>
      </c>
      <c r="X11" s="1129"/>
      <c r="Y11" s="1129"/>
      <c r="Z11" s="1129"/>
      <c r="AA11" s="1129"/>
      <c r="AB11" s="1129"/>
      <c r="AC11" s="1129"/>
      <c r="AD11" s="1129"/>
      <c r="AE11" s="1129"/>
      <c r="AF11" s="112"/>
    </row>
    <row r="12" spans="1:32" ht="15" customHeight="1">
      <c r="A12" s="284"/>
      <c r="B12" s="1130" t="s">
        <v>825</v>
      </c>
      <c r="C12" s="1131"/>
      <c r="D12" s="1131"/>
      <c r="E12" s="1131"/>
      <c r="F12" s="1131"/>
      <c r="G12" s="1131"/>
      <c r="H12" s="1131"/>
      <c r="I12" s="1131"/>
      <c r="J12" s="1132"/>
      <c r="W12" s="725" t="s">
        <v>826</v>
      </c>
      <c r="X12" s="712" t="s">
        <v>813</v>
      </c>
      <c r="Y12" s="712" t="s">
        <v>814</v>
      </c>
      <c r="Z12" s="712" t="s">
        <v>815</v>
      </c>
      <c r="AA12" s="712" t="s">
        <v>805</v>
      </c>
      <c r="AB12" s="712" t="s">
        <v>806</v>
      </c>
      <c r="AC12" s="712" t="s">
        <v>816</v>
      </c>
      <c r="AD12" s="712" t="s">
        <v>253</v>
      </c>
      <c r="AE12" s="712" t="s">
        <v>812</v>
      </c>
      <c r="AF12" s="112"/>
    </row>
    <row r="13" spans="1:32" ht="15" customHeight="1">
      <c r="A13" s="302" t="s">
        <v>804</v>
      </c>
      <c r="B13" s="111" t="s">
        <v>826</v>
      </c>
      <c r="C13" s="253" t="s">
        <v>16</v>
      </c>
      <c r="D13" s="122" t="s">
        <v>20</v>
      </c>
      <c r="E13" s="122" t="s">
        <v>73</v>
      </c>
      <c r="F13" s="193" t="s">
        <v>805</v>
      </c>
      <c r="G13" s="193" t="s">
        <v>806</v>
      </c>
      <c r="H13" s="521" t="s">
        <v>807</v>
      </c>
      <c r="I13" s="253" t="s">
        <v>253</v>
      </c>
      <c r="J13" s="123" t="s">
        <v>812</v>
      </c>
      <c r="W13" s="112" t="s">
        <v>89</v>
      </c>
      <c r="X13" s="726">
        <f>C14</f>
        <v>0</v>
      </c>
      <c r="Y13" s="726">
        <f t="shared" ref="Y13:AE16" si="5">D14</f>
        <v>0</v>
      </c>
      <c r="Z13" s="726">
        <f t="shared" si="5"/>
        <v>0</v>
      </c>
      <c r="AA13" s="726" t="str">
        <f t="shared" si="5"/>
        <v>-</v>
      </c>
      <c r="AB13" s="726" t="str">
        <f t="shared" si="5"/>
        <v>-</v>
      </c>
      <c r="AC13" s="726" t="str">
        <f t="shared" si="5"/>
        <v>-</v>
      </c>
      <c r="AD13" s="726">
        <f t="shared" si="5"/>
        <v>0</v>
      </c>
      <c r="AE13" s="726">
        <f t="shared" si="5"/>
        <v>0</v>
      </c>
      <c r="AF13" s="112"/>
    </row>
    <row r="14" spans="1:32">
      <c r="A14" s="343">
        <v>1</v>
      </c>
      <c r="B14" s="39" t="s">
        <v>89</v>
      </c>
      <c r="C14" s="665">
        <f>'Stationary-Calcs'!C43</f>
        <v>0</v>
      </c>
      <c r="D14" s="727">
        <f>'Stationary-Calcs'!D43</f>
        <v>0</v>
      </c>
      <c r="E14" s="727">
        <f>'Stationary-Calcs'!E43</f>
        <v>0</v>
      </c>
      <c r="F14" s="728" t="s">
        <v>827</v>
      </c>
      <c r="G14" s="728" t="s">
        <v>827</v>
      </c>
      <c r="H14" s="728" t="s">
        <v>827</v>
      </c>
      <c r="I14" s="665">
        <f t="shared" ref="I14:I23" si="6">SUM(C14:H14)</f>
        <v>0</v>
      </c>
      <c r="J14" s="236">
        <f t="shared" ref="J14:J23" si="7">IF($I$9=0,0,I14/$I$9)</f>
        <v>0</v>
      </c>
      <c r="W14" s="112" t="s">
        <v>69</v>
      </c>
      <c r="X14" s="726">
        <f>C15</f>
        <v>0</v>
      </c>
      <c r="Y14" s="726">
        <f t="shared" si="5"/>
        <v>0</v>
      </c>
      <c r="Z14" s="726">
        <f t="shared" si="5"/>
        <v>0</v>
      </c>
      <c r="AA14" s="726" t="str">
        <f t="shared" si="5"/>
        <v>-</v>
      </c>
      <c r="AB14" s="726" t="str">
        <f t="shared" si="5"/>
        <v>-</v>
      </c>
      <c r="AC14" s="726" t="str">
        <f t="shared" si="5"/>
        <v>-</v>
      </c>
      <c r="AD14" s="726">
        <f t="shared" si="5"/>
        <v>0</v>
      </c>
      <c r="AE14" s="726">
        <f t="shared" si="5"/>
        <v>0</v>
      </c>
      <c r="AF14" s="112"/>
    </row>
    <row r="15" spans="1:32">
      <c r="A15" s="343">
        <v>1</v>
      </c>
      <c r="B15" s="39" t="s">
        <v>69</v>
      </c>
      <c r="C15" s="665">
        <f>'Mobile-Summary'!C27</f>
        <v>0</v>
      </c>
      <c r="D15" s="727">
        <f>'Mobile-Summary'!D27</f>
        <v>0</v>
      </c>
      <c r="E15" s="727">
        <f>'Mobile-Summary'!E27</f>
        <v>0</v>
      </c>
      <c r="F15" s="728" t="s">
        <v>827</v>
      </c>
      <c r="G15" s="728" t="s">
        <v>827</v>
      </c>
      <c r="H15" s="728" t="s">
        <v>827</v>
      </c>
      <c r="I15" s="665">
        <f t="shared" si="6"/>
        <v>0</v>
      </c>
      <c r="J15" s="236">
        <f t="shared" si="7"/>
        <v>0</v>
      </c>
      <c r="W15" s="112" t="s">
        <v>828</v>
      </c>
      <c r="X15" s="726" t="str">
        <f>C16</f>
        <v>-</v>
      </c>
      <c r="Y15" s="726">
        <f t="shared" si="5"/>
        <v>0</v>
      </c>
      <c r="Z15" s="726" t="str">
        <f t="shared" si="5"/>
        <v>-</v>
      </c>
      <c r="AA15" s="726" t="str">
        <f t="shared" si="5"/>
        <v>-</v>
      </c>
      <c r="AB15" s="726" t="str">
        <f t="shared" si="5"/>
        <v>-</v>
      </c>
      <c r="AC15" s="726" t="str">
        <f t="shared" si="5"/>
        <v>-</v>
      </c>
      <c r="AD15" s="726">
        <f t="shared" si="5"/>
        <v>0</v>
      </c>
      <c r="AE15" s="726">
        <f t="shared" si="5"/>
        <v>0</v>
      </c>
      <c r="AF15" s="112"/>
    </row>
    <row r="16" spans="1:32">
      <c r="A16" s="343">
        <v>1</v>
      </c>
      <c r="B16" s="39" t="s">
        <v>828</v>
      </c>
      <c r="C16" s="666" t="s">
        <v>827</v>
      </c>
      <c r="D16" s="727">
        <f>'Solid Waste-Entry'!$C$82</f>
        <v>0</v>
      </c>
      <c r="E16" s="728" t="s">
        <v>827</v>
      </c>
      <c r="F16" s="728" t="s">
        <v>827</v>
      </c>
      <c r="G16" s="728" t="s">
        <v>827</v>
      </c>
      <c r="H16" s="728" t="s">
        <v>827</v>
      </c>
      <c r="I16" s="665">
        <f t="shared" si="6"/>
        <v>0</v>
      </c>
      <c r="J16" s="236">
        <f t="shared" si="7"/>
        <v>0</v>
      </c>
      <c r="W16" s="112" t="s">
        <v>829</v>
      </c>
      <c r="X16" s="726" t="str">
        <f>C17</f>
        <v>-</v>
      </c>
      <c r="Y16" s="726">
        <f t="shared" si="5"/>
        <v>0</v>
      </c>
      <c r="Z16" s="726">
        <f t="shared" si="5"/>
        <v>0</v>
      </c>
      <c r="AA16" s="726" t="str">
        <f t="shared" si="5"/>
        <v>-</v>
      </c>
      <c r="AB16" s="726" t="str">
        <f t="shared" si="5"/>
        <v>-</v>
      </c>
      <c r="AC16" s="726" t="str">
        <f t="shared" si="5"/>
        <v>-</v>
      </c>
      <c r="AD16" s="726">
        <f t="shared" si="5"/>
        <v>0</v>
      </c>
      <c r="AE16" s="726">
        <f t="shared" si="5"/>
        <v>0</v>
      </c>
      <c r="AF16" s="112"/>
    </row>
    <row r="17" spans="1:33">
      <c r="A17" s="343">
        <v>1</v>
      </c>
      <c r="B17" s="39" t="s">
        <v>829</v>
      </c>
      <c r="C17" s="666" t="s">
        <v>827</v>
      </c>
      <c r="D17" s="727">
        <f>'Wastewater- Calcs'!D15</f>
        <v>0</v>
      </c>
      <c r="E17" s="727">
        <f>'Wastewater- Calcs'!D16</f>
        <v>0</v>
      </c>
      <c r="F17" s="728" t="s">
        <v>827</v>
      </c>
      <c r="G17" s="728" t="s">
        <v>827</v>
      </c>
      <c r="H17" s="728" t="s">
        <v>827</v>
      </c>
      <c r="I17" s="665">
        <f t="shared" si="6"/>
        <v>0</v>
      </c>
      <c r="J17" s="236">
        <f t="shared" si="7"/>
        <v>0</v>
      </c>
      <c r="W17" s="112" t="str">
        <f>"Electricity - " &amp;M2</f>
        <v>Electricity - Market Based</v>
      </c>
      <c r="X17" s="726">
        <f>IF($M$2="Market Based",C19,C18)</f>
        <v>0</v>
      </c>
      <c r="Y17" s="726">
        <f t="shared" ref="Y17:AE17" si="8">IF($M$2="Market Based",D19,D18)</f>
        <v>0</v>
      </c>
      <c r="Z17" s="726">
        <f t="shared" si="8"/>
        <v>0</v>
      </c>
      <c r="AA17" s="726">
        <f t="shared" si="8"/>
        <v>0</v>
      </c>
      <c r="AB17" s="726">
        <f t="shared" si="8"/>
        <v>0</v>
      </c>
      <c r="AC17" s="726">
        <f t="shared" si="8"/>
        <v>0</v>
      </c>
      <c r="AD17" s="726">
        <f t="shared" si="8"/>
        <v>0</v>
      </c>
      <c r="AE17" s="726" t="str">
        <f t="shared" si="8"/>
        <v/>
      </c>
      <c r="AF17" s="112"/>
    </row>
    <row r="18" spans="1:33" s="56" customFormat="1">
      <c r="A18" s="343" t="s">
        <v>830</v>
      </c>
      <c r="B18" s="47" t="s">
        <v>831</v>
      </c>
      <c r="C18" s="727">
        <f>'Electricity LocationBased-Calcs'!C40</f>
        <v>0</v>
      </c>
      <c r="D18" s="727">
        <f>'Electricity LocationBased-Calcs'!D40</f>
        <v>0</v>
      </c>
      <c r="E18" s="727">
        <f>'Electricity LocationBased-Calcs'!E40</f>
        <v>0</v>
      </c>
      <c r="F18" s="728" t="s">
        <v>827</v>
      </c>
      <c r="G18" s="728" t="s">
        <v>827</v>
      </c>
      <c r="H18" s="728" t="s">
        <v>827</v>
      </c>
      <c r="I18" s="665">
        <f t="shared" si="6"/>
        <v>0</v>
      </c>
      <c r="J18" s="236" t="str">
        <f>IF(OR($I$9=0,M2="Market Based"),"",I18/$I$9)</f>
        <v/>
      </c>
      <c r="V18" s="265"/>
      <c r="W18" s="112" t="s">
        <v>136</v>
      </c>
      <c r="X18" s="726">
        <f t="shared" ref="X18:X23" si="9">C20</f>
        <v>0</v>
      </c>
      <c r="Y18" s="726">
        <f t="shared" ref="Y18:AE23" si="10">D20</f>
        <v>0</v>
      </c>
      <c r="Z18" s="726">
        <f t="shared" si="10"/>
        <v>0</v>
      </c>
      <c r="AA18" s="726" t="str">
        <f t="shared" si="10"/>
        <v>-</v>
      </c>
      <c r="AB18" s="726" t="str">
        <f t="shared" si="10"/>
        <v>-</v>
      </c>
      <c r="AC18" s="726" t="str">
        <f t="shared" si="10"/>
        <v>-</v>
      </c>
      <c r="AD18" s="726">
        <f t="shared" si="10"/>
        <v>0</v>
      </c>
      <c r="AE18" s="726">
        <f t="shared" si="10"/>
        <v>0</v>
      </c>
      <c r="AF18" s="794"/>
      <c r="AG18" s="741"/>
    </row>
    <row r="19" spans="1:33" s="56" customFormat="1" ht="32.15" customHeight="1">
      <c r="A19" s="343" t="s">
        <v>832</v>
      </c>
      <c r="B19" s="729" t="s">
        <v>833</v>
      </c>
      <c r="C19" s="727">
        <f>'Electricity MarketBased-Calcs'!C40</f>
        <v>0</v>
      </c>
      <c r="D19" s="727">
        <f>'Electricity MarketBased-Calcs'!D40</f>
        <v>0</v>
      </c>
      <c r="E19" s="727">
        <f>'Electricity MarketBased-Calcs'!E40</f>
        <v>0</v>
      </c>
      <c r="F19" s="728"/>
      <c r="G19" s="728"/>
      <c r="H19" s="728"/>
      <c r="I19" s="665">
        <f t="shared" si="6"/>
        <v>0</v>
      </c>
      <c r="J19" s="236" t="str">
        <f>IF(OR($I$9=0,M2="Location Based"),"",I19/$I$9)</f>
        <v/>
      </c>
      <c r="V19" s="265"/>
      <c r="W19" s="112" t="s">
        <v>834</v>
      </c>
      <c r="X19" s="726" t="str">
        <f t="shared" si="9"/>
        <v>-</v>
      </c>
      <c r="Y19" s="726" t="str">
        <f t="shared" si="10"/>
        <v>-</v>
      </c>
      <c r="Z19" s="726">
        <f t="shared" si="10"/>
        <v>0</v>
      </c>
      <c r="AA19" s="726">
        <f t="shared" si="10"/>
        <v>0</v>
      </c>
      <c r="AB19" s="726">
        <f t="shared" si="10"/>
        <v>0</v>
      </c>
      <c r="AC19" s="726">
        <f t="shared" si="10"/>
        <v>0</v>
      </c>
      <c r="AD19" s="726">
        <f t="shared" si="10"/>
        <v>0</v>
      </c>
      <c r="AE19" s="726">
        <f t="shared" si="10"/>
        <v>0</v>
      </c>
      <c r="AF19" s="794"/>
      <c r="AG19" s="741"/>
    </row>
    <row r="20" spans="1:33">
      <c r="A20" s="343">
        <v>3</v>
      </c>
      <c r="B20" s="39" t="s">
        <v>136</v>
      </c>
      <c r="C20" s="665">
        <f>Water!C73</f>
        <v>0</v>
      </c>
      <c r="D20" s="727">
        <f>Water!D73</f>
        <v>0</v>
      </c>
      <c r="E20" s="727">
        <f>Water!E73</f>
        <v>0</v>
      </c>
      <c r="F20" s="728" t="s">
        <v>827</v>
      </c>
      <c r="G20" s="728" t="s">
        <v>827</v>
      </c>
      <c r="H20" s="728" t="s">
        <v>827</v>
      </c>
      <c r="I20" s="665">
        <f t="shared" si="6"/>
        <v>0</v>
      </c>
      <c r="J20" s="236">
        <f t="shared" si="7"/>
        <v>0</v>
      </c>
      <c r="W20" s="112" t="s">
        <v>138</v>
      </c>
      <c r="X20" s="726">
        <f t="shared" si="9"/>
        <v>0</v>
      </c>
      <c r="Y20" s="726" t="str">
        <f t="shared" si="10"/>
        <v>-</v>
      </c>
      <c r="Z20" s="726" t="str">
        <f t="shared" si="10"/>
        <v>-</v>
      </c>
      <c r="AA20" s="726">
        <f t="shared" si="10"/>
        <v>0</v>
      </c>
      <c r="AB20" s="726">
        <f t="shared" si="10"/>
        <v>0</v>
      </c>
      <c r="AC20" s="726">
        <f t="shared" si="10"/>
        <v>0</v>
      </c>
      <c r="AD20" s="726">
        <f t="shared" si="10"/>
        <v>0</v>
      </c>
      <c r="AE20" s="726">
        <f t="shared" si="10"/>
        <v>0</v>
      </c>
      <c r="AF20" s="112"/>
    </row>
    <row r="21" spans="1:33">
      <c r="A21" s="343">
        <v>3</v>
      </c>
      <c r="B21" s="39" t="s">
        <v>835</v>
      </c>
      <c r="C21" s="665" t="s">
        <v>827</v>
      </c>
      <c r="D21" s="727" t="s">
        <v>827</v>
      </c>
      <c r="E21" s="727">
        <f>'Agriculture &amp; Land Management'!F56</f>
        <v>0</v>
      </c>
      <c r="F21" s="728"/>
      <c r="G21" s="728"/>
      <c r="H21" s="728"/>
      <c r="I21" s="665">
        <f t="shared" si="6"/>
        <v>0</v>
      </c>
      <c r="J21" s="236">
        <f t="shared" si="7"/>
        <v>0</v>
      </c>
      <c r="W21" s="112" t="s">
        <v>836</v>
      </c>
      <c r="X21" s="726" t="str">
        <f t="shared" si="9"/>
        <v>-</v>
      </c>
      <c r="Y21" s="726">
        <f t="shared" si="10"/>
        <v>0</v>
      </c>
      <c r="Z21" s="726" t="str">
        <f t="shared" si="10"/>
        <v>-</v>
      </c>
      <c r="AA21" s="726">
        <f t="shared" si="10"/>
        <v>0</v>
      </c>
      <c r="AB21" s="726">
        <f t="shared" si="10"/>
        <v>0</v>
      </c>
      <c r="AC21" s="726">
        <f t="shared" si="10"/>
        <v>0</v>
      </c>
      <c r="AD21" s="726">
        <f t="shared" si="10"/>
        <v>0</v>
      </c>
      <c r="AE21" s="726">
        <f t="shared" si="10"/>
        <v>0</v>
      </c>
      <c r="AF21" s="112"/>
    </row>
    <row r="22" spans="1:33">
      <c r="A22" s="343">
        <v>3</v>
      </c>
      <c r="B22" s="39" t="s">
        <v>138</v>
      </c>
      <c r="C22" s="665">
        <f>-'Urban Forestry'!D57</f>
        <v>0</v>
      </c>
      <c r="D22" s="727" t="s">
        <v>827</v>
      </c>
      <c r="E22" s="727" t="s">
        <v>827</v>
      </c>
      <c r="F22" s="728"/>
      <c r="G22" s="728"/>
      <c r="H22" s="728"/>
      <c r="I22" s="665">
        <f t="shared" si="6"/>
        <v>0</v>
      </c>
      <c r="J22" s="236">
        <f t="shared" si="7"/>
        <v>0</v>
      </c>
      <c r="W22" s="112" t="s">
        <v>219</v>
      </c>
      <c r="X22" s="726">
        <f t="shared" si="9"/>
        <v>0</v>
      </c>
      <c r="Y22" s="726">
        <f t="shared" si="10"/>
        <v>0</v>
      </c>
      <c r="Z22" s="726">
        <f t="shared" si="10"/>
        <v>0</v>
      </c>
      <c r="AA22" s="726">
        <f t="shared" si="10"/>
        <v>0</v>
      </c>
      <c r="AB22" s="726">
        <f t="shared" si="10"/>
        <v>0</v>
      </c>
      <c r="AC22" s="726">
        <f t="shared" si="10"/>
        <v>0</v>
      </c>
      <c r="AD22" s="726">
        <f t="shared" si="10"/>
        <v>0</v>
      </c>
      <c r="AE22" s="726">
        <f t="shared" si="10"/>
        <v>0</v>
      </c>
      <c r="AF22" s="112"/>
    </row>
    <row r="23" spans="1:33">
      <c r="A23" s="343">
        <v>3</v>
      </c>
      <c r="B23" s="39" t="s">
        <v>836</v>
      </c>
      <c r="C23" s="666" t="s">
        <v>827</v>
      </c>
      <c r="D23" s="727">
        <f>'Waste Production'!C11</f>
        <v>0</v>
      </c>
      <c r="E23" s="728" t="s">
        <v>827</v>
      </c>
      <c r="F23" s="728"/>
      <c r="G23" s="728"/>
      <c r="H23" s="728"/>
      <c r="I23" s="665">
        <f t="shared" si="6"/>
        <v>0</v>
      </c>
      <c r="J23" s="236">
        <f t="shared" si="7"/>
        <v>0</v>
      </c>
      <c r="W23" s="730" t="s">
        <v>837</v>
      </c>
      <c r="X23" s="726">
        <f t="shared" si="9"/>
        <v>0</v>
      </c>
      <c r="Y23" s="726">
        <f t="shared" si="10"/>
        <v>0</v>
      </c>
      <c r="Z23" s="726">
        <f t="shared" si="10"/>
        <v>0</v>
      </c>
      <c r="AA23" s="726">
        <f t="shared" si="10"/>
        <v>0</v>
      </c>
      <c r="AB23" s="726">
        <f t="shared" si="10"/>
        <v>0</v>
      </c>
      <c r="AC23" s="726">
        <f t="shared" si="10"/>
        <v>0</v>
      </c>
      <c r="AD23" s="726">
        <f t="shared" si="10"/>
        <v>0</v>
      </c>
      <c r="AE23" s="726">
        <f t="shared" si="10"/>
        <v>0</v>
      </c>
      <c r="AF23" s="112"/>
    </row>
    <row r="24" spans="1:33" ht="17.25" hidden="1" customHeight="1">
      <c r="A24" s="284" t="str">
        <f>IF(SUM('Additional Emission Sources'!K16:K25)&gt;0, "Show", "Hide")</f>
        <v>Hide</v>
      </c>
      <c r="B24" s="39" t="s">
        <v>219</v>
      </c>
      <c r="C24" s="665">
        <f>SUM('Additional Emission Sources'!E16:E25)</f>
        <v>0</v>
      </c>
      <c r="D24" s="727">
        <f>SUM('Additional Emission Sources'!F16:F25)</f>
        <v>0</v>
      </c>
      <c r="E24" s="727">
        <f>SUM('Additional Emission Sources'!G16:G25)</f>
        <v>0</v>
      </c>
      <c r="F24" s="727">
        <f>SUM('Additional Emission Sources'!H16:H25)</f>
        <v>0</v>
      </c>
      <c r="G24" s="727">
        <f>SUM('Additional Emission Sources'!I16:I25)</f>
        <v>0</v>
      </c>
      <c r="H24" s="727">
        <f>SUM('Additional Emission Sources'!J16:J25)</f>
        <v>0</v>
      </c>
      <c r="I24" s="665">
        <f>SUM(C24:H24)</f>
        <v>0</v>
      </c>
      <c r="J24" s="236">
        <f>IFERROR(I24/$I$9,0)</f>
        <v>0</v>
      </c>
      <c r="W24" s="730" t="s">
        <v>838</v>
      </c>
      <c r="X24" s="726">
        <f>C26</f>
        <v>0</v>
      </c>
      <c r="Y24" s="731">
        <f>SUM(Y13:Y21)</f>
        <v>0</v>
      </c>
      <c r="Z24" s="731">
        <f>SUM(Z13:Z21)</f>
        <v>0</v>
      </c>
      <c r="AA24" s="731"/>
      <c r="AB24" s="731"/>
      <c r="AC24" s="731"/>
      <c r="AD24" s="732">
        <f>SUM(AD13:AD18,AD20:AD21)+AD19</f>
        <v>0</v>
      </c>
      <c r="AE24" s="733">
        <f>IF($I$10=0,0,AD24/$I$9)</f>
        <v>0</v>
      </c>
      <c r="AF24" s="112"/>
    </row>
    <row r="25" spans="1:33">
      <c r="A25" s="343"/>
      <c r="B25" s="840" t="s">
        <v>837</v>
      </c>
      <c r="C25" s="667">
        <f>IF($M$2="Market Based",SUM(C14:C17,C19,C20:C21,C23:C24),SUM(C14:C17,C18,C20:C21,C23:C24))</f>
        <v>0</v>
      </c>
      <c r="D25" s="667">
        <f>IF($M$2="Market Based",SUM(D14:D17,D19,D20:D21,D23:D24),SUM(D14:D17,D18,D20:D21,D23:D24))</f>
        <v>0</v>
      </c>
      <c r="E25" s="667">
        <f>IF($M$2="Market Based",SUM(E14:E17,E19,E20:E21,E23:E24),SUM(E14:E17,E18,E20:E21,E23:E24))</f>
        <v>0</v>
      </c>
      <c r="F25" s="667">
        <f>IF($M$2="Market Based",SUM(F14:F17,F19,F20:F21,F23:F24),SUM(F14:F17,F19,F20:F21,F23:F24))</f>
        <v>0</v>
      </c>
      <c r="G25" s="667">
        <f>IF($M$2="Market Based",SUM(G14:G17,G19,G20:G21,G23:G24),SUM(G14:G17,G19,G20:G21,G23:G24))</f>
        <v>0</v>
      </c>
      <c r="H25" s="760">
        <f>IF($M$2="Market Based",SUM(H14:H17,H19,H20:H21,H23:H24),SUM(H14:H17,H19,H20:H21,H23:H24))</f>
        <v>0</v>
      </c>
      <c r="I25" s="759">
        <f>IF($M$2="Market Based",SUM(I14:I17,I19,I20:I21,I23:I24),SUM(I14:I17,I18,I20:I21,I23:I24))</f>
        <v>0</v>
      </c>
      <c r="J25" s="721">
        <f>IF($I$9=0,0,I25/$I$9)</f>
        <v>0</v>
      </c>
      <c r="W25" s="112"/>
      <c r="X25" s="112"/>
      <c r="Y25" s="112"/>
      <c r="Z25" s="112"/>
      <c r="AA25" s="112"/>
      <c r="AB25" s="112"/>
      <c r="AC25" s="112"/>
      <c r="AD25" s="112"/>
      <c r="AE25" s="112"/>
      <c r="AF25" s="112"/>
    </row>
    <row r="26" spans="1:33">
      <c r="A26" s="284"/>
      <c r="B26" s="840" t="s">
        <v>838</v>
      </c>
      <c r="C26" s="667">
        <f>IF($M$2="Market Based",SUM(C14:C17,C19,C20:C21,C23:C24)+C22,SUM(C14:C17,C18,C20:C21,C23:C24)+C22)</f>
        <v>0</v>
      </c>
      <c r="D26" s="667">
        <f>D25</f>
        <v>0</v>
      </c>
      <c r="E26" s="667">
        <f>E25</f>
        <v>0</v>
      </c>
      <c r="F26" s="667">
        <f>IF($M$2="Market Based",SUM(F14:F17,F19,F20:F21,F23:F24)+F22,SUM(F14:F17,F19,F20:F21,F23:F24)+F22)</f>
        <v>0</v>
      </c>
      <c r="G26" s="667">
        <f>IF($M$2="Market Based",SUM(G14:G17,G19,G20:G21,G23:G24)+G22,SUM(G14:G17,G19,G20:G21,G23:G24)+G22)</f>
        <v>0</v>
      </c>
      <c r="H26" s="667">
        <f>IF($M$2="Market Based",SUM(H14:H17,H19,H20:H21,H23:H24)+H22,SUM(H14:H17,H19,H20:H21,H23:H24)+H22)</f>
        <v>0</v>
      </c>
      <c r="I26" s="759">
        <f>IF($M$2="Market Based",SUM(I14:I17,I19,I20:I21,I23:I24)+I22,SUM(I14:I17,I18,I20:I21,I23:I24)+I22)</f>
        <v>0</v>
      </c>
      <c r="J26" s="721">
        <f>IF($I$10=0,0,I26/$I$10)</f>
        <v>0</v>
      </c>
      <c r="W26" s="112"/>
      <c r="X26" s="112"/>
      <c r="Y26" s="112"/>
      <c r="Z26" s="112"/>
      <c r="AA26" s="112"/>
      <c r="AB26" s="112"/>
      <c r="AC26" s="112"/>
      <c r="AD26" s="112"/>
      <c r="AE26" s="112"/>
      <c r="AF26" s="112"/>
    </row>
    <row r="27" spans="1:33">
      <c r="W27" s="112"/>
      <c r="X27" s="112"/>
      <c r="Y27" s="112"/>
      <c r="Z27" s="112"/>
      <c r="AA27" s="112"/>
      <c r="AB27" s="112"/>
      <c r="AC27" s="112"/>
      <c r="AD27" s="112"/>
      <c r="AE27" s="112"/>
      <c r="AF27" s="112"/>
    </row>
    <row r="28" spans="1:33">
      <c r="W28" s="112"/>
      <c r="X28" s="112"/>
      <c r="Y28" s="112"/>
      <c r="Z28" s="112"/>
      <c r="AA28" s="112"/>
      <c r="AB28" s="112"/>
      <c r="AC28" s="112"/>
      <c r="AD28" s="112"/>
      <c r="AE28" s="112"/>
      <c r="AF28" s="112"/>
    </row>
    <row r="29" spans="1:33">
      <c r="W29" s="112"/>
      <c r="X29" s="112"/>
      <c r="Y29" s="112"/>
      <c r="Z29" s="112"/>
      <c r="AA29" s="112"/>
      <c r="AB29" s="112"/>
      <c r="AC29" s="112"/>
      <c r="AD29" s="112"/>
      <c r="AE29" s="112"/>
      <c r="AF29" s="112"/>
    </row>
    <row r="30" spans="1:33">
      <c r="W30" s="112"/>
      <c r="X30" s="112"/>
      <c r="Y30" s="112"/>
      <c r="Z30" s="112"/>
      <c r="AA30" s="112"/>
      <c r="AB30" s="112"/>
      <c r="AC30" s="112"/>
      <c r="AD30" s="112"/>
      <c r="AE30" s="112"/>
      <c r="AF30" s="112"/>
    </row>
    <row r="31" spans="1:33">
      <c r="W31" s="112"/>
      <c r="X31" s="112"/>
      <c r="Y31" s="112"/>
      <c r="Z31" s="112"/>
      <c r="AA31" s="112"/>
      <c r="AB31" s="112"/>
      <c r="AC31" s="112"/>
      <c r="AD31" s="112"/>
      <c r="AE31" s="112"/>
      <c r="AF31" s="112"/>
    </row>
    <row r="32" spans="1:33">
      <c r="W32" s="112"/>
      <c r="X32" s="112"/>
      <c r="Y32" s="112"/>
      <c r="Z32" s="112"/>
      <c r="AA32" s="112"/>
      <c r="AB32" s="112"/>
      <c r="AC32" s="112"/>
      <c r="AD32" s="112"/>
      <c r="AE32" s="112"/>
      <c r="AF32" s="112"/>
    </row>
    <row r="33" spans="1:32">
      <c r="W33" s="112"/>
      <c r="X33" s="112"/>
      <c r="Y33" s="112"/>
      <c r="Z33" s="112"/>
      <c r="AA33" s="112"/>
      <c r="AB33" s="112"/>
      <c r="AC33" s="112"/>
      <c r="AD33" s="112"/>
      <c r="AE33" s="112"/>
      <c r="AF33" s="112"/>
    </row>
    <row r="34" spans="1:32">
      <c r="W34" s="112"/>
      <c r="X34" s="112"/>
      <c r="Y34" s="112"/>
      <c r="Z34" s="112"/>
      <c r="AA34" s="112"/>
      <c r="AB34" s="112"/>
      <c r="AC34" s="112"/>
      <c r="AD34" s="112"/>
      <c r="AE34" s="112"/>
      <c r="AF34" s="112"/>
    </row>
    <row r="35" spans="1:32">
      <c r="W35" s="112"/>
      <c r="X35" s="112"/>
      <c r="Y35" s="112"/>
      <c r="Z35" s="112"/>
      <c r="AA35" s="112"/>
      <c r="AB35" s="112"/>
      <c r="AC35" s="112"/>
      <c r="AD35" s="112"/>
      <c r="AE35" s="112"/>
      <c r="AF35" s="112"/>
    </row>
    <row r="36" spans="1:32">
      <c r="W36" s="112"/>
      <c r="X36" s="112"/>
      <c r="Y36" s="112"/>
      <c r="Z36" s="112"/>
      <c r="AA36" s="112"/>
      <c r="AB36" s="112"/>
      <c r="AC36" s="112"/>
      <c r="AD36" s="112"/>
      <c r="AE36" s="112"/>
      <c r="AF36" s="112"/>
    </row>
    <row r="37" spans="1:32">
      <c r="W37" s="112"/>
      <c r="X37" s="112"/>
      <c r="Y37" s="112"/>
      <c r="Z37" s="112"/>
      <c r="AA37" s="112"/>
      <c r="AB37" s="112"/>
      <c r="AC37" s="112"/>
      <c r="AD37" s="112"/>
      <c r="AE37" s="112"/>
      <c r="AF37" s="112"/>
    </row>
    <row r="38" spans="1:32">
      <c r="W38" s="112"/>
      <c r="X38" s="112"/>
      <c r="Y38" s="112"/>
      <c r="Z38" s="112"/>
      <c r="AA38" s="112"/>
      <c r="AB38" s="112"/>
      <c r="AC38" s="112"/>
      <c r="AD38" s="112"/>
      <c r="AE38" s="112"/>
      <c r="AF38" s="112"/>
    </row>
    <row r="39" spans="1:32">
      <c r="W39" s="112"/>
      <c r="X39" s="112"/>
      <c r="Y39" s="112"/>
      <c r="Z39" s="112"/>
      <c r="AA39" s="112"/>
      <c r="AB39" s="112"/>
      <c r="AC39" s="112"/>
      <c r="AD39" s="112"/>
      <c r="AE39" s="112"/>
      <c r="AF39" s="112"/>
    </row>
    <row r="40" spans="1:32">
      <c r="W40" s="112"/>
      <c r="X40" s="112"/>
      <c r="Y40" s="112"/>
      <c r="Z40" s="112"/>
      <c r="AA40" s="112"/>
      <c r="AB40" s="112"/>
      <c r="AC40" s="112"/>
      <c r="AD40" s="112"/>
      <c r="AE40" s="112"/>
      <c r="AF40" s="112"/>
    </row>
    <row r="41" spans="1:32">
      <c r="W41" s="112"/>
      <c r="X41" s="112"/>
      <c r="Y41" s="112"/>
      <c r="Z41" s="112"/>
      <c r="AA41" s="112"/>
      <c r="AB41" s="112"/>
      <c r="AC41" s="112"/>
      <c r="AD41" s="112"/>
      <c r="AE41" s="112"/>
      <c r="AF41" s="112"/>
    </row>
    <row r="42" spans="1:32" ht="15.5">
      <c r="B42" s="1045" t="s">
        <v>839</v>
      </c>
      <c r="C42" s="1046"/>
      <c r="D42" s="1047"/>
      <c r="E42" s="114"/>
      <c r="F42" s="114"/>
      <c r="G42" s="114"/>
      <c r="H42" s="114"/>
      <c r="I42" s="114"/>
      <c r="J42" s="114"/>
      <c r="W42" s="112"/>
      <c r="X42" s="112" t="str">
        <f t="shared" ref="X42:X62" si="11">B44&amp;" ("&amp;TEXT(D44,"#0%)")</f>
        <v>Residential (0%)</v>
      </c>
      <c r="Y42" s="112"/>
      <c r="Z42" s="112"/>
      <c r="AA42" s="112"/>
      <c r="AB42" s="112"/>
      <c r="AC42" s="112"/>
      <c r="AD42" s="112"/>
      <c r="AE42" s="112"/>
      <c r="AF42" s="112"/>
    </row>
    <row r="43" spans="1:32" ht="31">
      <c r="A43" s="796"/>
      <c r="B43" s="120" t="s">
        <v>152</v>
      </c>
      <c r="C43" s="523" t="s">
        <v>840</v>
      </c>
      <c r="D43" s="121" t="s">
        <v>812</v>
      </c>
      <c r="L43" s="112"/>
      <c r="M43" s="112"/>
      <c r="N43" s="112"/>
      <c r="O43" s="112"/>
      <c r="P43" s="112"/>
      <c r="Q43" s="112"/>
      <c r="W43" s="112"/>
      <c r="X43" s="112" t="str">
        <f t="shared" si="11"/>
        <v>Commercial/Institutional (0%)</v>
      </c>
      <c r="Y43" s="112"/>
      <c r="Z43" s="112"/>
      <c r="AA43" s="112"/>
      <c r="AB43" s="112"/>
      <c r="AC43" s="112"/>
      <c r="AD43" s="112"/>
      <c r="AE43" s="112"/>
      <c r="AF43" s="112"/>
    </row>
    <row r="44" spans="1:32">
      <c r="A44" s="284" t="s">
        <v>101</v>
      </c>
      <c r="B44" s="534" t="str">
        <f>'Background Controls'!I5</f>
        <v>Residential</v>
      </c>
      <c r="C44" s="746">
        <f>SUMIF($B$128:$B$149, B44, $M$128:$M$149)</f>
        <v>0</v>
      </c>
      <c r="D44" s="236">
        <f>IF($I$9=0,0,C44/$I$9)</f>
        <v>0</v>
      </c>
      <c r="L44" s="112"/>
      <c r="M44" s="112"/>
      <c r="N44" s="112"/>
      <c r="O44" s="112"/>
      <c r="P44" s="112"/>
      <c r="Q44" s="112"/>
      <c r="W44" s="112"/>
      <c r="X44" s="112" t="str">
        <f t="shared" si="11"/>
        <v>Industrial (0%)</v>
      </c>
      <c r="Y44" s="112"/>
      <c r="Z44" s="112"/>
      <c r="AA44" s="112"/>
      <c r="AB44" s="112"/>
      <c r="AC44" s="112"/>
      <c r="AD44" s="112"/>
      <c r="AE44" s="112"/>
      <c r="AF44" s="112"/>
    </row>
    <row r="45" spans="1:32">
      <c r="A45" s="284"/>
      <c r="B45" s="534" t="str">
        <f>'Background Controls'!I6</f>
        <v>Commercial/Institutional</v>
      </c>
      <c r="C45" s="336">
        <f t="shared" ref="C45:C63" si="12">SUMIF($B$128:$B$149, B45, $M$128:$M$149)</f>
        <v>0</v>
      </c>
      <c r="D45" s="236">
        <f>IF($I$9=0,0,C45/$I$9)</f>
        <v>0</v>
      </c>
      <c r="L45" s="112"/>
      <c r="M45" s="112"/>
      <c r="N45" s="112"/>
      <c r="O45" s="112"/>
      <c r="P45" s="112"/>
      <c r="Q45" s="112"/>
      <c r="W45" s="112"/>
      <c r="X45" s="112" t="str">
        <f t="shared" si="11"/>
        <v>Energy Generation (0%)</v>
      </c>
      <c r="Y45" s="112"/>
      <c r="Z45" s="112"/>
      <c r="AA45" s="112"/>
      <c r="AB45" s="112"/>
      <c r="AC45" s="112"/>
      <c r="AD45" s="112"/>
      <c r="AE45" s="112"/>
      <c r="AF45" s="112"/>
    </row>
    <row r="46" spans="1:32">
      <c r="A46" s="284"/>
      <c r="B46" s="534" t="str">
        <f>'Background Controls'!I7</f>
        <v>Industrial</v>
      </c>
      <c r="C46" s="336">
        <f t="shared" si="12"/>
        <v>0</v>
      </c>
      <c r="D46" s="236">
        <f t="shared" ref="D46:D63" si="13">IF($I$9=0,0,C46/$I$9)</f>
        <v>0</v>
      </c>
      <c r="L46" s="112"/>
      <c r="M46" s="112"/>
      <c r="N46" s="112"/>
      <c r="O46" s="112"/>
      <c r="P46" s="112"/>
      <c r="Q46" s="112"/>
      <c r="W46" s="112"/>
      <c r="X46" s="112" t="str">
        <f t="shared" si="11"/>
        <v>0 (0%)</v>
      </c>
      <c r="Y46" s="112"/>
      <c r="Z46" s="112"/>
      <c r="AA46" s="112"/>
      <c r="AB46" s="112"/>
      <c r="AC46" s="112"/>
      <c r="AD46" s="112"/>
      <c r="AE46" s="112"/>
      <c r="AF46" s="112"/>
    </row>
    <row r="47" spans="1:32">
      <c r="B47" s="534" t="str">
        <f>'Background Controls'!I8</f>
        <v>Energy Generation</v>
      </c>
      <c r="C47" s="336">
        <f t="shared" si="12"/>
        <v>0</v>
      </c>
      <c r="D47" s="236">
        <f t="shared" si="13"/>
        <v>0</v>
      </c>
      <c r="L47" s="112"/>
      <c r="M47" s="112"/>
      <c r="N47" s="112"/>
      <c r="O47" s="112"/>
      <c r="P47" s="112"/>
      <c r="Q47" s="112"/>
      <c r="W47" s="112"/>
      <c r="X47" s="112" t="str">
        <f t="shared" si="11"/>
        <v>0 (0%)</v>
      </c>
      <c r="Y47" s="112"/>
      <c r="Z47" s="112"/>
      <c r="AA47" s="112"/>
      <c r="AB47" s="112"/>
      <c r="AC47" s="112"/>
      <c r="AD47" s="112"/>
      <c r="AE47" s="112"/>
      <c r="AF47" s="112"/>
    </row>
    <row r="48" spans="1:32" hidden="1">
      <c r="B48" s="534">
        <f>'Background Controls'!I9</f>
        <v>0</v>
      </c>
      <c r="C48" s="336">
        <f t="shared" si="12"/>
        <v>0</v>
      </c>
      <c r="D48" s="236">
        <f t="shared" si="13"/>
        <v>0</v>
      </c>
      <c r="L48" s="112"/>
      <c r="M48" s="112"/>
      <c r="N48" s="112"/>
      <c r="O48" s="112"/>
      <c r="P48" s="112"/>
      <c r="Q48" s="112"/>
      <c r="W48" s="112"/>
      <c r="X48" s="112" t="str">
        <f t="shared" si="11"/>
        <v>0 (0%)</v>
      </c>
      <c r="Y48" s="112"/>
      <c r="Z48" s="112"/>
      <c r="AA48" s="112"/>
      <c r="AB48" s="112"/>
      <c r="AC48" s="112"/>
      <c r="AD48" s="112"/>
      <c r="AE48" s="112"/>
      <c r="AF48" s="112"/>
    </row>
    <row r="49" spans="2:32" hidden="1">
      <c r="B49" s="534">
        <f>'Background Controls'!I10</f>
        <v>0</v>
      </c>
      <c r="C49" s="336">
        <f t="shared" si="12"/>
        <v>0</v>
      </c>
      <c r="D49" s="236">
        <f t="shared" si="13"/>
        <v>0</v>
      </c>
      <c r="L49" s="112"/>
      <c r="M49" s="112"/>
      <c r="N49" s="112"/>
      <c r="O49" s="112"/>
      <c r="P49" s="112"/>
      <c r="Q49" s="112"/>
      <c r="W49" s="112"/>
      <c r="X49" s="112" t="str">
        <f t="shared" si="11"/>
        <v>0 (0%)</v>
      </c>
      <c r="Y49" s="112"/>
      <c r="Z49" s="112"/>
      <c r="AA49" s="112"/>
      <c r="AB49" s="112"/>
      <c r="AC49" s="112"/>
      <c r="AD49" s="112"/>
      <c r="AE49" s="112"/>
      <c r="AF49" s="112"/>
    </row>
    <row r="50" spans="2:32" hidden="1">
      <c r="B50" s="534">
        <f>'Background Controls'!I11</f>
        <v>0</v>
      </c>
      <c r="C50" s="336">
        <f t="shared" si="12"/>
        <v>0</v>
      </c>
      <c r="D50" s="236">
        <f t="shared" si="13"/>
        <v>0</v>
      </c>
      <c r="L50" s="112"/>
      <c r="M50" s="112"/>
      <c r="N50" s="112"/>
      <c r="O50" s="112"/>
      <c r="P50" s="112"/>
      <c r="Q50" s="112"/>
      <c r="W50" s="112"/>
      <c r="X50" s="112" t="str">
        <f t="shared" si="11"/>
        <v>0 (0%)</v>
      </c>
      <c r="Y50" s="112"/>
      <c r="Z50" s="112"/>
      <c r="AA50" s="112"/>
      <c r="AB50" s="112"/>
      <c r="AC50" s="112"/>
      <c r="AD50" s="112"/>
      <c r="AE50" s="112"/>
      <c r="AF50" s="112"/>
    </row>
    <row r="51" spans="2:32" hidden="1">
      <c r="B51" s="534">
        <f>'Background Controls'!I12</f>
        <v>0</v>
      </c>
      <c r="C51" s="336">
        <f t="shared" si="12"/>
        <v>0</v>
      </c>
      <c r="D51" s="236">
        <f t="shared" si="13"/>
        <v>0</v>
      </c>
      <c r="L51" s="112"/>
      <c r="M51" s="112"/>
      <c r="N51" s="112"/>
      <c r="O51" s="112"/>
      <c r="P51" s="112"/>
      <c r="Q51" s="112"/>
      <c r="W51" s="112"/>
      <c r="X51" s="112" t="str">
        <f t="shared" si="11"/>
        <v>0 (0%)</v>
      </c>
      <c r="Y51" s="112"/>
      <c r="Z51" s="112"/>
      <c r="AA51" s="112"/>
      <c r="AB51" s="112"/>
      <c r="AC51" s="112"/>
      <c r="AD51" s="112"/>
      <c r="AE51" s="112"/>
      <c r="AF51" s="112"/>
    </row>
    <row r="52" spans="2:32" hidden="1">
      <c r="B52" s="534">
        <f>'Background Controls'!I13</f>
        <v>0</v>
      </c>
      <c r="C52" s="336">
        <f t="shared" si="12"/>
        <v>0</v>
      </c>
      <c r="D52" s="236">
        <f t="shared" si="13"/>
        <v>0</v>
      </c>
      <c r="L52" s="112"/>
      <c r="M52" s="112"/>
      <c r="N52" s="112"/>
      <c r="O52" s="112"/>
      <c r="P52" s="112"/>
      <c r="Q52" s="112"/>
      <c r="W52" s="112"/>
      <c r="X52" s="112" t="str">
        <f t="shared" si="11"/>
        <v>0 (0%)</v>
      </c>
      <c r="Y52" s="112"/>
      <c r="Z52" s="112"/>
      <c r="AA52" s="112"/>
      <c r="AB52" s="112"/>
      <c r="AC52" s="112"/>
      <c r="AD52" s="112"/>
      <c r="AE52" s="112"/>
      <c r="AF52" s="112"/>
    </row>
    <row r="53" spans="2:32" hidden="1">
      <c r="B53" s="534">
        <f>'Background Controls'!I14</f>
        <v>0</v>
      </c>
      <c r="C53" s="336">
        <f t="shared" si="12"/>
        <v>0</v>
      </c>
      <c r="D53" s="236">
        <f t="shared" si="13"/>
        <v>0</v>
      </c>
      <c r="L53" s="112"/>
      <c r="M53" s="112"/>
      <c r="N53" s="112"/>
      <c r="O53" s="112"/>
      <c r="P53" s="112"/>
      <c r="Q53" s="112"/>
      <c r="W53" s="112"/>
      <c r="X53" s="112" t="str">
        <f t="shared" si="11"/>
        <v>0 (0%)</v>
      </c>
      <c r="Y53" s="112"/>
      <c r="Z53" s="112"/>
      <c r="AA53" s="112"/>
      <c r="AB53" s="112"/>
      <c r="AC53" s="112"/>
      <c r="AD53" s="112"/>
      <c r="AE53" s="112"/>
      <c r="AF53" s="112"/>
    </row>
    <row r="54" spans="2:32" ht="15.5" hidden="1">
      <c r="B54" s="534">
        <f>'Background Controls'!I15</f>
        <v>0</v>
      </c>
      <c r="C54" s="336">
        <f t="shared" si="12"/>
        <v>0</v>
      </c>
      <c r="D54" s="236">
        <f t="shared" si="13"/>
        <v>0</v>
      </c>
      <c r="E54" s="114"/>
      <c r="L54" s="112"/>
      <c r="M54" s="112"/>
      <c r="N54" s="112"/>
      <c r="O54" s="112"/>
      <c r="P54" s="112"/>
      <c r="Q54" s="112"/>
      <c r="W54" s="112"/>
      <c r="X54" s="112" t="str">
        <f t="shared" si="11"/>
        <v>0 (0%)</v>
      </c>
      <c r="Y54" s="112"/>
      <c r="Z54" s="112"/>
      <c r="AA54" s="112"/>
      <c r="AB54" s="112"/>
      <c r="AC54" s="112"/>
      <c r="AD54" s="112"/>
      <c r="AE54" s="112"/>
      <c r="AF54" s="112"/>
    </row>
    <row r="55" spans="2:32" hidden="1">
      <c r="B55" s="534">
        <f>'Background Controls'!I16</f>
        <v>0</v>
      </c>
      <c r="C55" s="336">
        <f t="shared" si="12"/>
        <v>0</v>
      </c>
      <c r="D55" s="236">
        <f t="shared" si="13"/>
        <v>0</v>
      </c>
      <c r="F55" s="734"/>
      <c r="L55" s="112"/>
      <c r="M55" s="112"/>
      <c r="N55" s="112"/>
      <c r="O55" s="112"/>
      <c r="P55" s="112"/>
      <c r="Q55" s="112"/>
      <c r="W55" s="112"/>
      <c r="X55" s="112" t="str">
        <f t="shared" si="11"/>
        <v>0 (0%)</v>
      </c>
      <c r="Y55" s="112"/>
      <c r="Z55" s="112"/>
      <c r="AA55" s="112"/>
      <c r="AB55" s="112"/>
      <c r="AC55" s="112"/>
      <c r="AD55" s="112"/>
      <c r="AE55" s="112"/>
      <c r="AF55" s="112"/>
    </row>
    <row r="56" spans="2:32" hidden="1">
      <c r="B56" s="534">
        <f>'Background Controls'!I17</f>
        <v>0</v>
      </c>
      <c r="C56" s="336">
        <f t="shared" si="12"/>
        <v>0</v>
      </c>
      <c r="D56" s="236">
        <f t="shared" si="13"/>
        <v>0</v>
      </c>
      <c r="F56" s="68"/>
      <c r="L56" s="112"/>
      <c r="M56" s="112"/>
      <c r="N56" s="112"/>
      <c r="O56" s="112"/>
      <c r="P56" s="112"/>
      <c r="Q56" s="112"/>
      <c r="W56" s="112"/>
      <c r="X56" s="112" t="str">
        <f t="shared" si="11"/>
        <v>0 (0%)</v>
      </c>
      <c r="Y56" s="112"/>
      <c r="Z56" s="112"/>
      <c r="AA56" s="112"/>
      <c r="AB56" s="112"/>
      <c r="AC56" s="112"/>
      <c r="AD56" s="112"/>
      <c r="AE56" s="112"/>
      <c r="AF56" s="112"/>
    </row>
    <row r="57" spans="2:32" hidden="1">
      <c r="B57" s="534">
        <f>'Background Controls'!I18</f>
        <v>0</v>
      </c>
      <c r="C57" s="336">
        <f t="shared" si="12"/>
        <v>0</v>
      </c>
      <c r="D57" s="236">
        <f t="shared" si="13"/>
        <v>0</v>
      </c>
      <c r="F57" s="68"/>
      <c r="L57" s="112"/>
      <c r="M57" s="112"/>
      <c r="N57" s="112"/>
      <c r="O57" s="112"/>
      <c r="P57" s="112"/>
      <c r="Q57" s="112"/>
      <c r="W57" s="112"/>
      <c r="X57" s="112" t="str">
        <f t="shared" si="11"/>
        <v>0 (0%)</v>
      </c>
      <c r="Y57" s="112"/>
      <c r="Z57" s="112"/>
      <c r="AA57" s="112"/>
      <c r="AB57" s="112"/>
      <c r="AC57" s="112"/>
      <c r="AD57" s="112"/>
      <c r="AE57" s="112"/>
      <c r="AF57" s="112"/>
    </row>
    <row r="58" spans="2:32" hidden="1">
      <c r="B58" s="534">
        <f>'Background Controls'!I19</f>
        <v>0</v>
      </c>
      <c r="C58" s="336">
        <f t="shared" si="12"/>
        <v>0</v>
      </c>
      <c r="D58" s="236">
        <f t="shared" si="13"/>
        <v>0</v>
      </c>
      <c r="F58" s="68"/>
      <c r="L58" s="112"/>
      <c r="M58" s="112"/>
      <c r="N58" s="112"/>
      <c r="O58" s="112"/>
      <c r="P58" s="112"/>
      <c r="Q58" s="112"/>
      <c r="W58" s="112"/>
      <c r="X58" s="112" t="str">
        <f t="shared" si="11"/>
        <v>0 (0%)</v>
      </c>
      <c r="Y58" s="112"/>
      <c r="Z58" s="112"/>
      <c r="AA58" s="112"/>
      <c r="AB58" s="112"/>
      <c r="AC58" s="112"/>
      <c r="AD58" s="112"/>
      <c r="AE58" s="112"/>
      <c r="AF58" s="112"/>
    </row>
    <row r="59" spans="2:32" hidden="1">
      <c r="B59" s="534">
        <f>'Background Controls'!I20</f>
        <v>0</v>
      </c>
      <c r="C59" s="336">
        <f t="shared" si="12"/>
        <v>0</v>
      </c>
      <c r="D59" s="236">
        <f t="shared" si="13"/>
        <v>0</v>
      </c>
      <c r="F59" s="68"/>
      <c r="L59" s="112"/>
      <c r="M59" s="112"/>
      <c r="N59" s="112"/>
      <c r="O59" s="112"/>
      <c r="P59" s="112"/>
      <c r="Q59" s="112"/>
      <c r="W59" s="112"/>
      <c r="X59" s="112" t="str">
        <f t="shared" si="11"/>
        <v>0 (0%)</v>
      </c>
      <c r="Y59" s="112"/>
      <c r="Z59" s="112"/>
      <c r="AA59" s="112"/>
      <c r="AB59" s="112"/>
      <c r="AC59" s="112"/>
      <c r="AD59" s="112"/>
      <c r="AE59" s="112"/>
      <c r="AF59" s="112"/>
    </row>
    <row r="60" spans="2:32" hidden="1">
      <c r="B60" s="534">
        <f>'Background Controls'!I21</f>
        <v>0</v>
      </c>
      <c r="C60" s="336">
        <f t="shared" si="12"/>
        <v>0</v>
      </c>
      <c r="D60" s="236">
        <f t="shared" si="13"/>
        <v>0</v>
      </c>
      <c r="F60" s="68"/>
      <c r="L60" s="112"/>
      <c r="M60" s="112"/>
      <c r="N60" s="112"/>
      <c r="O60" s="112"/>
      <c r="P60" s="112"/>
      <c r="Q60" s="112"/>
      <c r="W60" s="112"/>
      <c r="X60" s="112" t="str">
        <f t="shared" si="11"/>
        <v>0 (0%)</v>
      </c>
      <c r="Y60" s="112"/>
      <c r="Z60" s="112"/>
      <c r="AA60" s="112"/>
      <c r="AB60" s="112"/>
      <c r="AC60" s="112"/>
      <c r="AD60" s="112"/>
      <c r="AE60" s="112"/>
      <c r="AF60" s="112"/>
    </row>
    <row r="61" spans="2:32" hidden="1">
      <c r="B61" s="534">
        <f>'Background Controls'!I22</f>
        <v>0</v>
      </c>
      <c r="C61" s="336">
        <f t="shared" si="12"/>
        <v>0</v>
      </c>
      <c r="D61" s="236">
        <f t="shared" si="13"/>
        <v>0</v>
      </c>
      <c r="F61" s="68"/>
      <c r="L61" s="112"/>
      <c r="M61" s="112"/>
      <c r="N61" s="112"/>
      <c r="O61" s="112"/>
      <c r="P61" s="112"/>
      <c r="Q61" s="112"/>
      <c r="W61" s="112"/>
      <c r="X61" s="112" t="str">
        <f t="shared" si="11"/>
        <v>0 (0%)</v>
      </c>
      <c r="Y61" s="112"/>
      <c r="Z61" s="112"/>
      <c r="AA61" s="112"/>
      <c r="AB61" s="112"/>
      <c r="AC61" s="112"/>
      <c r="AD61" s="112"/>
      <c r="AE61" s="112"/>
      <c r="AF61" s="112"/>
    </row>
    <row r="62" spans="2:32" hidden="1">
      <c r="B62" s="534">
        <f>'Background Controls'!I23</f>
        <v>0</v>
      </c>
      <c r="C62" s="336">
        <f t="shared" si="12"/>
        <v>0</v>
      </c>
      <c r="D62" s="236">
        <f t="shared" si="13"/>
        <v>0</v>
      </c>
      <c r="F62" s="68"/>
      <c r="L62" s="112"/>
      <c r="M62" s="112"/>
      <c r="N62" s="112"/>
      <c r="O62" s="112"/>
      <c r="P62" s="112"/>
      <c r="Q62" s="112"/>
      <c r="W62" s="112"/>
      <c r="X62" s="112" t="str">
        <f t="shared" si="11"/>
        <v>Total (0%)</v>
      </c>
      <c r="Y62" s="112"/>
      <c r="Z62" s="112"/>
      <c r="AA62" s="112"/>
      <c r="AB62" s="112"/>
      <c r="AC62" s="112"/>
      <c r="AD62" s="112"/>
      <c r="AE62" s="112"/>
      <c r="AF62" s="112"/>
    </row>
    <row r="63" spans="2:32" hidden="1">
      <c r="B63" s="745">
        <f>'Background Controls'!I24</f>
        <v>0</v>
      </c>
      <c r="C63" s="747">
        <f t="shared" si="12"/>
        <v>0</v>
      </c>
      <c r="D63" s="236">
        <f t="shared" si="13"/>
        <v>0</v>
      </c>
      <c r="F63" s="68"/>
      <c r="L63" s="112"/>
      <c r="M63" s="112"/>
      <c r="N63" s="112"/>
      <c r="O63" s="112"/>
      <c r="P63" s="112"/>
      <c r="Q63" s="112"/>
      <c r="W63" s="112"/>
      <c r="X63" s="112"/>
      <c r="Y63" s="112"/>
      <c r="Z63" s="112"/>
      <c r="AA63" s="112"/>
      <c r="AB63" s="112"/>
      <c r="AC63" s="112"/>
      <c r="AD63" s="112"/>
      <c r="AE63" s="112"/>
      <c r="AF63" s="112"/>
    </row>
    <row r="64" spans="2:32">
      <c r="B64" s="840" t="s">
        <v>253</v>
      </c>
      <c r="C64" s="735">
        <f>SUM(C44:C63)</f>
        <v>0</v>
      </c>
      <c r="D64" s="721">
        <f>SUM(D44:D63)</f>
        <v>0</v>
      </c>
      <c r="L64" s="112"/>
      <c r="M64" s="112"/>
      <c r="N64" s="112"/>
      <c r="O64" s="112"/>
      <c r="P64" s="112"/>
      <c r="Q64" s="112"/>
      <c r="W64" s="112"/>
      <c r="X64" s="112"/>
      <c r="Y64" s="112"/>
      <c r="Z64" s="112"/>
      <c r="AA64" s="112"/>
      <c r="AB64" s="112"/>
      <c r="AC64" s="112"/>
      <c r="AD64" s="112"/>
      <c r="AE64" s="112"/>
      <c r="AF64" s="112"/>
    </row>
    <row r="65" spans="1:75">
      <c r="A65" s="795"/>
      <c r="C65" s="736"/>
      <c r="D65" s="242"/>
      <c r="E65" s="736"/>
      <c r="F65" s="736"/>
      <c r="G65" s="736"/>
      <c r="H65" s="736"/>
      <c r="I65" s="58"/>
      <c r="J65" s="58"/>
      <c r="L65" s="112"/>
      <c r="M65" s="112"/>
      <c r="N65" s="112"/>
      <c r="O65" s="112"/>
      <c r="P65" s="112"/>
      <c r="Q65" s="112"/>
      <c r="W65" s="112"/>
      <c r="X65" s="112"/>
      <c r="Y65" s="112"/>
      <c r="Z65" s="112"/>
      <c r="AA65" s="112"/>
      <c r="AB65" s="112"/>
      <c r="AC65" s="112"/>
      <c r="AD65" s="112"/>
      <c r="AE65" s="112"/>
      <c r="AF65" s="112"/>
    </row>
    <row r="66" spans="1:75">
      <c r="A66" s="795"/>
      <c r="C66" s="736"/>
      <c r="D66" s="242"/>
      <c r="E66" s="736"/>
      <c r="F66" s="736"/>
      <c r="G66" s="736"/>
      <c r="H66" s="736"/>
      <c r="I66" s="58"/>
      <c r="J66" s="58"/>
      <c r="W66" s="112"/>
      <c r="X66" s="112"/>
      <c r="Y66" s="112"/>
      <c r="Z66" s="112"/>
      <c r="AA66" s="112"/>
      <c r="AB66" s="112"/>
      <c r="AC66" s="112"/>
      <c r="AD66" s="112"/>
      <c r="AE66" s="112"/>
      <c r="AF66" s="112"/>
    </row>
    <row r="67" spans="1:75">
      <c r="A67" s="795"/>
      <c r="C67" s="736"/>
      <c r="D67" s="242"/>
      <c r="E67" s="736"/>
      <c r="F67" s="736"/>
      <c r="G67" s="736"/>
      <c r="H67" s="736"/>
      <c r="I67" s="58"/>
      <c r="J67" s="58"/>
      <c r="W67" s="112"/>
      <c r="X67" s="112"/>
      <c r="Y67" s="112"/>
      <c r="Z67" s="112"/>
      <c r="AA67" s="112"/>
      <c r="AB67" s="112"/>
      <c r="AC67" s="112"/>
      <c r="AD67" s="112"/>
      <c r="AE67" s="112"/>
      <c r="AF67" s="112"/>
    </row>
    <row r="68" spans="1:75">
      <c r="A68" s="795"/>
      <c r="C68" s="736"/>
      <c r="D68" s="242"/>
      <c r="E68" s="736"/>
      <c r="F68" s="736"/>
      <c r="G68" s="736"/>
      <c r="H68" s="736"/>
      <c r="I68" s="58"/>
      <c r="J68" s="58"/>
      <c r="W68" s="112"/>
      <c r="X68" s="112"/>
      <c r="Y68" s="112"/>
      <c r="Z68" s="112"/>
      <c r="AA68" s="112"/>
      <c r="AB68" s="112"/>
      <c r="AC68" s="112"/>
      <c r="AD68" s="112"/>
      <c r="AE68" s="112"/>
      <c r="AF68" s="112"/>
    </row>
    <row r="69" spans="1:75">
      <c r="A69" s="795"/>
      <c r="C69" s="736"/>
      <c r="D69" s="242"/>
      <c r="E69" s="736"/>
      <c r="F69" s="736"/>
      <c r="G69" s="736"/>
      <c r="H69" s="736"/>
      <c r="I69" s="58"/>
      <c r="J69" s="58"/>
      <c r="W69" s="112"/>
      <c r="X69" s="112"/>
      <c r="Y69" s="112"/>
      <c r="Z69" s="112"/>
      <c r="AA69" s="112"/>
      <c r="AB69" s="112"/>
      <c r="AC69" s="112"/>
      <c r="AD69" s="112"/>
      <c r="AE69" s="112"/>
      <c r="AF69" s="112"/>
    </row>
    <row r="70" spans="1:75">
      <c r="A70" s="795"/>
      <c r="C70" s="736"/>
      <c r="D70" s="242"/>
      <c r="E70" s="736"/>
      <c r="F70" s="736"/>
      <c r="G70" s="736"/>
      <c r="H70" s="736"/>
      <c r="I70" s="58"/>
      <c r="J70" s="58"/>
      <c r="W70" s="112"/>
      <c r="X70" s="112"/>
      <c r="Y70" s="112"/>
      <c r="Z70" s="112"/>
      <c r="AA70" s="112"/>
      <c r="AB70" s="112"/>
      <c r="AC70" s="112"/>
      <c r="AD70" s="112"/>
      <c r="AE70" s="112"/>
      <c r="AF70" s="112"/>
    </row>
    <row r="71" spans="1:75">
      <c r="A71" s="795"/>
      <c r="C71" s="736"/>
      <c r="D71" s="242"/>
      <c r="E71" s="736"/>
      <c r="F71" s="736"/>
      <c r="G71" s="736"/>
      <c r="H71" s="736"/>
      <c r="I71" s="58"/>
      <c r="J71" s="58"/>
      <c r="W71" s="112"/>
      <c r="X71" s="112"/>
      <c r="Y71" s="112"/>
      <c r="Z71" s="112"/>
      <c r="AA71" s="112"/>
      <c r="AB71" s="112"/>
      <c r="AC71" s="112"/>
      <c r="AD71" s="112"/>
      <c r="AE71" s="112"/>
      <c r="AF71" s="112"/>
    </row>
    <row r="72" spans="1:75">
      <c r="A72" s="795"/>
      <c r="C72" s="736"/>
      <c r="D72" s="242"/>
      <c r="E72" s="736"/>
      <c r="F72" s="736"/>
      <c r="G72" s="736"/>
      <c r="H72" s="736"/>
      <c r="I72" s="58"/>
      <c r="J72" s="58"/>
      <c r="W72" s="112"/>
      <c r="X72" s="112"/>
      <c r="Y72" s="112"/>
      <c r="Z72" s="112"/>
      <c r="AA72" s="112"/>
      <c r="AB72" s="112"/>
      <c r="AC72" s="112"/>
      <c r="AD72" s="112"/>
      <c r="AE72" s="112"/>
      <c r="AF72" s="112"/>
    </row>
    <row r="73" spans="1:75">
      <c r="A73" s="795"/>
      <c r="C73" s="736"/>
      <c r="D73" s="242"/>
      <c r="E73" s="736"/>
      <c r="F73" s="736"/>
      <c r="G73" s="736"/>
      <c r="H73" s="736"/>
      <c r="I73" s="58"/>
      <c r="J73" s="58"/>
      <c r="W73" s="112"/>
      <c r="X73" s="112"/>
      <c r="Y73" s="112"/>
      <c r="Z73" s="112"/>
      <c r="AA73" s="112"/>
      <c r="AB73" s="112"/>
      <c r="AC73" s="112"/>
      <c r="AD73" s="112"/>
      <c r="AE73" s="112"/>
      <c r="AF73" s="112"/>
    </row>
    <row r="74" spans="1:75">
      <c r="A74" s="795"/>
      <c r="C74" s="736"/>
      <c r="D74" s="242"/>
      <c r="E74" s="736"/>
      <c r="F74" s="736"/>
      <c r="G74" s="736"/>
      <c r="H74" s="736"/>
      <c r="I74" s="58"/>
      <c r="J74" s="58"/>
      <c r="W74" s="112"/>
      <c r="X74" s="112"/>
      <c r="Y74" s="112"/>
      <c r="Z74" s="112"/>
      <c r="AA74" s="112"/>
      <c r="AB74" s="112"/>
      <c r="AC74" s="112"/>
      <c r="AD74" s="112"/>
      <c r="AE74" s="112"/>
      <c r="AF74" s="112"/>
    </row>
    <row r="75" spans="1:75">
      <c r="A75" s="795"/>
      <c r="C75" s="736"/>
      <c r="D75" s="242"/>
      <c r="E75" s="736"/>
      <c r="F75" s="736"/>
      <c r="G75" s="736"/>
      <c r="H75" s="736"/>
      <c r="I75" s="58"/>
      <c r="J75" s="58"/>
      <c r="W75" s="112"/>
      <c r="X75" s="112"/>
      <c r="Y75" s="112"/>
      <c r="Z75" s="112"/>
      <c r="AA75" s="112"/>
      <c r="AB75" s="112"/>
      <c r="AC75" s="112"/>
      <c r="AD75" s="112"/>
      <c r="AE75" s="112"/>
      <c r="AF75" s="112"/>
    </row>
    <row r="76" spans="1:75">
      <c r="A76" s="795"/>
      <c r="C76" s="736"/>
      <c r="D76" s="242"/>
      <c r="E76" s="736"/>
      <c r="F76" s="736"/>
      <c r="G76" s="736"/>
      <c r="H76" s="736"/>
      <c r="I76" s="58"/>
      <c r="J76" s="58"/>
      <c r="W76" s="112"/>
      <c r="X76" s="112"/>
      <c r="Y76" s="112"/>
      <c r="Z76" s="112"/>
      <c r="AA76" s="112"/>
      <c r="AB76" s="112"/>
      <c r="AC76" s="112"/>
      <c r="AD76" s="112"/>
      <c r="AE76" s="112"/>
      <c r="AF76" s="112"/>
    </row>
    <row r="77" spans="1:75">
      <c r="A77" s="795"/>
      <c r="C77" s="736"/>
      <c r="D77" s="242"/>
      <c r="E77" s="736"/>
      <c r="F77" s="736"/>
      <c r="G77" s="736"/>
      <c r="H77" s="736"/>
      <c r="I77" s="58"/>
      <c r="J77" s="58"/>
      <c r="W77" s="112"/>
      <c r="X77" s="112"/>
      <c r="Y77" s="112"/>
      <c r="Z77" s="112"/>
      <c r="AA77" s="112"/>
      <c r="AB77" s="112"/>
      <c r="AC77" s="112"/>
      <c r="AD77" s="112"/>
      <c r="AE77" s="112"/>
      <c r="AF77" s="112"/>
    </row>
    <row r="78" spans="1:75">
      <c r="A78" s="795"/>
      <c r="C78" s="736"/>
      <c r="D78" s="242"/>
      <c r="E78" s="736"/>
      <c r="F78" s="736"/>
      <c r="G78" s="736"/>
      <c r="H78" s="736"/>
      <c r="I78" s="58"/>
      <c r="J78" s="58"/>
      <c r="W78" s="112"/>
      <c r="X78" s="112"/>
      <c r="Y78" s="112"/>
      <c r="Z78" s="112"/>
      <c r="AA78" s="112"/>
      <c r="AB78" s="112"/>
      <c r="AC78" s="112"/>
      <c r="AD78" s="112"/>
      <c r="AE78" s="112"/>
      <c r="AF78" s="112"/>
    </row>
    <row r="79" spans="1:75">
      <c r="A79" s="795"/>
      <c r="C79" s="736"/>
      <c r="D79" s="242"/>
      <c r="E79" s="736"/>
      <c r="F79" s="736"/>
      <c r="G79" s="736"/>
      <c r="H79" s="736"/>
      <c r="I79" s="58"/>
      <c r="J79" s="58"/>
      <c r="W79" s="112"/>
      <c r="X79" s="112"/>
      <c r="Y79" s="112"/>
      <c r="Z79" s="112"/>
      <c r="AA79" s="112"/>
      <c r="AB79" s="112"/>
      <c r="AC79" s="112"/>
      <c r="AD79" s="112"/>
      <c r="AE79" s="112"/>
      <c r="AF79" s="112"/>
    </row>
    <row r="80" spans="1:75" s="265" customFormat="1">
      <c r="A80" s="795"/>
      <c r="B80"/>
      <c r="C80" s="736"/>
      <c r="D80" s="242"/>
      <c r="E80" s="736"/>
      <c r="F80" s="736"/>
      <c r="G80" s="736"/>
      <c r="H80" s="736"/>
      <c r="I80" s="58"/>
      <c r="J80" s="58"/>
      <c r="K80"/>
      <c r="L80"/>
      <c r="M80"/>
      <c r="N80"/>
      <c r="O80"/>
      <c r="P80"/>
      <c r="Q80"/>
      <c r="R80"/>
      <c r="S80"/>
      <c r="T80"/>
      <c r="U80"/>
      <c r="W80" s="112"/>
      <c r="X80" s="112"/>
      <c r="Y80" s="112"/>
      <c r="Z80" s="112"/>
      <c r="AA80" s="112"/>
      <c r="AB80" s="112"/>
      <c r="AC80" s="112"/>
      <c r="AD80" s="112"/>
      <c r="AE80" s="112"/>
      <c r="AF80" s="112"/>
      <c r="AG80" s="74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row>
    <row r="81" spans="1:75" s="265" customFormat="1">
      <c r="A81" s="795"/>
      <c r="B81"/>
      <c r="C81" s="736"/>
      <c r="D81" s="242"/>
      <c r="E81" s="736"/>
      <c r="F81" s="736"/>
      <c r="G81" s="736"/>
      <c r="H81" s="736"/>
      <c r="I81" s="58"/>
      <c r="J81" s="58"/>
      <c r="K81"/>
      <c r="L81"/>
      <c r="M81"/>
      <c r="N81"/>
      <c r="O81"/>
      <c r="P81"/>
      <c r="Q81"/>
      <c r="R81"/>
      <c r="S81"/>
      <c r="T81"/>
      <c r="U81"/>
      <c r="W81" s="112"/>
      <c r="X81" s="112"/>
      <c r="Y81" s="112"/>
      <c r="Z81" s="112"/>
      <c r="AA81" s="112"/>
      <c r="AB81" s="112"/>
      <c r="AC81" s="112"/>
      <c r="AD81" s="112"/>
      <c r="AE81" s="112"/>
      <c r="AF81" s="112"/>
      <c r="AG81" s="740"/>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row>
    <row r="82" spans="1:75" s="265" customFormat="1">
      <c r="A82" s="795"/>
      <c r="B82"/>
      <c r="C82" s="736"/>
      <c r="D82" s="242"/>
      <c r="E82" s="736"/>
      <c r="F82" s="736"/>
      <c r="G82" s="736"/>
      <c r="H82" s="736"/>
      <c r="I82" s="58"/>
      <c r="J82" s="58"/>
      <c r="K82"/>
      <c r="L82"/>
      <c r="M82"/>
      <c r="N82"/>
      <c r="O82"/>
      <c r="P82"/>
      <c r="Q82"/>
      <c r="R82"/>
      <c r="S82"/>
      <c r="T82"/>
      <c r="U82"/>
      <c r="W82" s="112"/>
      <c r="X82" s="112"/>
      <c r="Y82" s="112"/>
      <c r="Z82" s="112"/>
      <c r="AA82" s="112"/>
      <c r="AB82" s="112"/>
      <c r="AC82" s="112"/>
      <c r="AD82" s="112"/>
      <c r="AE82" s="112"/>
      <c r="AF82" s="112"/>
      <c r="AG82" s="740"/>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row>
    <row r="83" spans="1:75" s="265" customFormat="1">
      <c r="A83" s="795"/>
      <c r="B83"/>
      <c r="C83" s="736"/>
      <c r="D83" s="242"/>
      <c r="E83" s="736"/>
      <c r="F83" s="736"/>
      <c r="G83" s="736"/>
      <c r="H83" s="736"/>
      <c r="I83" s="58"/>
      <c r="J83" s="58"/>
      <c r="K83"/>
      <c r="L83"/>
      <c r="M83"/>
      <c r="N83"/>
      <c r="O83"/>
      <c r="P83"/>
      <c r="Q83"/>
      <c r="R83"/>
      <c r="S83"/>
      <c r="T83"/>
      <c r="U83"/>
      <c r="W83" s="112"/>
      <c r="X83" s="112"/>
      <c r="Y83" s="112"/>
      <c r="Z83" s="112"/>
      <c r="AA83" s="112"/>
      <c r="AB83" s="112"/>
      <c r="AC83" s="112"/>
      <c r="AD83" s="112"/>
      <c r="AE83" s="112"/>
      <c r="AF83" s="112"/>
      <c r="AG83" s="740"/>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row>
    <row r="84" spans="1:75" s="265" customFormat="1">
      <c r="A84" s="795"/>
      <c r="B84"/>
      <c r="C84" s="736"/>
      <c r="D84" s="242"/>
      <c r="E84" s="736"/>
      <c r="F84" s="736"/>
      <c r="G84" s="736"/>
      <c r="H84" s="736"/>
      <c r="I84" s="58"/>
      <c r="J84" s="58"/>
      <c r="K84"/>
      <c r="L84"/>
      <c r="M84"/>
      <c r="N84"/>
      <c r="O84"/>
      <c r="P84"/>
      <c r="Q84"/>
      <c r="R84"/>
      <c r="S84"/>
      <c r="T84"/>
      <c r="U84"/>
      <c r="W84" s="112"/>
      <c r="X84" s="112"/>
      <c r="Y84" s="112"/>
      <c r="Z84" s="112"/>
      <c r="AA84" s="112"/>
      <c r="AB84" s="112"/>
      <c r="AC84" s="112"/>
      <c r="AD84" s="112"/>
      <c r="AE84" s="112"/>
      <c r="AF84" s="112"/>
      <c r="AG84" s="740"/>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row>
    <row r="85" spans="1:75" s="265" customFormat="1">
      <c r="A85" s="795"/>
      <c r="B85"/>
      <c r="C85" s="736"/>
      <c r="D85" s="242"/>
      <c r="E85" s="736"/>
      <c r="F85" s="736"/>
      <c r="G85" s="736"/>
      <c r="H85" s="736"/>
      <c r="I85" s="58"/>
      <c r="J85" s="58"/>
      <c r="K85"/>
      <c r="L85"/>
      <c r="M85"/>
      <c r="N85"/>
      <c r="O85"/>
      <c r="P85"/>
      <c r="Q85"/>
      <c r="R85"/>
      <c r="S85"/>
      <c r="T85"/>
      <c r="U85"/>
      <c r="W85" s="112"/>
      <c r="X85" s="112"/>
      <c r="Y85" s="112"/>
      <c r="Z85" s="112"/>
      <c r="AA85" s="112"/>
      <c r="AB85" s="112"/>
      <c r="AC85" s="112"/>
      <c r="AD85" s="112"/>
      <c r="AE85" s="112"/>
      <c r="AF85" s="112"/>
      <c r="AG85" s="740"/>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row>
    <row r="86" spans="1:75" s="265" customFormat="1">
      <c r="A86" s="795"/>
      <c r="B86"/>
      <c r="C86" s="736"/>
      <c r="D86" s="242"/>
      <c r="E86" s="736"/>
      <c r="F86" s="736"/>
      <c r="G86" s="736"/>
      <c r="H86" s="736"/>
      <c r="I86" s="58"/>
      <c r="J86" s="58"/>
      <c r="K86"/>
      <c r="L86"/>
      <c r="M86"/>
      <c r="N86"/>
      <c r="O86"/>
      <c r="P86"/>
      <c r="Q86"/>
      <c r="R86"/>
      <c r="S86"/>
      <c r="T86"/>
      <c r="U86"/>
      <c r="W86" s="112"/>
      <c r="X86" s="112"/>
      <c r="Y86" s="112"/>
      <c r="Z86" s="112"/>
      <c r="AA86" s="112"/>
      <c r="AB86" s="112"/>
      <c r="AC86" s="112"/>
      <c r="AD86" s="112"/>
      <c r="AE86" s="112"/>
      <c r="AF86" s="112"/>
      <c r="AG86" s="740"/>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row>
    <row r="87" spans="1:75" s="265" customFormat="1">
      <c r="A87" s="795"/>
      <c r="B87"/>
      <c r="C87" s="736"/>
      <c r="D87" s="242"/>
      <c r="E87" s="736"/>
      <c r="F87" s="736"/>
      <c r="G87" s="736"/>
      <c r="H87" s="736"/>
      <c r="I87" s="58"/>
      <c r="J87" s="58"/>
      <c r="K87"/>
      <c r="L87"/>
      <c r="M87"/>
      <c r="N87"/>
      <c r="O87"/>
      <c r="P87"/>
      <c r="Q87"/>
      <c r="R87"/>
      <c r="S87"/>
      <c r="T87"/>
      <c r="U87"/>
      <c r="W87" s="112"/>
      <c r="X87" s="112"/>
      <c r="Y87" s="112"/>
      <c r="Z87" s="112"/>
      <c r="AA87" s="112"/>
      <c r="AB87" s="112"/>
      <c r="AC87" s="112"/>
      <c r="AD87" s="112"/>
      <c r="AE87" s="112"/>
      <c r="AF87" s="112"/>
      <c r="AG87" s="740"/>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row>
    <row r="88" spans="1:75" s="265" customFormat="1" ht="15" thickBot="1">
      <c r="A88" s="795"/>
      <c r="B88"/>
      <c r="C88" s="736"/>
      <c r="D88" s="242"/>
      <c r="E88" s="736"/>
      <c r="F88" s="736"/>
      <c r="G88" s="736"/>
      <c r="H88" s="736"/>
      <c r="I88" s="58"/>
      <c r="J88" s="58"/>
      <c r="K88"/>
      <c r="L88"/>
      <c r="M88"/>
      <c r="N88"/>
      <c r="O88"/>
      <c r="P88"/>
      <c r="Q88"/>
      <c r="R88"/>
      <c r="S88"/>
      <c r="T88"/>
      <c r="U88"/>
      <c r="W88" s="112"/>
      <c r="X88" s="112"/>
      <c r="Y88" s="112"/>
      <c r="Z88" s="112"/>
      <c r="AA88" s="112"/>
      <c r="AB88" s="112"/>
      <c r="AC88" s="112"/>
      <c r="AD88" s="112"/>
      <c r="AE88" s="112"/>
      <c r="AF88" s="112"/>
      <c r="AG88" s="740"/>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row>
    <row r="89" spans="1:75" s="265" customFormat="1" ht="17.5">
      <c r="A89" s="795"/>
      <c r="B89" s="1126" t="s">
        <v>841</v>
      </c>
      <c r="C89" s="1127"/>
      <c r="D89" s="1127"/>
      <c r="E89" s="1127"/>
      <c r="F89" s="1127"/>
      <c r="G89" s="1127"/>
      <c r="H89" s="1127"/>
      <c r="I89" s="1127"/>
      <c r="J89" s="1127"/>
      <c r="K89" s="1127"/>
      <c r="L89" s="1127"/>
      <c r="M89" s="1128"/>
      <c r="N89"/>
      <c r="O89"/>
      <c r="P89"/>
      <c r="Q89"/>
      <c r="R89"/>
      <c r="S89"/>
      <c r="T89"/>
      <c r="U89"/>
      <c r="W89" s="112"/>
      <c r="X89" s="112"/>
      <c r="Y89" s="112"/>
      <c r="Z89" s="112"/>
      <c r="AA89" s="112"/>
      <c r="AB89" s="112"/>
      <c r="AC89" s="112"/>
      <c r="AD89" s="112"/>
      <c r="AE89" s="112"/>
      <c r="AF89" s="112"/>
      <c r="AG89" s="740"/>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row>
    <row r="90" spans="1:75" s="265" customFormat="1" ht="49.5" customHeight="1">
      <c r="A90" s="795"/>
      <c r="B90" s="938" t="s">
        <v>152</v>
      </c>
      <c r="C90" s="387" t="s">
        <v>842</v>
      </c>
      <c r="D90" s="388" t="s">
        <v>843</v>
      </c>
      <c r="E90" s="387" t="s">
        <v>844</v>
      </c>
      <c r="F90" s="389" t="s">
        <v>828</v>
      </c>
      <c r="G90" s="389" t="s">
        <v>845</v>
      </c>
      <c r="H90" s="387" t="s">
        <v>136</v>
      </c>
      <c r="I90" s="389" t="s">
        <v>137</v>
      </c>
      <c r="J90" s="387" t="s">
        <v>138</v>
      </c>
      <c r="K90" s="387" t="s">
        <v>219</v>
      </c>
      <c r="L90" s="930" t="s">
        <v>846</v>
      </c>
      <c r="M90" s="939" t="s">
        <v>847</v>
      </c>
      <c r="N90"/>
      <c r="O90"/>
      <c r="P90"/>
      <c r="Q90"/>
      <c r="R90"/>
      <c r="S90"/>
      <c r="T90"/>
      <c r="U90"/>
      <c r="W90" s="112"/>
      <c r="X90" s="112"/>
      <c r="Y90" s="112"/>
      <c r="Z90" s="112"/>
      <c r="AA90" s="112"/>
      <c r="AB90" s="112"/>
      <c r="AC90" s="112"/>
      <c r="AD90" s="112"/>
      <c r="AE90" s="112"/>
      <c r="AF90" s="112"/>
      <c r="AG90" s="74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row>
    <row r="91" spans="1:75" s="265" customFormat="1">
      <c r="A91" s="343" t="s">
        <v>101</v>
      </c>
      <c r="B91" s="742" t="str">
        <f>'Background Controls'!I5</f>
        <v>Residential</v>
      </c>
      <c r="C91" s="676">
        <f>C128</f>
        <v>0</v>
      </c>
      <c r="D91" s="676">
        <f>G128</f>
        <v>0</v>
      </c>
      <c r="E91" s="676">
        <f>D128</f>
        <v>0</v>
      </c>
      <c r="F91" s="676">
        <f>IF(B$148=$B91, K128+E$148, K128)</f>
        <v>0</v>
      </c>
      <c r="G91" s="676">
        <f>IF(B$149=$B91, F128+F$149, F128)</f>
        <v>0</v>
      </c>
      <c r="H91" s="676">
        <f t="shared" ref="H91:J110" si="14">H128</f>
        <v>0</v>
      </c>
      <c r="I91" s="676">
        <f t="shared" si="14"/>
        <v>0</v>
      </c>
      <c r="J91" s="676">
        <f t="shared" si="14"/>
        <v>0</v>
      </c>
      <c r="K91" s="676">
        <f>L128</f>
        <v>0</v>
      </c>
      <c r="L91" s="677">
        <f t="shared" ref="L91:L110" si="15">SUM(C91:I91,K91)</f>
        <v>0</v>
      </c>
      <c r="M91" s="743">
        <f t="shared" ref="M91:M110" si="16">SUM(C91:K91)</f>
        <v>0</v>
      </c>
      <c r="N91"/>
      <c r="O91"/>
      <c r="P91"/>
      <c r="Q91"/>
      <c r="R91"/>
      <c r="S91"/>
      <c r="T91"/>
      <c r="U91"/>
      <c r="W91" s="112"/>
      <c r="X91" s="112"/>
      <c r="Y91" s="112"/>
      <c r="Z91" s="112"/>
      <c r="AA91" s="112"/>
      <c r="AB91" s="112"/>
      <c r="AC91" s="112"/>
      <c r="AD91" s="112"/>
      <c r="AE91" s="112"/>
      <c r="AF91" s="112"/>
      <c r="AG91" s="740"/>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row>
    <row r="92" spans="1:75" s="265" customFormat="1">
      <c r="A92" s="795"/>
      <c r="B92" s="742" t="str">
        <f>'Background Controls'!I6</f>
        <v>Commercial/Institutional</v>
      </c>
      <c r="C92" s="676">
        <f t="shared" ref="C92:C110" si="17">C129</f>
        <v>0</v>
      </c>
      <c r="D92" s="676">
        <f t="shared" ref="D92:D110" si="18">G129</f>
        <v>0</v>
      </c>
      <c r="E92" s="676">
        <f t="shared" ref="E92:E110" si="19">D129</f>
        <v>0</v>
      </c>
      <c r="F92" s="676">
        <f t="shared" ref="F92:F110" si="20">IF(B$148=$B92, K129+E$148, K129)</f>
        <v>0</v>
      </c>
      <c r="G92" s="676">
        <f t="shared" ref="G92:G110" si="21">IF(B$149=$B92, F129+F$149, F129)</f>
        <v>0</v>
      </c>
      <c r="H92" s="676">
        <f t="shared" si="14"/>
        <v>0</v>
      </c>
      <c r="I92" s="676">
        <f t="shared" si="14"/>
        <v>0</v>
      </c>
      <c r="J92" s="676">
        <f t="shared" si="14"/>
        <v>0</v>
      </c>
      <c r="K92" s="676">
        <f t="shared" ref="K92:K110" si="22">L129</f>
        <v>0</v>
      </c>
      <c r="L92" s="677">
        <f t="shared" si="15"/>
        <v>0</v>
      </c>
      <c r="M92" s="743">
        <f t="shared" si="16"/>
        <v>0</v>
      </c>
      <c r="N92"/>
      <c r="O92"/>
      <c r="P92"/>
      <c r="Q92"/>
      <c r="R92"/>
      <c r="S92"/>
      <c r="T92"/>
      <c r="U92"/>
      <c r="W92" s="112"/>
      <c r="X92" s="112"/>
      <c r="Y92" s="112"/>
      <c r="Z92" s="112"/>
      <c r="AA92" s="112"/>
      <c r="AB92" s="112"/>
      <c r="AC92" s="112"/>
      <c r="AD92" s="112"/>
      <c r="AE92" s="112"/>
      <c r="AF92" s="112"/>
      <c r="AG92" s="740"/>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row>
    <row r="93" spans="1:75" s="265" customFormat="1">
      <c r="A93" s="795"/>
      <c r="B93" s="742" t="str">
        <f>'Background Controls'!I7</f>
        <v>Industrial</v>
      </c>
      <c r="C93" s="676">
        <f t="shared" si="17"/>
        <v>0</v>
      </c>
      <c r="D93" s="676">
        <f t="shared" si="18"/>
        <v>0</v>
      </c>
      <c r="E93" s="676">
        <f t="shared" si="19"/>
        <v>0</v>
      </c>
      <c r="F93" s="676">
        <f t="shared" si="20"/>
        <v>0</v>
      </c>
      <c r="G93" s="676">
        <f t="shared" si="21"/>
        <v>0</v>
      </c>
      <c r="H93" s="676">
        <f t="shared" si="14"/>
        <v>0</v>
      </c>
      <c r="I93" s="676">
        <f t="shared" si="14"/>
        <v>0</v>
      </c>
      <c r="J93" s="676">
        <f t="shared" si="14"/>
        <v>0</v>
      </c>
      <c r="K93" s="676">
        <f t="shared" si="22"/>
        <v>0</v>
      </c>
      <c r="L93" s="677">
        <f t="shared" si="15"/>
        <v>0</v>
      </c>
      <c r="M93" s="743">
        <f t="shared" si="16"/>
        <v>0</v>
      </c>
      <c r="N93"/>
      <c r="O93"/>
      <c r="P93"/>
      <c r="Q93"/>
      <c r="R93"/>
      <c r="S93"/>
      <c r="T93"/>
      <c r="U93"/>
      <c r="W93" s="112"/>
      <c r="X93" s="112"/>
      <c r="Y93" s="112"/>
      <c r="Z93" s="112"/>
      <c r="AA93" s="112"/>
      <c r="AB93" s="112"/>
      <c r="AC93" s="112"/>
      <c r="AD93" s="112"/>
      <c r="AE93" s="112"/>
      <c r="AF93" s="112"/>
      <c r="AG93" s="740"/>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row>
    <row r="94" spans="1:75" s="265" customFormat="1">
      <c r="A94" s="795"/>
      <c r="B94" s="742" t="str">
        <f>'Background Controls'!I8</f>
        <v>Energy Generation</v>
      </c>
      <c r="C94" s="676">
        <f t="shared" si="17"/>
        <v>0</v>
      </c>
      <c r="D94" s="676">
        <f t="shared" si="18"/>
        <v>0</v>
      </c>
      <c r="E94" s="676">
        <f t="shared" si="19"/>
        <v>0</v>
      </c>
      <c r="F94" s="676">
        <f t="shared" si="20"/>
        <v>0</v>
      </c>
      <c r="G94" s="676">
        <f t="shared" si="21"/>
        <v>0</v>
      </c>
      <c r="H94" s="676">
        <f t="shared" si="14"/>
        <v>0</v>
      </c>
      <c r="I94" s="676">
        <f t="shared" si="14"/>
        <v>0</v>
      </c>
      <c r="J94" s="676">
        <f t="shared" si="14"/>
        <v>0</v>
      </c>
      <c r="K94" s="676">
        <f t="shared" si="22"/>
        <v>0</v>
      </c>
      <c r="L94" s="677">
        <f t="shared" si="15"/>
        <v>0</v>
      </c>
      <c r="M94" s="743">
        <f t="shared" si="16"/>
        <v>0</v>
      </c>
      <c r="N94"/>
      <c r="O94"/>
      <c r="P94"/>
      <c r="Q94"/>
      <c r="R94"/>
      <c r="S94"/>
      <c r="T94"/>
      <c r="U94"/>
      <c r="W94" s="112"/>
      <c r="X94" s="112"/>
      <c r="Y94" s="112"/>
      <c r="Z94" s="112"/>
      <c r="AA94" s="112"/>
      <c r="AB94" s="112"/>
      <c r="AC94" s="112"/>
      <c r="AD94" s="112"/>
      <c r="AE94" s="112"/>
      <c r="AF94" s="112"/>
      <c r="AG94" s="740"/>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row>
    <row r="95" spans="1:75" s="265" customFormat="1" hidden="1">
      <c r="A95" s="795"/>
      <c r="B95" s="742">
        <f>'Background Controls'!I9</f>
        <v>0</v>
      </c>
      <c r="C95" s="676">
        <f t="shared" si="17"/>
        <v>0</v>
      </c>
      <c r="D95" s="676">
        <f t="shared" si="18"/>
        <v>0</v>
      </c>
      <c r="E95" s="676">
        <f t="shared" si="19"/>
        <v>0</v>
      </c>
      <c r="F95" s="676">
        <f t="shared" si="20"/>
        <v>0</v>
      </c>
      <c r="G95" s="676">
        <f t="shared" si="21"/>
        <v>0</v>
      </c>
      <c r="H95" s="676">
        <f t="shared" si="14"/>
        <v>0</v>
      </c>
      <c r="I95" s="676">
        <f t="shared" si="14"/>
        <v>0</v>
      </c>
      <c r="J95" s="676">
        <f t="shared" si="14"/>
        <v>0</v>
      </c>
      <c r="K95" s="676">
        <f t="shared" si="22"/>
        <v>0</v>
      </c>
      <c r="L95" s="677">
        <f t="shared" si="15"/>
        <v>0</v>
      </c>
      <c r="M95" s="743">
        <f t="shared" si="16"/>
        <v>0</v>
      </c>
      <c r="N95"/>
      <c r="O95"/>
      <c r="P95"/>
      <c r="Q95"/>
      <c r="R95"/>
      <c r="S95"/>
      <c r="T95"/>
      <c r="U95"/>
      <c r="W95" s="112"/>
      <c r="X95" s="112"/>
      <c r="Y95" s="112"/>
      <c r="Z95" s="112"/>
      <c r="AA95" s="112"/>
      <c r="AB95" s="112"/>
      <c r="AC95" s="112"/>
      <c r="AD95" s="112"/>
      <c r="AE95" s="112"/>
      <c r="AF95" s="112"/>
      <c r="AG95" s="740"/>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row>
    <row r="96" spans="1:75" s="265" customFormat="1" hidden="1">
      <c r="A96" s="795"/>
      <c r="B96" s="742">
        <f>'Background Controls'!I10</f>
        <v>0</v>
      </c>
      <c r="C96" s="676">
        <f t="shared" si="17"/>
        <v>0</v>
      </c>
      <c r="D96" s="676">
        <f t="shared" si="18"/>
        <v>0</v>
      </c>
      <c r="E96" s="676">
        <f t="shared" si="19"/>
        <v>0</v>
      </c>
      <c r="F96" s="676">
        <f t="shared" si="20"/>
        <v>0</v>
      </c>
      <c r="G96" s="676">
        <f t="shared" si="21"/>
        <v>0</v>
      </c>
      <c r="H96" s="676">
        <f t="shared" si="14"/>
        <v>0</v>
      </c>
      <c r="I96" s="676">
        <f t="shared" si="14"/>
        <v>0</v>
      </c>
      <c r="J96" s="676">
        <f t="shared" si="14"/>
        <v>0</v>
      </c>
      <c r="K96" s="676">
        <f t="shared" si="22"/>
        <v>0</v>
      </c>
      <c r="L96" s="677">
        <f t="shared" si="15"/>
        <v>0</v>
      </c>
      <c r="M96" s="743">
        <f t="shared" si="16"/>
        <v>0</v>
      </c>
      <c r="N96"/>
      <c r="O96"/>
      <c r="P96"/>
      <c r="Q96"/>
      <c r="R96"/>
      <c r="S96"/>
      <c r="T96"/>
      <c r="U96"/>
      <c r="W96" s="112"/>
      <c r="X96" s="112"/>
      <c r="Y96" s="112"/>
      <c r="Z96" s="112"/>
      <c r="AA96" s="112"/>
      <c r="AB96" s="112"/>
      <c r="AC96" s="112"/>
      <c r="AD96" s="112"/>
      <c r="AE96" s="112"/>
      <c r="AF96" s="112"/>
      <c r="AG96" s="740"/>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row>
    <row r="97" spans="1:75" s="265" customFormat="1" hidden="1">
      <c r="A97" s="795"/>
      <c r="B97" s="742">
        <f>'Background Controls'!I11</f>
        <v>0</v>
      </c>
      <c r="C97" s="676">
        <f t="shared" si="17"/>
        <v>0</v>
      </c>
      <c r="D97" s="676">
        <f t="shared" si="18"/>
        <v>0</v>
      </c>
      <c r="E97" s="676">
        <f t="shared" si="19"/>
        <v>0</v>
      </c>
      <c r="F97" s="676">
        <f t="shared" si="20"/>
        <v>0</v>
      </c>
      <c r="G97" s="676">
        <f t="shared" si="21"/>
        <v>0</v>
      </c>
      <c r="H97" s="676">
        <f t="shared" si="14"/>
        <v>0</v>
      </c>
      <c r="I97" s="676">
        <f t="shared" si="14"/>
        <v>0</v>
      </c>
      <c r="J97" s="676">
        <f t="shared" si="14"/>
        <v>0</v>
      </c>
      <c r="K97" s="676">
        <f t="shared" si="22"/>
        <v>0</v>
      </c>
      <c r="L97" s="677">
        <f t="shared" si="15"/>
        <v>0</v>
      </c>
      <c r="M97" s="743">
        <f t="shared" si="16"/>
        <v>0</v>
      </c>
      <c r="N97"/>
      <c r="O97"/>
      <c r="P97"/>
      <c r="Q97"/>
      <c r="R97"/>
      <c r="S97"/>
      <c r="T97"/>
      <c r="U97"/>
      <c r="W97" s="112"/>
      <c r="X97" s="112"/>
      <c r="Y97" s="112"/>
      <c r="Z97" s="112"/>
      <c r="AA97" s="112"/>
      <c r="AB97" s="112"/>
      <c r="AC97" s="112"/>
      <c r="AD97" s="112"/>
      <c r="AE97" s="112"/>
      <c r="AF97" s="112"/>
      <c r="AG97" s="740"/>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row>
    <row r="98" spans="1:75" s="265" customFormat="1" hidden="1">
      <c r="A98" s="795"/>
      <c r="B98" s="742">
        <f>'Background Controls'!I12</f>
        <v>0</v>
      </c>
      <c r="C98" s="676">
        <f t="shared" si="17"/>
        <v>0</v>
      </c>
      <c r="D98" s="676">
        <f t="shared" si="18"/>
        <v>0</v>
      </c>
      <c r="E98" s="676">
        <f t="shared" si="19"/>
        <v>0</v>
      </c>
      <c r="F98" s="676">
        <f t="shared" si="20"/>
        <v>0</v>
      </c>
      <c r="G98" s="676">
        <f t="shared" si="21"/>
        <v>0</v>
      </c>
      <c r="H98" s="676">
        <f t="shared" si="14"/>
        <v>0</v>
      </c>
      <c r="I98" s="676">
        <f t="shared" si="14"/>
        <v>0</v>
      </c>
      <c r="J98" s="676">
        <f t="shared" si="14"/>
        <v>0</v>
      </c>
      <c r="K98" s="676">
        <f t="shared" si="22"/>
        <v>0</v>
      </c>
      <c r="L98" s="677">
        <f t="shared" si="15"/>
        <v>0</v>
      </c>
      <c r="M98" s="743">
        <f t="shared" si="16"/>
        <v>0</v>
      </c>
      <c r="N98"/>
      <c r="O98"/>
      <c r="P98"/>
      <c r="Q98"/>
      <c r="R98"/>
      <c r="S98"/>
      <c r="T98"/>
      <c r="U98"/>
      <c r="W98" s="112"/>
      <c r="X98" s="112"/>
      <c r="Y98" s="112"/>
      <c r="Z98" s="112"/>
      <c r="AA98" s="112"/>
      <c r="AB98" s="112"/>
      <c r="AC98" s="112"/>
      <c r="AD98" s="112"/>
      <c r="AE98" s="112"/>
      <c r="AF98" s="112"/>
      <c r="AG98" s="740"/>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row>
    <row r="99" spans="1:75" s="265" customFormat="1" hidden="1">
      <c r="A99" s="795"/>
      <c r="B99" s="742">
        <f>'Background Controls'!I13</f>
        <v>0</v>
      </c>
      <c r="C99" s="676">
        <f t="shared" si="17"/>
        <v>0</v>
      </c>
      <c r="D99" s="676">
        <f t="shared" si="18"/>
        <v>0</v>
      </c>
      <c r="E99" s="676">
        <f t="shared" si="19"/>
        <v>0</v>
      </c>
      <c r="F99" s="676">
        <f t="shared" si="20"/>
        <v>0</v>
      </c>
      <c r="G99" s="676">
        <f t="shared" si="21"/>
        <v>0</v>
      </c>
      <c r="H99" s="676">
        <f t="shared" si="14"/>
        <v>0</v>
      </c>
      <c r="I99" s="676">
        <f t="shared" si="14"/>
        <v>0</v>
      </c>
      <c r="J99" s="676">
        <f t="shared" si="14"/>
        <v>0</v>
      </c>
      <c r="K99" s="676">
        <f t="shared" si="22"/>
        <v>0</v>
      </c>
      <c r="L99" s="677">
        <f t="shared" si="15"/>
        <v>0</v>
      </c>
      <c r="M99" s="743">
        <f t="shared" si="16"/>
        <v>0</v>
      </c>
      <c r="N99"/>
      <c r="O99"/>
      <c r="P99"/>
      <c r="Q99"/>
      <c r="R99"/>
      <c r="S99"/>
      <c r="T99"/>
      <c r="U99"/>
      <c r="W99" s="112"/>
      <c r="X99" s="112"/>
      <c r="Y99" s="112"/>
      <c r="Z99" s="112"/>
      <c r="AA99" s="112"/>
      <c r="AB99" s="112"/>
      <c r="AC99" s="112"/>
      <c r="AD99" s="112"/>
      <c r="AE99" s="112"/>
      <c r="AF99" s="112"/>
      <c r="AG99" s="740"/>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row>
    <row r="100" spans="1:75" s="265" customFormat="1" hidden="1">
      <c r="A100" s="795"/>
      <c r="B100" s="742">
        <f>'Background Controls'!I14</f>
        <v>0</v>
      </c>
      <c r="C100" s="676">
        <f t="shared" si="17"/>
        <v>0</v>
      </c>
      <c r="D100" s="676">
        <f t="shared" si="18"/>
        <v>0</v>
      </c>
      <c r="E100" s="676">
        <f t="shared" si="19"/>
        <v>0</v>
      </c>
      <c r="F100" s="676">
        <f t="shared" si="20"/>
        <v>0</v>
      </c>
      <c r="G100" s="676">
        <f t="shared" si="21"/>
        <v>0</v>
      </c>
      <c r="H100" s="676">
        <f t="shared" si="14"/>
        <v>0</v>
      </c>
      <c r="I100" s="676">
        <f t="shared" si="14"/>
        <v>0</v>
      </c>
      <c r="J100" s="676">
        <f t="shared" si="14"/>
        <v>0</v>
      </c>
      <c r="K100" s="676">
        <f t="shared" si="22"/>
        <v>0</v>
      </c>
      <c r="L100" s="677">
        <f t="shared" si="15"/>
        <v>0</v>
      </c>
      <c r="M100" s="743">
        <f t="shared" si="16"/>
        <v>0</v>
      </c>
      <c r="N100"/>
      <c r="O100"/>
      <c r="P100"/>
      <c r="Q100"/>
      <c r="R100"/>
      <c r="S100"/>
      <c r="T100"/>
      <c r="U100"/>
      <c r="W100" s="112"/>
      <c r="X100" s="112"/>
      <c r="Y100" s="112"/>
      <c r="Z100" s="112"/>
      <c r="AA100" s="112"/>
      <c r="AB100" s="112"/>
      <c r="AC100" s="112"/>
      <c r="AD100" s="112"/>
      <c r="AE100" s="112"/>
      <c r="AF100" s="112"/>
      <c r="AG100" s="74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row>
    <row r="101" spans="1:75" s="265" customFormat="1" hidden="1">
      <c r="A101" s="795"/>
      <c r="B101" s="742">
        <f>'Background Controls'!I15</f>
        <v>0</v>
      </c>
      <c r="C101" s="676">
        <f t="shared" si="17"/>
        <v>0</v>
      </c>
      <c r="D101" s="676">
        <f t="shared" si="18"/>
        <v>0</v>
      </c>
      <c r="E101" s="676">
        <f t="shared" si="19"/>
        <v>0</v>
      </c>
      <c r="F101" s="676">
        <f t="shared" si="20"/>
        <v>0</v>
      </c>
      <c r="G101" s="676">
        <f t="shared" si="21"/>
        <v>0</v>
      </c>
      <c r="H101" s="676">
        <f t="shared" si="14"/>
        <v>0</v>
      </c>
      <c r="I101" s="676">
        <f t="shared" si="14"/>
        <v>0</v>
      </c>
      <c r="J101" s="676">
        <f t="shared" si="14"/>
        <v>0</v>
      </c>
      <c r="K101" s="676">
        <f t="shared" si="22"/>
        <v>0</v>
      </c>
      <c r="L101" s="677">
        <f t="shared" si="15"/>
        <v>0</v>
      </c>
      <c r="M101" s="743">
        <f t="shared" si="16"/>
        <v>0</v>
      </c>
      <c r="N101"/>
      <c r="O101"/>
      <c r="P101"/>
      <c r="Q101"/>
      <c r="R101"/>
      <c r="S101"/>
      <c r="T101"/>
      <c r="U101"/>
      <c r="W101" s="112"/>
      <c r="X101" s="112"/>
      <c r="Y101" s="112"/>
      <c r="Z101" s="112"/>
      <c r="AA101" s="112"/>
      <c r="AB101" s="112"/>
      <c r="AC101" s="112"/>
      <c r="AD101" s="112"/>
      <c r="AE101" s="112"/>
      <c r="AF101" s="112"/>
      <c r="AG101" s="740"/>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row>
    <row r="102" spans="1:75" s="265" customFormat="1" hidden="1">
      <c r="A102" s="285"/>
      <c r="B102" s="742">
        <f>'Background Controls'!I16</f>
        <v>0</v>
      </c>
      <c r="C102" s="676">
        <f t="shared" si="17"/>
        <v>0</v>
      </c>
      <c r="D102" s="676">
        <f t="shared" si="18"/>
        <v>0</v>
      </c>
      <c r="E102" s="676">
        <f t="shared" si="19"/>
        <v>0</v>
      </c>
      <c r="F102" s="676">
        <f t="shared" si="20"/>
        <v>0</v>
      </c>
      <c r="G102" s="676">
        <f t="shared" si="21"/>
        <v>0</v>
      </c>
      <c r="H102" s="676">
        <f t="shared" si="14"/>
        <v>0</v>
      </c>
      <c r="I102" s="676">
        <f t="shared" si="14"/>
        <v>0</v>
      </c>
      <c r="J102" s="676">
        <f t="shared" si="14"/>
        <v>0</v>
      </c>
      <c r="K102" s="676">
        <f t="shared" si="22"/>
        <v>0</v>
      </c>
      <c r="L102" s="677">
        <f t="shared" si="15"/>
        <v>0</v>
      </c>
      <c r="M102" s="743">
        <f t="shared" si="16"/>
        <v>0</v>
      </c>
      <c r="N102"/>
      <c r="O102"/>
      <c r="P102"/>
      <c r="Q102"/>
      <c r="R102"/>
      <c r="S102"/>
      <c r="T102"/>
      <c r="U102"/>
      <c r="W102" s="112"/>
      <c r="X102" s="112"/>
      <c r="Y102" s="112"/>
      <c r="Z102" s="112"/>
      <c r="AA102" s="112"/>
      <c r="AB102" s="112"/>
      <c r="AC102" s="112"/>
      <c r="AD102" s="112"/>
      <c r="AE102" s="112"/>
      <c r="AF102" s="112"/>
      <c r="AG102" s="740"/>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row>
    <row r="103" spans="1:75" s="265" customFormat="1" hidden="1">
      <c r="A103" s="285"/>
      <c r="B103" s="742">
        <f>'Background Controls'!I17</f>
        <v>0</v>
      </c>
      <c r="C103" s="676">
        <f t="shared" si="17"/>
        <v>0</v>
      </c>
      <c r="D103" s="676">
        <f t="shared" si="18"/>
        <v>0</v>
      </c>
      <c r="E103" s="676">
        <f t="shared" si="19"/>
        <v>0</v>
      </c>
      <c r="F103" s="676">
        <f t="shared" si="20"/>
        <v>0</v>
      </c>
      <c r="G103" s="676">
        <f t="shared" si="21"/>
        <v>0</v>
      </c>
      <c r="H103" s="676">
        <f t="shared" si="14"/>
        <v>0</v>
      </c>
      <c r="I103" s="676">
        <f t="shared" si="14"/>
        <v>0</v>
      </c>
      <c r="J103" s="676">
        <f t="shared" si="14"/>
        <v>0</v>
      </c>
      <c r="K103" s="676">
        <f t="shared" si="22"/>
        <v>0</v>
      </c>
      <c r="L103" s="677">
        <f t="shared" si="15"/>
        <v>0</v>
      </c>
      <c r="M103" s="743">
        <f t="shared" si="16"/>
        <v>0</v>
      </c>
      <c r="N103"/>
      <c r="O103"/>
      <c r="P103"/>
      <c r="Q103"/>
      <c r="R103"/>
      <c r="S103"/>
      <c r="T103"/>
      <c r="U103"/>
      <c r="W103" s="112"/>
      <c r="X103" s="112"/>
      <c r="Y103" s="112"/>
      <c r="Z103" s="112"/>
      <c r="AA103" s="112"/>
      <c r="AB103" s="112"/>
      <c r="AC103" s="112"/>
      <c r="AD103" s="112"/>
      <c r="AE103" s="112"/>
      <c r="AF103" s="112"/>
      <c r="AG103" s="740"/>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row>
    <row r="104" spans="1:75" s="265" customFormat="1" hidden="1">
      <c r="A104" s="285"/>
      <c r="B104" s="742">
        <f>'Background Controls'!I18</f>
        <v>0</v>
      </c>
      <c r="C104" s="676">
        <f t="shared" si="17"/>
        <v>0</v>
      </c>
      <c r="D104" s="676">
        <f t="shared" si="18"/>
        <v>0</v>
      </c>
      <c r="E104" s="676">
        <f t="shared" si="19"/>
        <v>0</v>
      </c>
      <c r="F104" s="676">
        <f t="shared" si="20"/>
        <v>0</v>
      </c>
      <c r="G104" s="676">
        <f t="shared" si="21"/>
        <v>0</v>
      </c>
      <c r="H104" s="676">
        <f t="shared" si="14"/>
        <v>0</v>
      </c>
      <c r="I104" s="676">
        <f t="shared" si="14"/>
        <v>0</v>
      </c>
      <c r="J104" s="676">
        <f t="shared" si="14"/>
        <v>0</v>
      </c>
      <c r="K104" s="676">
        <f t="shared" si="22"/>
        <v>0</v>
      </c>
      <c r="L104" s="677">
        <f t="shared" si="15"/>
        <v>0</v>
      </c>
      <c r="M104" s="743">
        <f t="shared" si="16"/>
        <v>0</v>
      </c>
      <c r="N104"/>
      <c r="O104"/>
      <c r="P104"/>
      <c r="Q104"/>
      <c r="R104"/>
      <c r="S104"/>
      <c r="T104"/>
      <c r="U104"/>
      <c r="W104" s="112"/>
      <c r="X104" s="112"/>
      <c r="Y104" s="112"/>
      <c r="Z104" s="112"/>
      <c r="AA104" s="112"/>
      <c r="AB104" s="112"/>
      <c r="AC104" s="112"/>
      <c r="AD104" s="112"/>
      <c r="AE104" s="112"/>
      <c r="AF104" s="112"/>
      <c r="AG104" s="740"/>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row>
    <row r="105" spans="1:75" s="265" customFormat="1" hidden="1">
      <c r="A105" s="285"/>
      <c r="B105" s="742">
        <f>'Background Controls'!I19</f>
        <v>0</v>
      </c>
      <c r="C105" s="676">
        <f t="shared" si="17"/>
        <v>0</v>
      </c>
      <c r="D105" s="676">
        <f t="shared" si="18"/>
        <v>0</v>
      </c>
      <c r="E105" s="676">
        <f t="shared" si="19"/>
        <v>0</v>
      </c>
      <c r="F105" s="676">
        <f t="shared" si="20"/>
        <v>0</v>
      </c>
      <c r="G105" s="676">
        <f t="shared" si="21"/>
        <v>0</v>
      </c>
      <c r="H105" s="676">
        <f t="shared" si="14"/>
        <v>0</v>
      </c>
      <c r="I105" s="676">
        <f t="shared" si="14"/>
        <v>0</v>
      </c>
      <c r="J105" s="676">
        <f t="shared" si="14"/>
        <v>0</v>
      </c>
      <c r="K105" s="676">
        <f t="shared" si="22"/>
        <v>0</v>
      </c>
      <c r="L105" s="677">
        <f t="shared" si="15"/>
        <v>0</v>
      </c>
      <c r="M105" s="743">
        <f t="shared" si="16"/>
        <v>0</v>
      </c>
      <c r="N105"/>
      <c r="O105"/>
      <c r="P105"/>
      <c r="Q105"/>
      <c r="R105"/>
      <c r="S105"/>
      <c r="T105"/>
      <c r="U105"/>
      <c r="W105" s="112"/>
      <c r="X105" s="112"/>
      <c r="Y105" s="112"/>
      <c r="Z105" s="112"/>
      <c r="AA105" s="112"/>
      <c r="AB105" s="112"/>
      <c r="AC105" s="112"/>
      <c r="AD105" s="112"/>
      <c r="AE105" s="112"/>
      <c r="AF105" s="112"/>
      <c r="AG105" s="740"/>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row>
    <row r="106" spans="1:75" s="265" customFormat="1" hidden="1">
      <c r="A106" s="285"/>
      <c r="B106" s="742">
        <f>'Background Controls'!I20</f>
        <v>0</v>
      </c>
      <c r="C106" s="676">
        <f t="shared" si="17"/>
        <v>0</v>
      </c>
      <c r="D106" s="676">
        <f t="shared" si="18"/>
        <v>0</v>
      </c>
      <c r="E106" s="676">
        <f t="shared" si="19"/>
        <v>0</v>
      </c>
      <c r="F106" s="676">
        <f t="shared" si="20"/>
        <v>0</v>
      </c>
      <c r="G106" s="676">
        <f t="shared" si="21"/>
        <v>0</v>
      </c>
      <c r="H106" s="676">
        <f t="shared" si="14"/>
        <v>0</v>
      </c>
      <c r="I106" s="676">
        <f t="shared" si="14"/>
        <v>0</v>
      </c>
      <c r="J106" s="676">
        <f t="shared" si="14"/>
        <v>0</v>
      </c>
      <c r="K106" s="676">
        <f t="shared" si="22"/>
        <v>0</v>
      </c>
      <c r="L106" s="677">
        <f t="shared" si="15"/>
        <v>0</v>
      </c>
      <c r="M106" s="743">
        <f t="shared" si="16"/>
        <v>0</v>
      </c>
      <c r="N106"/>
      <c r="O106"/>
      <c r="P106"/>
      <c r="Q106"/>
      <c r="R106"/>
      <c r="S106"/>
      <c r="T106"/>
      <c r="U106"/>
      <c r="W106" s="112"/>
      <c r="X106" s="112"/>
      <c r="Y106" s="112"/>
      <c r="Z106" s="112"/>
      <c r="AA106" s="112"/>
      <c r="AB106" s="112"/>
      <c r="AC106" s="112"/>
      <c r="AD106" s="112"/>
      <c r="AE106" s="112"/>
      <c r="AF106" s="112"/>
      <c r="AG106" s="740"/>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row>
    <row r="107" spans="1:75" s="265" customFormat="1" hidden="1">
      <c r="A107" s="285"/>
      <c r="B107" s="742">
        <f>'Background Controls'!I21</f>
        <v>0</v>
      </c>
      <c r="C107" s="676">
        <f t="shared" si="17"/>
        <v>0</v>
      </c>
      <c r="D107" s="676">
        <f t="shared" si="18"/>
        <v>0</v>
      </c>
      <c r="E107" s="676">
        <f t="shared" si="19"/>
        <v>0</v>
      </c>
      <c r="F107" s="676">
        <f t="shared" si="20"/>
        <v>0</v>
      </c>
      <c r="G107" s="676">
        <f t="shared" si="21"/>
        <v>0</v>
      </c>
      <c r="H107" s="676">
        <f t="shared" si="14"/>
        <v>0</v>
      </c>
      <c r="I107" s="676">
        <f t="shared" si="14"/>
        <v>0</v>
      </c>
      <c r="J107" s="676">
        <f t="shared" si="14"/>
        <v>0</v>
      </c>
      <c r="K107" s="676">
        <f t="shared" si="22"/>
        <v>0</v>
      </c>
      <c r="L107" s="677">
        <f t="shared" si="15"/>
        <v>0</v>
      </c>
      <c r="M107" s="743">
        <f t="shared" si="16"/>
        <v>0</v>
      </c>
      <c r="N107"/>
      <c r="O107"/>
      <c r="P107"/>
      <c r="Q107"/>
      <c r="R107"/>
      <c r="S107"/>
      <c r="T107"/>
      <c r="U107"/>
      <c r="W107" s="112"/>
      <c r="X107" s="112"/>
      <c r="Y107" s="112"/>
      <c r="Z107" s="112"/>
      <c r="AA107" s="112"/>
      <c r="AB107" s="112"/>
      <c r="AC107" s="112"/>
      <c r="AD107" s="112"/>
      <c r="AE107" s="112"/>
      <c r="AF107" s="112"/>
      <c r="AG107" s="740"/>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row>
    <row r="108" spans="1:75" s="265" customFormat="1" hidden="1">
      <c r="A108" s="285"/>
      <c r="B108" s="742">
        <f>'Background Controls'!I22</f>
        <v>0</v>
      </c>
      <c r="C108" s="676">
        <f t="shared" si="17"/>
        <v>0</v>
      </c>
      <c r="D108" s="676">
        <f t="shared" si="18"/>
        <v>0</v>
      </c>
      <c r="E108" s="676">
        <f t="shared" si="19"/>
        <v>0</v>
      </c>
      <c r="F108" s="676">
        <f t="shared" si="20"/>
        <v>0</v>
      </c>
      <c r="G108" s="676">
        <f t="shared" si="21"/>
        <v>0</v>
      </c>
      <c r="H108" s="676">
        <f t="shared" si="14"/>
        <v>0</v>
      </c>
      <c r="I108" s="676">
        <f t="shared" si="14"/>
        <v>0</v>
      </c>
      <c r="J108" s="676">
        <f t="shared" si="14"/>
        <v>0</v>
      </c>
      <c r="K108" s="676">
        <f t="shared" si="22"/>
        <v>0</v>
      </c>
      <c r="L108" s="677">
        <f t="shared" si="15"/>
        <v>0</v>
      </c>
      <c r="M108" s="743">
        <f t="shared" si="16"/>
        <v>0</v>
      </c>
      <c r="N108"/>
      <c r="O108"/>
      <c r="P108"/>
      <c r="Q108"/>
      <c r="R108"/>
      <c r="S108"/>
      <c r="T108"/>
      <c r="U108"/>
      <c r="W108" s="112"/>
      <c r="X108" s="112"/>
      <c r="Y108" s="112"/>
      <c r="Z108" s="112"/>
      <c r="AA108" s="112"/>
      <c r="AB108" s="112"/>
      <c r="AC108" s="112"/>
      <c r="AD108" s="112"/>
      <c r="AE108" s="112"/>
      <c r="AF108" s="112"/>
      <c r="AG108" s="740"/>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row>
    <row r="109" spans="1:75" s="265" customFormat="1" hidden="1">
      <c r="A109" s="285"/>
      <c r="B109" s="742">
        <f>'Background Controls'!I23</f>
        <v>0</v>
      </c>
      <c r="C109" s="676">
        <f t="shared" si="17"/>
        <v>0</v>
      </c>
      <c r="D109" s="676">
        <f t="shared" si="18"/>
        <v>0</v>
      </c>
      <c r="E109" s="676">
        <f t="shared" si="19"/>
        <v>0</v>
      </c>
      <c r="F109" s="676">
        <f t="shared" si="20"/>
        <v>0</v>
      </c>
      <c r="G109" s="676">
        <f t="shared" si="21"/>
        <v>0</v>
      </c>
      <c r="H109" s="676">
        <f t="shared" si="14"/>
        <v>0</v>
      </c>
      <c r="I109" s="676">
        <f t="shared" si="14"/>
        <v>0</v>
      </c>
      <c r="J109" s="676">
        <f t="shared" si="14"/>
        <v>0</v>
      </c>
      <c r="K109" s="676">
        <f t="shared" si="22"/>
        <v>0</v>
      </c>
      <c r="L109" s="677">
        <f t="shared" si="15"/>
        <v>0</v>
      </c>
      <c r="M109" s="743">
        <f t="shared" si="16"/>
        <v>0</v>
      </c>
      <c r="N109"/>
      <c r="O109"/>
      <c r="P109"/>
      <c r="Q109"/>
      <c r="R109"/>
      <c r="S109"/>
      <c r="T109"/>
      <c r="U109"/>
      <c r="W109" s="112"/>
      <c r="X109" s="112"/>
      <c r="Y109" s="112"/>
      <c r="Z109" s="112"/>
      <c r="AA109" s="112"/>
      <c r="AB109" s="112"/>
      <c r="AC109" s="112"/>
      <c r="AD109" s="112"/>
      <c r="AE109" s="112"/>
      <c r="AF109" s="112"/>
      <c r="AG109" s="740"/>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row>
    <row r="110" spans="1:75" s="265" customFormat="1" hidden="1">
      <c r="A110" s="285"/>
      <c r="B110" s="742">
        <f>'Background Controls'!I24</f>
        <v>0</v>
      </c>
      <c r="C110" s="676">
        <f t="shared" si="17"/>
        <v>0</v>
      </c>
      <c r="D110" s="676">
        <f t="shared" si="18"/>
        <v>0</v>
      </c>
      <c r="E110" s="676">
        <f t="shared" si="19"/>
        <v>0</v>
      </c>
      <c r="F110" s="676">
        <f t="shared" si="20"/>
        <v>0</v>
      </c>
      <c r="G110" s="676">
        <f t="shared" si="21"/>
        <v>0</v>
      </c>
      <c r="H110" s="676">
        <f t="shared" si="14"/>
        <v>0</v>
      </c>
      <c r="I110" s="676">
        <f t="shared" si="14"/>
        <v>0</v>
      </c>
      <c r="J110" s="676">
        <f t="shared" si="14"/>
        <v>0</v>
      </c>
      <c r="K110" s="676">
        <f t="shared" si="22"/>
        <v>0</v>
      </c>
      <c r="L110" s="677">
        <f t="shared" si="15"/>
        <v>0</v>
      </c>
      <c r="M110" s="743">
        <f t="shared" si="16"/>
        <v>0</v>
      </c>
      <c r="N110"/>
      <c r="O110"/>
      <c r="P110"/>
      <c r="Q110"/>
      <c r="R110"/>
      <c r="S110"/>
      <c r="T110"/>
      <c r="U110"/>
      <c r="W110" s="112"/>
      <c r="X110" s="112"/>
      <c r="Y110" s="112"/>
      <c r="Z110" s="112"/>
      <c r="AA110" s="112"/>
      <c r="AB110" s="112"/>
      <c r="AC110" s="112"/>
      <c r="AD110" s="112"/>
      <c r="AE110" s="112"/>
      <c r="AF110" s="112"/>
      <c r="AG110" s="74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row>
    <row r="111" spans="1:75" s="265" customFormat="1" ht="19.5" customHeight="1" thickBot="1">
      <c r="A111" s="285"/>
      <c r="B111" s="744" t="s">
        <v>253</v>
      </c>
      <c r="C111" s="940">
        <f>SUM(C91:C110)</f>
        <v>0</v>
      </c>
      <c r="D111" s="940">
        <f t="shared" ref="D111:K111" si="23">SUM(D91:D110)</f>
        <v>0</v>
      </c>
      <c r="E111" s="940">
        <f t="shared" si="23"/>
        <v>0</v>
      </c>
      <c r="F111" s="940">
        <f t="shared" si="23"/>
        <v>0</v>
      </c>
      <c r="G111" s="940">
        <f t="shared" si="23"/>
        <v>0</v>
      </c>
      <c r="H111" s="940">
        <f t="shared" si="23"/>
        <v>0</v>
      </c>
      <c r="I111" s="940">
        <f t="shared" si="23"/>
        <v>0</v>
      </c>
      <c r="J111" s="940">
        <f t="shared" si="23"/>
        <v>0</v>
      </c>
      <c r="K111" s="940">
        <f t="shared" si="23"/>
        <v>0</v>
      </c>
      <c r="L111" s="804">
        <f>SUM(L91:L110)</f>
        <v>0</v>
      </c>
      <c r="M111" s="805">
        <f>SUM(M91:M110)</f>
        <v>0</v>
      </c>
      <c r="N111"/>
      <c r="O111"/>
      <c r="P111"/>
      <c r="Q111"/>
      <c r="R111"/>
      <c r="S111"/>
      <c r="T111"/>
      <c r="U111"/>
      <c r="W111" s="112"/>
      <c r="X111" s="112"/>
      <c r="Y111" s="112"/>
      <c r="Z111" s="112"/>
      <c r="AA111" s="112"/>
      <c r="AB111" s="112"/>
      <c r="AC111" s="112"/>
      <c r="AD111" s="112"/>
      <c r="AE111" s="112"/>
      <c r="AF111" s="112"/>
      <c r="AG111" s="740"/>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row>
    <row r="112" spans="1:75">
      <c r="W112" s="112"/>
      <c r="X112" s="112"/>
      <c r="Y112" s="112"/>
      <c r="Z112" s="112"/>
      <c r="AA112" s="112"/>
      <c r="AB112" s="112"/>
      <c r="AC112" s="112"/>
      <c r="AD112" s="112"/>
      <c r="AE112" s="112"/>
      <c r="AF112" s="112"/>
    </row>
    <row r="113" spans="1:32">
      <c r="W113" s="112"/>
      <c r="X113" s="112"/>
      <c r="Y113" s="112"/>
      <c r="Z113" s="112"/>
      <c r="AA113" s="112"/>
      <c r="AB113" s="112"/>
      <c r="AC113" s="112"/>
      <c r="AD113" s="112"/>
      <c r="AE113" s="112"/>
      <c r="AF113" s="112"/>
    </row>
    <row r="114" spans="1:32">
      <c r="W114" s="112"/>
      <c r="X114" s="112"/>
      <c r="Y114" s="112"/>
      <c r="Z114" s="112"/>
      <c r="AA114" s="112"/>
      <c r="AB114" s="112"/>
      <c r="AC114" s="112"/>
      <c r="AD114" s="112"/>
      <c r="AE114" s="112"/>
      <c r="AF114" s="112"/>
    </row>
    <row r="115" spans="1:32" ht="65.150000000000006" customHeight="1">
      <c r="A115" s="1073" t="s">
        <v>1</v>
      </c>
      <c r="B115" s="1073"/>
      <c r="C115" s="1073"/>
      <c r="D115" s="1073"/>
      <c r="E115" s="1073"/>
      <c r="F115" s="1073"/>
      <c r="G115" s="1073"/>
      <c r="H115" s="1073"/>
      <c r="I115" s="1073"/>
      <c r="J115" s="1073"/>
      <c r="K115" s="1073"/>
      <c r="L115" s="1073"/>
      <c r="M115" s="1073"/>
      <c r="N115" s="1073"/>
      <c r="O115" s="1073"/>
      <c r="P115" s="1073"/>
      <c r="Q115" s="1073"/>
      <c r="R115" s="1073"/>
      <c r="S115" s="1073"/>
      <c r="T115" s="1073"/>
      <c r="U115" s="1087"/>
      <c r="W115" s="112"/>
      <c r="X115" s="112"/>
      <c r="Y115" s="112"/>
      <c r="Z115" s="112"/>
      <c r="AA115" s="112"/>
      <c r="AB115" s="112"/>
      <c r="AC115" s="112"/>
      <c r="AD115" s="112"/>
      <c r="AE115" s="112"/>
      <c r="AF115" s="112"/>
    </row>
    <row r="116" spans="1:32">
      <c r="B116" s="71"/>
      <c r="C116" s="71"/>
      <c r="D116" s="71"/>
      <c r="E116" s="71"/>
      <c r="F116" s="71"/>
      <c r="G116" s="71"/>
      <c r="H116" s="71"/>
      <c r="I116" s="71"/>
      <c r="J116" s="71"/>
      <c r="K116" s="71"/>
      <c r="L116" s="71"/>
      <c r="M116" s="71"/>
      <c r="N116" s="71"/>
      <c r="O116" s="71"/>
      <c r="P116" s="71"/>
      <c r="Q116" s="71"/>
      <c r="R116" s="71"/>
      <c r="S116" s="71"/>
      <c r="T116" s="71"/>
    </row>
    <row r="117" spans="1:32">
      <c r="B117" s="71"/>
      <c r="C117" s="71"/>
      <c r="D117" s="71"/>
      <c r="E117" s="71"/>
      <c r="F117" s="71"/>
      <c r="G117" s="71"/>
      <c r="H117" s="71"/>
      <c r="I117" s="71"/>
      <c r="J117" s="71"/>
      <c r="K117" s="71"/>
      <c r="L117" s="71"/>
      <c r="M117" s="71"/>
      <c r="N117" s="71"/>
      <c r="O117" s="71"/>
      <c r="P117" s="71"/>
      <c r="Q117" s="71"/>
      <c r="R117" s="71"/>
      <c r="S117" s="71"/>
      <c r="T117" s="71"/>
    </row>
    <row r="118" spans="1:32">
      <c r="B118" s="71"/>
      <c r="C118" s="71"/>
      <c r="D118" s="71"/>
      <c r="E118" s="71"/>
      <c r="F118" s="71"/>
      <c r="G118" s="71"/>
      <c r="H118" s="71"/>
      <c r="I118" s="71"/>
      <c r="J118" s="71"/>
      <c r="K118" s="71"/>
      <c r="L118" s="71"/>
      <c r="M118" s="71"/>
      <c r="N118" s="71"/>
      <c r="O118" s="71"/>
      <c r="P118" s="71"/>
      <c r="Q118" s="71"/>
      <c r="R118" s="71"/>
      <c r="S118" s="71"/>
      <c r="T118" s="71"/>
    </row>
    <row r="119" spans="1:32">
      <c r="B119" s="71"/>
      <c r="C119" s="71"/>
      <c r="D119" s="71"/>
      <c r="E119" s="71"/>
      <c r="F119" s="71"/>
      <c r="G119" s="71"/>
      <c r="H119" s="71"/>
      <c r="I119" s="71"/>
      <c r="J119" s="71"/>
      <c r="K119" s="71"/>
      <c r="L119" s="71"/>
      <c r="M119" s="71"/>
      <c r="N119" s="71"/>
      <c r="O119" s="71"/>
      <c r="P119" s="71"/>
      <c r="Q119" s="71"/>
      <c r="R119" s="71"/>
      <c r="S119" s="71"/>
      <c r="T119" s="71"/>
    </row>
    <row r="120" spans="1:32">
      <c r="B120" s="71"/>
      <c r="C120" s="71"/>
      <c r="D120" s="71"/>
      <c r="E120" s="71"/>
      <c r="F120" s="71"/>
      <c r="G120" s="71"/>
      <c r="H120" s="71"/>
      <c r="I120" s="71"/>
      <c r="J120" s="71"/>
      <c r="K120" s="71"/>
      <c r="L120" s="71"/>
      <c r="M120" s="71"/>
      <c r="N120" s="71"/>
      <c r="O120" s="71"/>
      <c r="P120" s="71"/>
      <c r="Q120" s="71"/>
      <c r="R120" s="71"/>
      <c r="S120" s="71"/>
      <c r="T120" s="71"/>
    </row>
    <row r="121" spans="1:32">
      <c r="B121" s="71"/>
      <c r="C121" s="71"/>
      <c r="D121" s="71"/>
      <c r="E121" s="71"/>
      <c r="F121" s="71"/>
      <c r="G121" s="71"/>
      <c r="H121" s="71"/>
      <c r="I121" s="71"/>
      <c r="J121" s="71"/>
      <c r="K121" s="71"/>
      <c r="L121" s="71"/>
      <c r="M121" s="71"/>
      <c r="N121" s="71"/>
      <c r="O121" s="71"/>
      <c r="P121" s="71"/>
      <c r="Q121" s="71"/>
      <c r="R121" s="71"/>
      <c r="S121" s="71"/>
      <c r="T121" s="71"/>
    </row>
    <row r="122" spans="1:32">
      <c r="B122" s="71"/>
      <c r="C122" s="71"/>
      <c r="D122" s="71"/>
      <c r="E122" s="71"/>
      <c r="F122" s="71"/>
      <c r="G122" s="71"/>
      <c r="H122" s="71"/>
      <c r="I122" s="71"/>
      <c r="J122" s="71"/>
      <c r="K122" s="71"/>
      <c r="L122" s="71"/>
      <c r="M122" s="71"/>
      <c r="N122" s="71"/>
      <c r="O122" s="71"/>
      <c r="P122" s="71"/>
      <c r="Q122" s="71"/>
      <c r="R122" s="71"/>
      <c r="S122" s="71"/>
      <c r="T122" s="71"/>
    </row>
    <row r="123" spans="1:32">
      <c r="B123" s="71"/>
      <c r="C123" s="71"/>
      <c r="D123" s="71"/>
      <c r="E123" s="71"/>
      <c r="F123" s="71"/>
      <c r="G123" s="71"/>
      <c r="H123" s="71"/>
      <c r="I123" s="71"/>
      <c r="J123" s="71"/>
      <c r="K123" s="71"/>
      <c r="L123" s="71"/>
      <c r="M123" s="71"/>
      <c r="N123" s="71"/>
      <c r="O123" s="71"/>
      <c r="P123" s="71"/>
      <c r="Q123" s="71"/>
      <c r="R123" s="71"/>
      <c r="S123" s="71"/>
      <c r="T123" s="71"/>
    </row>
    <row r="124" spans="1:32">
      <c r="B124" s="71"/>
      <c r="C124" s="71"/>
      <c r="D124" s="71"/>
      <c r="E124" s="71"/>
      <c r="F124" s="71"/>
      <c r="G124" s="71"/>
      <c r="H124" s="71"/>
      <c r="I124" s="71"/>
      <c r="J124" s="71"/>
      <c r="K124" s="71"/>
      <c r="L124" s="71"/>
      <c r="M124" s="71"/>
      <c r="N124" s="71"/>
      <c r="O124" s="71"/>
      <c r="P124" s="71"/>
      <c r="Q124" s="71"/>
      <c r="R124" s="71"/>
      <c r="S124" s="71"/>
      <c r="T124" s="71"/>
    </row>
    <row r="125" spans="1:32" s="112" customFormat="1">
      <c r="A125" s="284"/>
      <c r="T125" s="71"/>
      <c r="V125" s="284"/>
      <c r="X125" s="793"/>
      <c r="Y125" s="793"/>
    </row>
    <row r="126" spans="1:32" s="112" customFormat="1">
      <c r="B126" s="112" t="s">
        <v>848</v>
      </c>
      <c r="T126" s="71"/>
      <c r="V126" s="284"/>
      <c r="X126" s="793"/>
      <c r="Y126" s="793"/>
    </row>
    <row r="127" spans="1:32" s="112" customFormat="1" ht="43.5">
      <c r="C127" s="711" t="s">
        <v>842</v>
      </c>
      <c r="D127" s="711" t="s">
        <v>844</v>
      </c>
      <c r="E127" s="711" t="s">
        <v>828</v>
      </c>
      <c r="F127" s="711" t="s">
        <v>849</v>
      </c>
      <c r="G127" s="711" t="s">
        <v>843</v>
      </c>
      <c r="H127" s="711" t="s">
        <v>136</v>
      </c>
      <c r="I127" s="711" t="s">
        <v>835</v>
      </c>
      <c r="J127" s="711" t="s">
        <v>138</v>
      </c>
      <c r="K127" s="711" t="s">
        <v>139</v>
      </c>
      <c r="L127" s="711" t="s">
        <v>219</v>
      </c>
      <c r="M127" s="712" t="s">
        <v>850</v>
      </c>
      <c r="N127" s="712" t="s">
        <v>851</v>
      </c>
      <c r="O127" s="712"/>
      <c r="T127" s="71"/>
      <c r="V127" s="284"/>
      <c r="X127" s="793"/>
      <c r="Y127" s="793"/>
    </row>
    <row r="128" spans="1:32" s="112" customFormat="1">
      <c r="A128" s="112" t="s">
        <v>101</v>
      </c>
      <c r="B128" s="112" t="str">
        <f>'Background Controls'!I5</f>
        <v>Residential</v>
      </c>
      <c r="C128" s="112">
        <f>'Stationary-Calcs'!F23</f>
        <v>0</v>
      </c>
      <c r="D128" s="112">
        <f>'Mobile-Summary'!F7</f>
        <v>0</v>
      </c>
      <c r="G128" s="761">
        <f>IF(M$2="Location Based",'Electricity LocationBased-Calcs'!F20,'Electricity MarketBased-Calcs'!F20)</f>
        <v>0</v>
      </c>
      <c r="H128" s="112">
        <f>Water!F53</f>
        <v>0</v>
      </c>
      <c r="I128" s="112">
        <f>'Agriculture &amp; Land Management'!F36</f>
        <v>0</v>
      </c>
      <c r="J128" s="112">
        <f>-'Urban Forestry'!D37</f>
        <v>0</v>
      </c>
      <c r="K128" s="112">
        <f>'Waste Production'!D17</f>
        <v>0</v>
      </c>
      <c r="L128" s="112">
        <f>SUMIF('Additional Emission Sources'!$C$16:$C$25,B128, 'Additional Emission Sources'!$K$16:$K$25)</f>
        <v>0</v>
      </c>
      <c r="M128" s="761">
        <f t="shared" ref="M128:M147" si="24">SUM(C128:I128,K128:L128)</f>
        <v>0</v>
      </c>
      <c r="N128" s="761">
        <f t="shared" ref="N128:N146" si="25">SUM(C128:L128)</f>
        <v>0</v>
      </c>
      <c r="O128" s="761"/>
      <c r="T128" s="71"/>
      <c r="V128" s="284"/>
      <c r="X128" s="793"/>
      <c r="Y128" s="793"/>
    </row>
    <row r="129" spans="2:25" s="112" customFormat="1">
      <c r="B129" s="112" t="str">
        <f>'Background Controls'!I6</f>
        <v>Commercial/Institutional</v>
      </c>
      <c r="C129" s="112">
        <f>'Stationary-Calcs'!F24</f>
        <v>0</v>
      </c>
      <c r="D129" s="112">
        <f>'Mobile-Summary'!F8</f>
        <v>0</v>
      </c>
      <c r="G129" s="761">
        <f>IF(M$2="Location Based",'Electricity LocationBased-Calcs'!F21,'Electricity MarketBased-Calcs'!F21)</f>
        <v>0</v>
      </c>
      <c r="H129" s="112">
        <f>Water!F54</f>
        <v>0</v>
      </c>
      <c r="I129" s="112">
        <f>'Agriculture &amp; Land Management'!F37</f>
        <v>0</v>
      </c>
      <c r="J129" s="112">
        <f>-'Urban Forestry'!D38</f>
        <v>0</v>
      </c>
      <c r="K129" s="112">
        <f>'Waste Production'!D18</f>
        <v>0</v>
      </c>
      <c r="L129" s="112">
        <f>SUMIF('Additional Emission Sources'!$C$16:$C$25,B129, 'Additional Emission Sources'!$K$16:$K$25)</f>
        <v>0</v>
      </c>
      <c r="M129" s="761">
        <f t="shared" si="24"/>
        <v>0</v>
      </c>
      <c r="N129" s="761">
        <f t="shared" si="25"/>
        <v>0</v>
      </c>
      <c r="O129" s="761"/>
      <c r="T129" s="71"/>
      <c r="V129" s="284"/>
      <c r="X129" s="793"/>
      <c r="Y129" s="793"/>
    </row>
    <row r="130" spans="2:25" s="112" customFormat="1">
      <c r="B130" s="112" t="str">
        <f>'Background Controls'!I7</f>
        <v>Industrial</v>
      </c>
      <c r="C130" s="112">
        <f>'Stationary-Calcs'!F25</f>
        <v>0</v>
      </c>
      <c r="D130" s="112">
        <f>'Mobile-Summary'!F9</f>
        <v>0</v>
      </c>
      <c r="G130" s="761">
        <f>IF(M$2="Location Based",'Electricity LocationBased-Calcs'!F22,'Electricity MarketBased-Calcs'!F22)</f>
        <v>0</v>
      </c>
      <c r="H130" s="112">
        <f>Water!F55</f>
        <v>0</v>
      </c>
      <c r="I130" s="112">
        <f>'Agriculture &amp; Land Management'!F38</f>
        <v>0</v>
      </c>
      <c r="J130" s="112">
        <f>-'Urban Forestry'!D39</f>
        <v>0</v>
      </c>
      <c r="K130" s="112">
        <f>'Waste Production'!D19</f>
        <v>0</v>
      </c>
      <c r="L130" s="112">
        <f>SUMIF('Additional Emission Sources'!$C$16:$C$25,B130, 'Additional Emission Sources'!$K$16:$K$25)</f>
        <v>0</v>
      </c>
      <c r="M130" s="761">
        <f t="shared" si="24"/>
        <v>0</v>
      </c>
      <c r="N130" s="761">
        <f t="shared" si="25"/>
        <v>0</v>
      </c>
      <c r="O130" s="761"/>
      <c r="T130" s="71"/>
      <c r="V130" s="284"/>
      <c r="X130" s="793"/>
      <c r="Y130" s="793"/>
    </row>
    <row r="131" spans="2:25" s="112" customFormat="1">
      <c r="B131" s="112" t="str">
        <f>'Background Controls'!I8</f>
        <v>Energy Generation</v>
      </c>
      <c r="C131" s="112">
        <f>'Stationary-Calcs'!F26</f>
        <v>0</v>
      </c>
      <c r="D131" s="112">
        <f>'Mobile-Summary'!F10</f>
        <v>0</v>
      </c>
      <c r="G131" s="761">
        <f>IF(M$2="Location Based",'Electricity LocationBased-Calcs'!F23,'Electricity MarketBased-Calcs'!F23)</f>
        <v>0</v>
      </c>
      <c r="H131" s="112">
        <f>Water!F56</f>
        <v>0</v>
      </c>
      <c r="I131" s="112">
        <f>'Agriculture &amp; Land Management'!F39</f>
        <v>0</v>
      </c>
      <c r="J131" s="112">
        <f>-'Urban Forestry'!D40</f>
        <v>0</v>
      </c>
      <c r="K131" s="112">
        <f>'Waste Production'!D20</f>
        <v>0</v>
      </c>
      <c r="L131" s="112">
        <f>SUMIF('Additional Emission Sources'!$C$16:$C$25,B131, 'Additional Emission Sources'!$K$16:$K$25)</f>
        <v>0</v>
      </c>
      <c r="M131" s="761">
        <f t="shared" si="24"/>
        <v>0</v>
      </c>
      <c r="N131" s="761">
        <f t="shared" si="25"/>
        <v>0</v>
      </c>
      <c r="O131" s="761"/>
      <c r="T131" s="71"/>
      <c r="V131" s="284"/>
      <c r="X131" s="793"/>
      <c r="Y131" s="793"/>
    </row>
    <row r="132" spans="2:25" s="112" customFormat="1" hidden="1">
      <c r="B132" s="112">
        <f>'Background Controls'!I9</f>
        <v>0</v>
      </c>
      <c r="C132" s="112">
        <f>'Stationary-Calcs'!F27</f>
        <v>0</v>
      </c>
      <c r="D132" s="112">
        <f>'Mobile-Summary'!F11</f>
        <v>0</v>
      </c>
      <c r="G132" s="761">
        <f>IF(M$2="Location Based",'Electricity LocationBased-Calcs'!F24,'Electricity MarketBased-Calcs'!F24)</f>
        <v>0</v>
      </c>
      <c r="H132" s="112">
        <f>Water!F57</f>
        <v>0</v>
      </c>
      <c r="I132" s="112">
        <f>'Agriculture &amp; Land Management'!F40</f>
        <v>0</v>
      </c>
      <c r="J132" s="112">
        <f>-'Urban Forestry'!D41</f>
        <v>0</v>
      </c>
      <c r="K132" s="112">
        <f>'Waste Production'!D21</f>
        <v>0</v>
      </c>
      <c r="L132" s="112">
        <f>SUMIF('Additional Emission Sources'!$C$16:$C$25,B132, 'Additional Emission Sources'!$K$16:$K$25)</f>
        <v>0</v>
      </c>
      <c r="M132" s="761">
        <f t="shared" si="24"/>
        <v>0</v>
      </c>
      <c r="N132" s="761">
        <f t="shared" si="25"/>
        <v>0</v>
      </c>
      <c r="O132" s="761"/>
      <c r="T132" s="71"/>
      <c r="V132" s="284"/>
      <c r="X132" s="793"/>
      <c r="Y132" s="793"/>
    </row>
    <row r="133" spans="2:25" s="112" customFormat="1" hidden="1">
      <c r="B133" s="112">
        <f>'Background Controls'!I10</f>
        <v>0</v>
      </c>
      <c r="C133" s="112">
        <f>'Stationary-Calcs'!F28</f>
        <v>0</v>
      </c>
      <c r="D133" s="112">
        <f>'Mobile-Summary'!F12</f>
        <v>0</v>
      </c>
      <c r="G133" s="761">
        <f>IF(M$2="Location Based",'Electricity LocationBased-Calcs'!F25,'Electricity MarketBased-Calcs'!F25)</f>
        <v>0</v>
      </c>
      <c r="H133" s="112">
        <f>Water!F58</f>
        <v>0</v>
      </c>
      <c r="I133" s="112">
        <f>'Agriculture &amp; Land Management'!F41</f>
        <v>0</v>
      </c>
      <c r="J133" s="112">
        <f>-'Urban Forestry'!D42</f>
        <v>0</v>
      </c>
      <c r="K133" s="112">
        <f>'Waste Production'!D22</f>
        <v>0</v>
      </c>
      <c r="L133" s="112">
        <f>SUMIF('Additional Emission Sources'!$C$16:$C$25,B133, 'Additional Emission Sources'!$K$16:$K$25)</f>
        <v>0</v>
      </c>
      <c r="M133" s="761">
        <f t="shared" si="24"/>
        <v>0</v>
      </c>
      <c r="N133" s="761">
        <f t="shared" si="25"/>
        <v>0</v>
      </c>
      <c r="O133" s="761"/>
      <c r="T133" s="71"/>
      <c r="V133" s="284"/>
      <c r="X133" s="793"/>
      <c r="Y133" s="793"/>
    </row>
    <row r="134" spans="2:25" s="112" customFormat="1" hidden="1">
      <c r="B134" s="112">
        <f>'Background Controls'!I11</f>
        <v>0</v>
      </c>
      <c r="C134" s="112">
        <f>'Stationary-Calcs'!F29</f>
        <v>0</v>
      </c>
      <c r="D134" s="112">
        <f>'Mobile-Summary'!F13</f>
        <v>0</v>
      </c>
      <c r="G134" s="761">
        <f>IF(M$2="Location Based",'Electricity LocationBased-Calcs'!F26,'Electricity MarketBased-Calcs'!F26)</f>
        <v>0</v>
      </c>
      <c r="H134" s="112">
        <f>Water!F59</f>
        <v>0</v>
      </c>
      <c r="I134" s="112">
        <f>'Agriculture &amp; Land Management'!F42</f>
        <v>0</v>
      </c>
      <c r="J134" s="112">
        <f>-'Urban Forestry'!D43</f>
        <v>0</v>
      </c>
      <c r="K134" s="112">
        <f>'Waste Production'!D23</f>
        <v>0</v>
      </c>
      <c r="L134" s="112">
        <f>SUMIF('Additional Emission Sources'!$C$16:$C$25,B134, 'Additional Emission Sources'!$K$16:$K$25)</f>
        <v>0</v>
      </c>
      <c r="M134" s="761">
        <f t="shared" si="24"/>
        <v>0</v>
      </c>
      <c r="N134" s="761">
        <f t="shared" si="25"/>
        <v>0</v>
      </c>
      <c r="O134" s="761"/>
      <c r="T134" s="71"/>
      <c r="V134" s="284"/>
      <c r="X134" s="793"/>
      <c r="Y134" s="793"/>
    </row>
    <row r="135" spans="2:25" s="112" customFormat="1" hidden="1">
      <c r="B135" s="112">
        <f>'Background Controls'!I12</f>
        <v>0</v>
      </c>
      <c r="C135" s="112">
        <f>'Stationary-Calcs'!F30</f>
        <v>0</v>
      </c>
      <c r="D135" s="112">
        <f>'Mobile-Summary'!F14</f>
        <v>0</v>
      </c>
      <c r="G135" s="761">
        <f>IF(M$2="Location Based",'Electricity LocationBased-Calcs'!F27,'Electricity MarketBased-Calcs'!F27)</f>
        <v>0</v>
      </c>
      <c r="H135" s="112">
        <f>Water!F60</f>
        <v>0</v>
      </c>
      <c r="I135" s="112">
        <f>'Agriculture &amp; Land Management'!F43</f>
        <v>0</v>
      </c>
      <c r="J135" s="112">
        <f>-'Urban Forestry'!D44</f>
        <v>0</v>
      </c>
      <c r="K135" s="112">
        <f>'Waste Production'!D24</f>
        <v>0</v>
      </c>
      <c r="L135" s="112">
        <f>SUMIF('Additional Emission Sources'!$C$16:$C$25,B135, 'Additional Emission Sources'!$K$16:$K$25)</f>
        <v>0</v>
      </c>
      <c r="M135" s="761">
        <f t="shared" si="24"/>
        <v>0</v>
      </c>
      <c r="N135" s="761">
        <f t="shared" si="25"/>
        <v>0</v>
      </c>
      <c r="O135" s="761"/>
      <c r="T135" s="71"/>
      <c r="V135" s="284"/>
      <c r="X135" s="793"/>
      <c r="Y135" s="793"/>
    </row>
    <row r="136" spans="2:25" s="112" customFormat="1" hidden="1">
      <c r="B136" s="112">
        <f>'Background Controls'!I13</f>
        <v>0</v>
      </c>
      <c r="C136" s="112">
        <f>'Stationary-Calcs'!F31</f>
        <v>0</v>
      </c>
      <c r="D136" s="112">
        <f>'Mobile-Summary'!F15</f>
        <v>0</v>
      </c>
      <c r="G136" s="761">
        <f>IF(M$2="Location Based",'Electricity LocationBased-Calcs'!F28,'Electricity MarketBased-Calcs'!F28)</f>
        <v>0</v>
      </c>
      <c r="H136" s="112">
        <f>Water!F61</f>
        <v>0</v>
      </c>
      <c r="I136" s="112">
        <f>'Agriculture &amp; Land Management'!F44</f>
        <v>0</v>
      </c>
      <c r="J136" s="112">
        <f>-'Urban Forestry'!D45</f>
        <v>0</v>
      </c>
      <c r="K136" s="112">
        <f>'Waste Production'!D25</f>
        <v>0</v>
      </c>
      <c r="L136" s="112">
        <f>SUMIF('Additional Emission Sources'!$C$16:$C$25,B136, 'Additional Emission Sources'!$K$16:$K$25)</f>
        <v>0</v>
      </c>
      <c r="M136" s="761">
        <f t="shared" si="24"/>
        <v>0</v>
      </c>
      <c r="N136" s="761">
        <f t="shared" si="25"/>
        <v>0</v>
      </c>
      <c r="O136" s="761"/>
      <c r="T136" s="71"/>
      <c r="V136" s="284"/>
      <c r="X136" s="793"/>
      <c r="Y136" s="793"/>
    </row>
    <row r="137" spans="2:25" s="112" customFormat="1" hidden="1">
      <c r="B137" s="112">
        <f>'Background Controls'!I14</f>
        <v>0</v>
      </c>
      <c r="C137" s="112">
        <f>'Stationary-Calcs'!F32</f>
        <v>0</v>
      </c>
      <c r="D137" s="112">
        <f>'Mobile-Summary'!F16</f>
        <v>0</v>
      </c>
      <c r="G137" s="761">
        <f>IF(M$2="Location Based",'Electricity LocationBased-Calcs'!F29,'Electricity MarketBased-Calcs'!F29)</f>
        <v>0</v>
      </c>
      <c r="H137" s="112">
        <f>Water!F62</f>
        <v>0</v>
      </c>
      <c r="I137" s="112">
        <f>'Agriculture &amp; Land Management'!F45</f>
        <v>0</v>
      </c>
      <c r="J137" s="112">
        <f>-'Urban Forestry'!D46</f>
        <v>0</v>
      </c>
      <c r="K137" s="112">
        <f>'Waste Production'!D26</f>
        <v>0</v>
      </c>
      <c r="L137" s="112">
        <f>SUMIF('Additional Emission Sources'!$C$16:$C$25,B137, 'Additional Emission Sources'!$K$16:$K$25)</f>
        <v>0</v>
      </c>
      <c r="M137" s="761">
        <f t="shared" si="24"/>
        <v>0</v>
      </c>
      <c r="N137" s="761">
        <f t="shared" si="25"/>
        <v>0</v>
      </c>
      <c r="O137" s="761"/>
      <c r="T137" s="71"/>
      <c r="V137" s="284"/>
      <c r="X137" s="793"/>
      <c r="Y137" s="793"/>
    </row>
    <row r="138" spans="2:25" s="112" customFormat="1" hidden="1">
      <c r="B138" s="112">
        <f>'Background Controls'!I15</f>
        <v>0</v>
      </c>
      <c r="C138" s="112">
        <f>'Stationary-Calcs'!F33</f>
        <v>0</v>
      </c>
      <c r="D138" s="112">
        <f>'Mobile-Summary'!F17</f>
        <v>0</v>
      </c>
      <c r="G138" s="761">
        <f>IF(M$2="Location Based",'Electricity LocationBased-Calcs'!F30,'Electricity MarketBased-Calcs'!F30)</f>
        <v>0</v>
      </c>
      <c r="H138" s="112">
        <f>Water!F63</f>
        <v>0</v>
      </c>
      <c r="I138" s="112">
        <f>'Agriculture &amp; Land Management'!F46</f>
        <v>0</v>
      </c>
      <c r="J138" s="112">
        <f>-'Urban Forestry'!D47</f>
        <v>0</v>
      </c>
      <c r="K138" s="112">
        <f>'Waste Production'!D27</f>
        <v>0</v>
      </c>
      <c r="L138" s="112">
        <f>SUMIF('Additional Emission Sources'!$C$16:$C$25,B138, 'Additional Emission Sources'!$K$16:$K$25)</f>
        <v>0</v>
      </c>
      <c r="M138" s="761">
        <f t="shared" si="24"/>
        <v>0</v>
      </c>
      <c r="N138" s="761">
        <f t="shared" si="25"/>
        <v>0</v>
      </c>
      <c r="O138" s="761"/>
      <c r="T138" s="71"/>
      <c r="V138" s="284"/>
      <c r="X138" s="793"/>
      <c r="Y138" s="793"/>
    </row>
    <row r="139" spans="2:25" s="112" customFormat="1" hidden="1">
      <c r="B139" s="112">
        <f>'Background Controls'!I16</f>
        <v>0</v>
      </c>
      <c r="C139" s="112">
        <f>'Stationary-Calcs'!F34</f>
        <v>0</v>
      </c>
      <c r="D139" s="112">
        <f>'Mobile-Summary'!F18</f>
        <v>0</v>
      </c>
      <c r="G139" s="761">
        <f>IF(M$2="Location Based",'Electricity LocationBased-Calcs'!F31,'Electricity MarketBased-Calcs'!F31)</f>
        <v>0</v>
      </c>
      <c r="H139" s="112">
        <f>Water!F64</f>
        <v>0</v>
      </c>
      <c r="I139" s="112">
        <f>'Agriculture &amp; Land Management'!F47</f>
        <v>0</v>
      </c>
      <c r="J139" s="112">
        <f>-'Urban Forestry'!D48</f>
        <v>0</v>
      </c>
      <c r="K139" s="112">
        <f>'Waste Production'!D28</f>
        <v>0</v>
      </c>
      <c r="L139" s="112">
        <f>SUMIF('Additional Emission Sources'!$C$16:$C$25,B139, 'Additional Emission Sources'!$K$16:$K$25)</f>
        <v>0</v>
      </c>
      <c r="M139" s="761">
        <f t="shared" si="24"/>
        <v>0</v>
      </c>
      <c r="N139" s="761">
        <f t="shared" si="25"/>
        <v>0</v>
      </c>
      <c r="O139" s="761"/>
      <c r="T139" s="71"/>
      <c r="V139" s="284"/>
      <c r="X139" s="793"/>
      <c r="Y139" s="793"/>
    </row>
    <row r="140" spans="2:25" s="112" customFormat="1" hidden="1">
      <c r="B140" s="112">
        <f>'Background Controls'!I17</f>
        <v>0</v>
      </c>
      <c r="C140" s="112">
        <f>'Stationary-Calcs'!F35</f>
        <v>0</v>
      </c>
      <c r="D140" s="112">
        <f>'Mobile-Summary'!F19</f>
        <v>0</v>
      </c>
      <c r="G140" s="761">
        <f>IF(M$2="Location Based",'Electricity LocationBased-Calcs'!F32,'Electricity MarketBased-Calcs'!F32)</f>
        <v>0</v>
      </c>
      <c r="H140" s="112">
        <f>Water!F65</f>
        <v>0</v>
      </c>
      <c r="I140" s="112">
        <f>'Agriculture &amp; Land Management'!F48</f>
        <v>0</v>
      </c>
      <c r="J140" s="112">
        <f>-'Urban Forestry'!D49</f>
        <v>0</v>
      </c>
      <c r="K140" s="112">
        <f>'Waste Production'!D29</f>
        <v>0</v>
      </c>
      <c r="L140" s="112">
        <f>SUMIF('Additional Emission Sources'!$C$16:$C$25,B140, 'Additional Emission Sources'!$K$16:$K$25)</f>
        <v>0</v>
      </c>
      <c r="M140" s="761">
        <f t="shared" si="24"/>
        <v>0</v>
      </c>
      <c r="N140" s="761">
        <f t="shared" si="25"/>
        <v>0</v>
      </c>
      <c r="O140" s="761"/>
      <c r="T140" s="71"/>
      <c r="V140" s="284"/>
      <c r="X140" s="793"/>
      <c r="Y140" s="793"/>
    </row>
    <row r="141" spans="2:25" s="112" customFormat="1" hidden="1">
      <c r="B141" s="112">
        <f>'Background Controls'!I18</f>
        <v>0</v>
      </c>
      <c r="C141" s="112">
        <f>'Stationary-Calcs'!F36</f>
        <v>0</v>
      </c>
      <c r="D141" s="112">
        <f>'Mobile-Summary'!F20</f>
        <v>0</v>
      </c>
      <c r="G141" s="761">
        <f>IF(M$2="Location Based",'Electricity LocationBased-Calcs'!F33,'Electricity MarketBased-Calcs'!F33)</f>
        <v>0</v>
      </c>
      <c r="H141" s="112">
        <f>Water!F66</f>
        <v>0</v>
      </c>
      <c r="I141" s="112">
        <f>'Agriculture &amp; Land Management'!F49</f>
        <v>0</v>
      </c>
      <c r="J141" s="112">
        <f>-'Urban Forestry'!D50</f>
        <v>0</v>
      </c>
      <c r="K141" s="112">
        <f>'Waste Production'!D30</f>
        <v>0</v>
      </c>
      <c r="L141" s="112">
        <f>SUMIF('Additional Emission Sources'!$C$16:$C$25,B141, 'Additional Emission Sources'!$K$16:$K$25)</f>
        <v>0</v>
      </c>
      <c r="M141" s="761">
        <f t="shared" si="24"/>
        <v>0</v>
      </c>
      <c r="N141" s="761">
        <f t="shared" si="25"/>
        <v>0</v>
      </c>
      <c r="O141" s="761"/>
      <c r="T141" s="71"/>
      <c r="V141" s="284"/>
      <c r="X141" s="793"/>
      <c r="Y141" s="793"/>
    </row>
    <row r="142" spans="2:25" s="112" customFormat="1" hidden="1">
      <c r="B142" s="112">
        <f>'Background Controls'!I19</f>
        <v>0</v>
      </c>
      <c r="C142" s="112">
        <f>'Stationary-Calcs'!F37</f>
        <v>0</v>
      </c>
      <c r="D142" s="112">
        <f>'Mobile-Summary'!F21</f>
        <v>0</v>
      </c>
      <c r="G142" s="761">
        <f>IF(M$2="Location Based",'Electricity LocationBased-Calcs'!F34,'Electricity MarketBased-Calcs'!F34)</f>
        <v>0</v>
      </c>
      <c r="H142" s="112">
        <f>Water!F67</f>
        <v>0</v>
      </c>
      <c r="I142" s="112">
        <f>'Agriculture &amp; Land Management'!F50</f>
        <v>0</v>
      </c>
      <c r="J142" s="112">
        <f>-'Urban Forestry'!D51</f>
        <v>0</v>
      </c>
      <c r="K142" s="112">
        <f>'Waste Production'!D31</f>
        <v>0</v>
      </c>
      <c r="L142" s="112">
        <f>SUMIF('Additional Emission Sources'!$C$16:$C$25,B142, 'Additional Emission Sources'!$K$16:$K$25)</f>
        <v>0</v>
      </c>
      <c r="M142" s="761">
        <f t="shared" si="24"/>
        <v>0</v>
      </c>
      <c r="N142" s="761">
        <f t="shared" si="25"/>
        <v>0</v>
      </c>
      <c r="O142" s="761"/>
      <c r="T142" s="71"/>
      <c r="V142" s="284"/>
      <c r="X142" s="793"/>
      <c r="Y142" s="793"/>
    </row>
    <row r="143" spans="2:25" s="112" customFormat="1" hidden="1">
      <c r="B143" s="112">
        <f>'Background Controls'!I20</f>
        <v>0</v>
      </c>
      <c r="C143" s="112">
        <f>'Stationary-Calcs'!F38</f>
        <v>0</v>
      </c>
      <c r="D143" s="112">
        <f>'Mobile-Summary'!F22</f>
        <v>0</v>
      </c>
      <c r="G143" s="761">
        <f>IF(M$2="Location Based",'Electricity LocationBased-Calcs'!F35,'Electricity MarketBased-Calcs'!F35)</f>
        <v>0</v>
      </c>
      <c r="H143" s="112">
        <f>Water!F68</f>
        <v>0</v>
      </c>
      <c r="I143" s="112">
        <f>'Agriculture &amp; Land Management'!F51</f>
        <v>0</v>
      </c>
      <c r="J143" s="112">
        <f>-'Urban Forestry'!D52</f>
        <v>0</v>
      </c>
      <c r="K143" s="112">
        <f>'Waste Production'!D32</f>
        <v>0</v>
      </c>
      <c r="L143" s="112">
        <f>SUMIF('Additional Emission Sources'!$C$16:$C$25,B143, 'Additional Emission Sources'!$K$16:$K$25)</f>
        <v>0</v>
      </c>
      <c r="M143" s="761">
        <f t="shared" si="24"/>
        <v>0</v>
      </c>
      <c r="N143" s="761">
        <f t="shared" si="25"/>
        <v>0</v>
      </c>
      <c r="O143" s="761"/>
      <c r="T143" s="71"/>
      <c r="V143" s="284"/>
      <c r="X143" s="793"/>
      <c r="Y143" s="793"/>
    </row>
    <row r="144" spans="2:25" s="112" customFormat="1" hidden="1">
      <c r="B144" s="112">
        <f>'Background Controls'!I21</f>
        <v>0</v>
      </c>
      <c r="C144" s="112">
        <f>'Stationary-Calcs'!F39</f>
        <v>0</v>
      </c>
      <c r="D144" s="112">
        <f>'Mobile-Summary'!F23</f>
        <v>0</v>
      </c>
      <c r="G144" s="761">
        <f>IF(M$2="Location Based",'Electricity LocationBased-Calcs'!F36,'Electricity MarketBased-Calcs'!F36)</f>
        <v>0</v>
      </c>
      <c r="H144" s="112">
        <f>Water!F69</f>
        <v>0</v>
      </c>
      <c r="I144" s="112">
        <f>'Agriculture &amp; Land Management'!F52</f>
        <v>0</v>
      </c>
      <c r="J144" s="112">
        <f>-'Urban Forestry'!D53</f>
        <v>0</v>
      </c>
      <c r="K144" s="112">
        <f>'Waste Production'!D33</f>
        <v>0</v>
      </c>
      <c r="L144" s="112">
        <f>SUMIF('Additional Emission Sources'!$C$16:$C$25,B144, 'Additional Emission Sources'!$K$16:$K$25)</f>
        <v>0</v>
      </c>
      <c r="M144" s="761">
        <f t="shared" si="24"/>
        <v>0</v>
      </c>
      <c r="N144" s="761">
        <f t="shared" si="25"/>
        <v>0</v>
      </c>
      <c r="O144" s="761"/>
      <c r="T144" s="71"/>
      <c r="V144" s="284"/>
      <c r="X144" s="793"/>
      <c r="Y144" s="793"/>
    </row>
    <row r="145" spans="1:25" s="112" customFormat="1" hidden="1">
      <c r="B145" s="112">
        <f>'Background Controls'!I22</f>
        <v>0</v>
      </c>
      <c r="C145" s="112">
        <f>'Stationary-Calcs'!F40</f>
        <v>0</v>
      </c>
      <c r="D145" s="112">
        <f>'Mobile-Summary'!F24</f>
        <v>0</v>
      </c>
      <c r="G145" s="761">
        <f>IF(M$2="Location Based",'Electricity LocationBased-Calcs'!F37,'Electricity MarketBased-Calcs'!F37)</f>
        <v>0</v>
      </c>
      <c r="H145" s="112">
        <f>Water!F70</f>
        <v>0</v>
      </c>
      <c r="I145" s="112">
        <f>'Agriculture &amp; Land Management'!F53</f>
        <v>0</v>
      </c>
      <c r="J145" s="112">
        <f>-'Urban Forestry'!D54</f>
        <v>0</v>
      </c>
      <c r="K145" s="112">
        <f>'Waste Production'!D34</f>
        <v>0</v>
      </c>
      <c r="L145" s="112">
        <f>SUMIF('Additional Emission Sources'!$C$16:$C$25,B145, 'Additional Emission Sources'!$K$16:$K$25)</f>
        <v>0</v>
      </c>
      <c r="M145" s="761">
        <f t="shared" si="24"/>
        <v>0</v>
      </c>
      <c r="N145" s="761">
        <f t="shared" si="25"/>
        <v>0</v>
      </c>
      <c r="O145" s="761"/>
      <c r="T145" s="71"/>
      <c r="V145" s="284"/>
      <c r="X145" s="793"/>
      <c r="Y145" s="793"/>
    </row>
    <row r="146" spans="1:25" s="112" customFormat="1" hidden="1">
      <c r="B146" s="112">
        <f>'Background Controls'!I23</f>
        <v>0</v>
      </c>
      <c r="C146" s="112">
        <f>'Stationary-Calcs'!F41</f>
        <v>0</v>
      </c>
      <c r="D146" s="112">
        <f>'Mobile-Summary'!F25</f>
        <v>0</v>
      </c>
      <c r="G146" s="761">
        <f>IF(M$2="Location Based",'Electricity LocationBased-Calcs'!F38,'Electricity MarketBased-Calcs'!F38)</f>
        <v>0</v>
      </c>
      <c r="H146" s="112">
        <f>Water!F71</f>
        <v>0</v>
      </c>
      <c r="I146" s="112">
        <f>'Agriculture &amp; Land Management'!F54</f>
        <v>0</v>
      </c>
      <c r="J146" s="112">
        <f>-'Urban Forestry'!D55</f>
        <v>0</v>
      </c>
      <c r="K146" s="112">
        <f>'Waste Production'!D35</f>
        <v>0</v>
      </c>
      <c r="L146" s="112">
        <f>SUMIF('Additional Emission Sources'!$C$16:$C$25,B146, 'Additional Emission Sources'!$K$16:$K$25)</f>
        <v>0</v>
      </c>
      <c r="M146" s="761">
        <f t="shared" si="24"/>
        <v>0</v>
      </c>
      <c r="N146" s="761">
        <f t="shared" si="25"/>
        <v>0</v>
      </c>
      <c r="O146" s="761"/>
      <c r="T146" s="71"/>
      <c r="V146" s="284"/>
      <c r="X146" s="793"/>
      <c r="Y146" s="793"/>
    </row>
    <row r="147" spans="1:25" s="112" customFormat="1" hidden="1">
      <c r="B147" s="112">
        <f>'Background Controls'!I24</f>
        <v>0</v>
      </c>
      <c r="C147" s="112">
        <f>'Stationary-Calcs'!F42</f>
        <v>0</v>
      </c>
      <c r="D147" s="112">
        <f>'Mobile-Summary'!F26</f>
        <v>0</v>
      </c>
      <c r="G147" s="761">
        <f>IF(M$2="Location Based",'Electricity LocationBased-Calcs'!F39,'Electricity MarketBased-Calcs'!F39)</f>
        <v>0</v>
      </c>
      <c r="H147" s="112">
        <f>Water!F72</f>
        <v>0</v>
      </c>
      <c r="I147" s="112">
        <f>'Agriculture &amp; Land Management'!F55</f>
        <v>0</v>
      </c>
      <c r="J147" s="112">
        <f>-'Urban Forestry'!D56</f>
        <v>0</v>
      </c>
      <c r="K147" s="112">
        <f>'Waste Production'!D36</f>
        <v>0</v>
      </c>
      <c r="L147" s="112">
        <f>SUMIF('Additional Emission Sources'!$C$16:$C$25,B147, 'Additional Emission Sources'!$K$16:$K$25)</f>
        <v>0</v>
      </c>
      <c r="M147" s="761">
        <f t="shared" si="24"/>
        <v>0</v>
      </c>
      <c r="N147" s="761">
        <f>SUM(C147:L147)</f>
        <v>0</v>
      </c>
      <c r="O147" s="761"/>
      <c r="T147" s="71"/>
      <c r="V147" s="284"/>
      <c r="X147" s="793"/>
      <c r="Y147" s="793"/>
    </row>
    <row r="148" spans="1:25" s="112" customFormat="1">
      <c r="A148" s="112" t="s">
        <v>852</v>
      </c>
      <c r="B148" s="112" t="str">
        <f>sw_department</f>
        <v>Commercial/Institutional</v>
      </c>
      <c r="E148" s="112">
        <f>'Solid Waste-Entry'!$C$82</f>
        <v>0</v>
      </c>
      <c r="M148" s="761">
        <f>SUM(C148:L148)</f>
        <v>0</v>
      </c>
      <c r="N148" s="761"/>
      <c r="O148" s="761"/>
      <c r="T148" s="71"/>
      <c r="V148" s="284"/>
      <c r="X148" s="793"/>
      <c r="Y148" s="793"/>
    </row>
    <row r="149" spans="1:25" s="112" customFormat="1">
      <c r="A149" s="112" t="s">
        <v>853</v>
      </c>
      <c r="B149" s="112" t="str">
        <f>wwt_department</f>
        <v>Commercial/Institutional</v>
      </c>
      <c r="F149" s="761">
        <f>'Wastewater- Calcs'!D17</f>
        <v>0</v>
      </c>
      <c r="M149" s="761">
        <f>SUM(C149:L149)</f>
        <v>0</v>
      </c>
      <c r="N149" s="761"/>
      <c r="O149" s="761"/>
      <c r="T149" s="71"/>
      <c r="V149" s="284"/>
      <c r="X149" s="793"/>
      <c r="Y149" s="793"/>
    </row>
    <row r="150" spans="1:25" s="112" customFormat="1">
      <c r="K150" s="761"/>
      <c r="T150" s="71"/>
      <c r="V150" s="284"/>
      <c r="X150" s="793"/>
      <c r="Y150" s="793"/>
    </row>
    <row r="151" spans="1:25" s="112" customFormat="1">
      <c r="E151" s="761"/>
      <c r="M151" s="761"/>
      <c r="N151" s="761"/>
      <c r="O151" s="761"/>
      <c r="V151" s="284"/>
    </row>
    <row r="152" spans="1:25">
      <c r="B152" s="71"/>
      <c r="C152" s="71"/>
      <c r="D152" s="71"/>
      <c r="E152" s="71"/>
      <c r="F152" s="71"/>
      <c r="G152" s="71"/>
      <c r="H152" s="71"/>
      <c r="I152" s="71"/>
      <c r="J152" s="71"/>
      <c r="K152" s="792"/>
      <c r="L152" s="71"/>
      <c r="M152" s="71"/>
      <c r="N152" s="71"/>
      <c r="O152" s="71"/>
      <c r="P152" s="71"/>
      <c r="Q152" s="71"/>
      <c r="R152" s="71"/>
      <c r="S152" s="71"/>
      <c r="T152" s="71"/>
    </row>
    <row r="153" spans="1:25">
      <c r="B153" s="71"/>
      <c r="C153" s="71"/>
      <c r="D153" s="71"/>
      <c r="E153" s="71"/>
      <c r="F153" s="71"/>
      <c r="G153" s="71"/>
      <c r="H153" s="71"/>
      <c r="I153" s="71"/>
      <c r="J153" s="71"/>
      <c r="K153" s="71"/>
      <c r="L153" s="71"/>
      <c r="M153" s="71"/>
      <c r="N153" s="71"/>
      <c r="O153" s="71"/>
      <c r="P153" s="71"/>
      <c r="Q153" s="71"/>
      <c r="R153" s="71"/>
      <c r="S153" s="71"/>
      <c r="T153" s="71"/>
    </row>
    <row r="154" spans="1:25">
      <c r="B154" s="71"/>
      <c r="C154" s="71"/>
      <c r="D154" s="71"/>
      <c r="E154" s="71"/>
      <c r="F154" s="71"/>
      <c r="G154" s="71"/>
      <c r="H154" s="71"/>
      <c r="I154" s="71"/>
      <c r="J154" s="71"/>
      <c r="K154" s="71"/>
      <c r="L154" s="71"/>
      <c r="M154" s="71"/>
      <c r="N154" s="71"/>
      <c r="O154" s="71"/>
      <c r="P154" s="71"/>
      <c r="Q154" s="71"/>
      <c r="R154" s="71"/>
      <c r="S154" s="71"/>
      <c r="T154" s="71"/>
    </row>
    <row r="155" spans="1:25">
      <c r="B155" s="71"/>
      <c r="C155" s="71"/>
      <c r="D155" s="71"/>
      <c r="E155" s="71"/>
      <c r="F155" s="71"/>
      <c r="G155" s="71"/>
      <c r="H155" s="71"/>
      <c r="I155" s="71"/>
      <c r="J155" s="71"/>
      <c r="K155" s="71"/>
      <c r="L155" s="71"/>
      <c r="M155" s="71"/>
      <c r="N155" s="71"/>
      <c r="O155" s="71"/>
      <c r="P155" s="71"/>
      <c r="Q155" s="71"/>
      <c r="R155" s="71"/>
      <c r="S155" s="71"/>
      <c r="T155" s="71"/>
    </row>
    <row r="156" spans="1:25">
      <c r="B156" s="112"/>
      <c r="C156" s="112"/>
      <c r="D156" s="112"/>
      <c r="E156" s="112"/>
      <c r="F156" s="112"/>
      <c r="G156" s="112"/>
      <c r="H156" s="112"/>
      <c r="I156" s="112"/>
      <c r="J156" s="112"/>
      <c r="K156" s="112"/>
      <c r="L156" s="112"/>
      <c r="M156" s="112"/>
      <c r="N156" s="112"/>
      <c r="O156" s="112"/>
      <c r="P156" s="112"/>
    </row>
    <row r="157" spans="1:25">
      <c r="B157" s="112"/>
      <c r="C157" s="112"/>
      <c r="D157" s="112"/>
      <c r="E157" s="112"/>
      <c r="F157" s="112"/>
      <c r="G157" s="112"/>
      <c r="H157" s="112"/>
      <c r="I157" s="112"/>
      <c r="J157" s="112"/>
      <c r="K157" s="112"/>
      <c r="L157" s="112"/>
      <c r="M157" s="112"/>
      <c r="N157" s="112"/>
      <c r="O157" s="112"/>
      <c r="P157" s="112"/>
    </row>
    <row r="158" spans="1:25">
      <c r="B158" s="112"/>
      <c r="C158" s="112"/>
      <c r="D158" s="112"/>
      <c r="E158" s="112"/>
      <c r="F158" s="112"/>
      <c r="G158" s="112"/>
      <c r="H158" s="112"/>
      <c r="I158" s="112"/>
      <c r="J158" s="112"/>
      <c r="K158" s="112"/>
      <c r="L158" s="112"/>
      <c r="M158" s="112"/>
      <c r="N158" s="112"/>
      <c r="O158" s="112"/>
      <c r="P158" s="112"/>
    </row>
    <row r="159" spans="1:25">
      <c r="B159" s="112"/>
      <c r="C159" s="112"/>
      <c r="D159" s="112"/>
      <c r="E159" s="112"/>
      <c r="F159" s="112"/>
      <c r="G159" s="112"/>
      <c r="H159" s="112"/>
      <c r="I159" s="112"/>
      <c r="J159" s="112"/>
      <c r="K159" s="112"/>
      <c r="L159" s="112"/>
      <c r="M159" s="112"/>
      <c r="N159" s="112"/>
      <c r="O159" s="112"/>
      <c r="P159" s="112"/>
    </row>
    <row r="160" spans="1:25">
      <c r="B160" s="112"/>
      <c r="C160" s="112"/>
      <c r="D160" s="112"/>
      <c r="E160" s="112"/>
      <c r="F160" s="112"/>
      <c r="G160" s="112"/>
      <c r="H160" s="112"/>
      <c r="I160" s="112"/>
      <c r="J160" s="112"/>
      <c r="K160" s="112"/>
      <c r="L160" s="112"/>
      <c r="M160" s="112"/>
      <c r="N160" s="112"/>
      <c r="O160" s="112"/>
      <c r="P160" s="112"/>
    </row>
  </sheetData>
  <mergeCells count="7">
    <mergeCell ref="A115:U115"/>
    <mergeCell ref="B89:M89"/>
    <mergeCell ref="B3:J3"/>
    <mergeCell ref="W3:AE3"/>
    <mergeCell ref="W11:AE11"/>
    <mergeCell ref="B12:J12"/>
    <mergeCell ref="B42:D42"/>
  </mergeCells>
  <dataValidations disablePrompts="1" count="2">
    <dataValidation allowBlank="1" showInputMessage="1" showErrorMessage="1" prompt="Please select either scope 2 location-based or scope 2 market-based emissions to be shown in the emissions totals to the left. " sqref="L2" xr:uid="{F077CE84-B8F4-41A5-B207-42456ABEBC7A}"/>
    <dataValidation type="list" allowBlank="1" showInputMessage="1" showErrorMessage="1" sqref="M2" xr:uid="{66B4037B-39B6-4C7E-9436-E18BE846A843}">
      <formula1>"Location Based,Market Based"</formula1>
    </dataValidation>
  </dataValidation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
    <tabColor rgb="FF92D050"/>
  </sheetPr>
  <dimension ref="A1:AK373"/>
  <sheetViews>
    <sheetView showGridLines="0" topLeftCell="A23" zoomScale="85" zoomScaleNormal="85" workbookViewId="0">
      <selection activeCell="I42" sqref="I42"/>
    </sheetView>
  </sheetViews>
  <sheetFormatPr defaultColWidth="8.81640625" defaultRowHeight="14.5"/>
  <cols>
    <col min="1" max="1" width="26.81640625" style="265" customWidth="1"/>
    <col min="2" max="2" width="22.26953125" customWidth="1"/>
    <col min="3" max="3" width="14.81640625" bestFit="1" customWidth="1"/>
    <col min="4" max="4" width="10" customWidth="1"/>
    <col min="5" max="5" width="11.453125" customWidth="1"/>
    <col min="6" max="6" width="13.453125" customWidth="1"/>
    <col min="7" max="7" width="16.7265625" customWidth="1"/>
    <col min="8" max="8" width="9" bestFit="1" customWidth="1"/>
    <col min="10" max="10" width="12.26953125" customWidth="1"/>
    <col min="14" max="28" width="11.453125" customWidth="1"/>
  </cols>
  <sheetData>
    <row r="1" spans="1:7" s="486" customFormat="1" ht="38.25" customHeight="1" thickBot="1">
      <c r="A1" s="496" t="s">
        <v>854</v>
      </c>
    </row>
    <row r="2" spans="1:7" ht="132.75" customHeight="1">
      <c r="A2" s="264"/>
    </row>
    <row r="3" spans="1:7" s="11" customFormat="1">
      <c r="A3" s="267" t="s">
        <v>855</v>
      </c>
    </row>
    <row r="4" spans="1:7" ht="15" thickBot="1">
      <c r="B4" s="44"/>
      <c r="C4" s="54" t="s">
        <v>856</v>
      </c>
    </row>
    <row r="5" spans="1:7">
      <c r="B5" s="860" t="s">
        <v>857</v>
      </c>
      <c r="C5" s="860">
        <f>1/1000</f>
        <v>1E-3</v>
      </c>
      <c r="G5" s="466" t="s">
        <v>858</v>
      </c>
    </row>
    <row r="6" spans="1:7">
      <c r="B6" s="860" t="s">
        <v>859</v>
      </c>
      <c r="C6" s="860">
        <v>4.5359236999999999E-4</v>
      </c>
      <c r="G6" s="467" t="s">
        <v>860</v>
      </c>
    </row>
    <row r="7" spans="1:7" ht="15" thickBot="1">
      <c r="B7" s="860" t="s">
        <v>861</v>
      </c>
      <c r="C7" s="860">
        <f>0.001</f>
        <v>1E-3</v>
      </c>
      <c r="G7" s="468" t="s">
        <v>862</v>
      </c>
    </row>
    <row r="8" spans="1:7">
      <c r="B8" s="860" t="s">
        <v>863</v>
      </c>
      <c r="C8" s="860">
        <v>1E-3</v>
      </c>
    </row>
    <row r="9" spans="1:7">
      <c r="B9" s="860" t="s">
        <v>864</v>
      </c>
      <c r="C9" s="860">
        <f>C6*10^-6</f>
        <v>4.5359236999999999E-10</v>
      </c>
    </row>
    <row r="10" spans="1:7">
      <c r="B10" s="860" t="s">
        <v>865</v>
      </c>
      <c r="C10" s="860">
        <f>1/1000</f>
        <v>1E-3</v>
      </c>
    </row>
    <row r="11" spans="1:7">
      <c r="B11" s="860" t="s">
        <v>866</v>
      </c>
      <c r="C11" s="860">
        <v>1000</v>
      </c>
    </row>
    <row r="12" spans="1:7">
      <c r="B12" s="860" t="s">
        <v>867</v>
      </c>
      <c r="C12" s="941">
        <v>2.8316846600000001E-2</v>
      </c>
    </row>
    <row r="13" spans="1:7">
      <c r="B13" s="860" t="s">
        <v>868</v>
      </c>
      <c r="C13" s="860">
        <v>365.25</v>
      </c>
    </row>
    <row r="14" spans="1:7">
      <c r="B14" s="860" t="s">
        <v>869</v>
      </c>
      <c r="C14" s="860">
        <f>10^-6</f>
        <v>9.9999999999999995E-7</v>
      </c>
    </row>
    <row r="15" spans="1:7">
      <c r="B15" s="860" t="s">
        <v>870</v>
      </c>
      <c r="C15" s="860">
        <v>0.45359237000000002</v>
      </c>
    </row>
    <row r="16" spans="1:7">
      <c r="B16" s="860" t="s">
        <v>871</v>
      </c>
      <c r="C16" s="860">
        <f>10^-6</f>
        <v>9.9999999999999995E-7</v>
      </c>
    </row>
    <row r="17" spans="1:24" ht="17.5">
      <c r="B17" s="860" t="s">
        <v>872</v>
      </c>
      <c r="C17" s="860">
        <f>20/10^6</f>
        <v>2.0000000000000002E-5</v>
      </c>
    </row>
    <row r="18" spans="1:24">
      <c r="B18" s="860" t="s">
        <v>873</v>
      </c>
      <c r="C18" s="860">
        <v>0.90718474000000204</v>
      </c>
      <c r="D18" s="522"/>
    </row>
    <row r="19" spans="1:24" ht="16.5" customHeight="1">
      <c r="B19" s="860" t="s">
        <v>874</v>
      </c>
      <c r="C19" s="841">
        <v>1</v>
      </c>
      <c r="D19" s="1137" t="s">
        <v>875</v>
      </c>
      <c r="E19" s="1138"/>
      <c r="F19" s="1138"/>
    </row>
    <row r="20" spans="1:24" ht="16.5">
      <c r="B20" s="860" t="s">
        <v>876</v>
      </c>
      <c r="C20" s="841">
        <v>28</v>
      </c>
      <c r="D20" s="1137"/>
      <c r="E20" s="1138"/>
      <c r="F20" s="1138"/>
    </row>
    <row r="21" spans="1:24" ht="24.65" customHeight="1">
      <c r="B21" s="860" t="s">
        <v>877</v>
      </c>
      <c r="C21" s="841">
        <v>265</v>
      </c>
      <c r="D21" s="1137"/>
      <c r="E21" s="1138"/>
      <c r="F21" s="1138"/>
    </row>
    <row r="22" spans="1:24">
      <c r="B22" s="860" t="s">
        <v>878</v>
      </c>
      <c r="C22" s="860">
        <v>42</v>
      </c>
      <c r="D22" s="762"/>
      <c r="E22" s="762"/>
      <c r="F22" s="762"/>
    </row>
    <row r="23" spans="1:24">
      <c r="B23" s="860" t="s">
        <v>879</v>
      </c>
      <c r="C23" s="942">
        <f>44/12</f>
        <v>3.6666666666666665</v>
      </c>
      <c r="D23" s="762"/>
      <c r="E23" s="762"/>
      <c r="F23" s="762"/>
    </row>
    <row r="24" spans="1:24">
      <c r="B24" s="860" t="s">
        <v>880</v>
      </c>
      <c r="C24" s="942">
        <f>1/3.785</f>
        <v>0.26420079260237778</v>
      </c>
    </row>
    <row r="25" spans="1:24">
      <c r="C25" s="211"/>
    </row>
    <row r="26" spans="1:24" s="11" customFormat="1">
      <c r="A26" s="267" t="s">
        <v>881</v>
      </c>
    </row>
    <row r="27" spans="1:24">
      <c r="A27" s="436" t="s">
        <v>882</v>
      </c>
    </row>
    <row r="28" spans="1:24" ht="16.5">
      <c r="C28" t="s">
        <v>883</v>
      </c>
      <c r="D28" t="s">
        <v>884</v>
      </c>
      <c r="E28" t="s">
        <v>885</v>
      </c>
      <c r="P28" s="1" t="s">
        <v>886</v>
      </c>
    </row>
    <row r="29" spans="1:24" ht="30">
      <c r="B29" s="860" t="s">
        <v>167</v>
      </c>
      <c r="C29" s="860" t="s">
        <v>553</v>
      </c>
      <c r="D29" s="860" t="s">
        <v>456</v>
      </c>
      <c r="E29" s="860" t="s">
        <v>457</v>
      </c>
      <c r="F29" s="919" t="s">
        <v>887</v>
      </c>
      <c r="G29" s="860" t="s">
        <v>168</v>
      </c>
      <c r="J29" s="1133" t="s">
        <v>888</v>
      </c>
      <c r="K29" s="1133"/>
      <c r="L29" s="1133"/>
      <c r="P29">
        <f>MyYear</f>
        <v>0</v>
      </c>
      <c r="X29" s="338"/>
    </row>
    <row r="30" spans="1:24">
      <c r="B30" s="860" t="s">
        <v>169</v>
      </c>
      <c r="C30" s="943">
        <f>C50*F30</f>
        <v>0</v>
      </c>
      <c r="D30" s="944">
        <f>D50*$F30</f>
        <v>0</v>
      </c>
      <c r="E30" s="944">
        <f>E50*$F30</f>
        <v>0</v>
      </c>
      <c r="F30" s="945">
        <f>F50*1000</f>
        <v>0</v>
      </c>
      <c r="G30" s="860" t="s">
        <v>63</v>
      </c>
      <c r="J30" s="1134" t="s">
        <v>889</v>
      </c>
      <c r="K30" s="1134"/>
      <c r="L30" s="1134"/>
      <c r="X30" s="338"/>
    </row>
    <row r="31" spans="1:24">
      <c r="B31" s="860" t="s">
        <v>171</v>
      </c>
      <c r="C31" s="946">
        <f>C51*F31</f>
        <v>34.105850000000004</v>
      </c>
      <c r="D31" s="944">
        <f>D51*$F31</f>
        <v>2.0960000000000002E-3</v>
      </c>
      <c r="E31" s="944">
        <f>E51*$F31</f>
        <v>4.1265000000000003E-4</v>
      </c>
      <c r="F31" s="947">
        <f>F51*1000</f>
        <v>0.65500000000000003</v>
      </c>
      <c r="G31" s="860" t="s">
        <v>63</v>
      </c>
      <c r="X31" s="338"/>
    </row>
    <row r="32" spans="1:24">
      <c r="B32" s="860" t="s">
        <v>172</v>
      </c>
      <c r="C32" s="948">
        <v>10.210000000000001</v>
      </c>
      <c r="D32" s="947">
        <f t="shared" ref="D32:D38" si="0">3*g_kg*$F32</f>
        <v>4.1428571428571431E-4</v>
      </c>
      <c r="E32" s="949">
        <f t="shared" ref="E32:E38" si="1">0.6*g_kg*$F32</f>
        <v>8.285714285714286E-5</v>
      </c>
      <c r="F32" s="947">
        <f>5.8/Oil_barrel_to_gallon</f>
        <v>0.1380952380952381</v>
      </c>
      <c r="G32" s="860" t="s">
        <v>254</v>
      </c>
      <c r="H32" s="785"/>
      <c r="X32" s="338"/>
    </row>
    <row r="33" spans="1:24">
      <c r="B33" s="860" t="s">
        <v>174</v>
      </c>
      <c r="C33" s="950">
        <f>IFERROR((VLOOKUP($B33,Variable_Carbon_Coefficients,MATCH($P$29,$A$61:$AK$61,0),0)*C_to_CO2),0)*$F33</f>
        <v>0</v>
      </c>
      <c r="D33" s="947">
        <f t="shared" si="0"/>
        <v>2.7599999999999999E-4</v>
      </c>
      <c r="E33" s="949">
        <f t="shared" si="1"/>
        <v>5.5199999999999993E-5</v>
      </c>
      <c r="F33" s="951">
        <v>9.1999999999999998E-2</v>
      </c>
      <c r="G33" s="860" t="s">
        <v>254</v>
      </c>
      <c r="H33" s="785"/>
      <c r="X33" s="338"/>
    </row>
    <row r="34" spans="1:24">
      <c r="B34" s="860" t="s">
        <v>175</v>
      </c>
      <c r="C34" s="950">
        <f>IFERROR((VLOOKUP($B34,Variable_Carbon_Coefficients,MATCH($P$29,$A$61:$AK$61,0),0)*C_to_CO2),0)*$F34</f>
        <v>0</v>
      </c>
      <c r="D34" s="947">
        <f t="shared" si="0"/>
        <v>0</v>
      </c>
      <c r="E34" s="949">
        <f t="shared" si="1"/>
        <v>0</v>
      </c>
      <c r="F34" s="945">
        <f>IFERROR(VLOOKUP(B34,Variable_Heat_Content,MATCH($P$29,$A$77:$AK$77,0),0),0)</f>
        <v>0</v>
      </c>
      <c r="G34" s="860" t="s">
        <v>254</v>
      </c>
      <c r="H34" s="785"/>
      <c r="X34" s="338"/>
    </row>
    <row r="35" spans="1:24">
      <c r="B35" s="860" t="s">
        <v>176</v>
      </c>
      <c r="C35" s="948">
        <v>10.210000000000001</v>
      </c>
      <c r="D35" s="947">
        <f t="shared" si="0"/>
        <v>4.2000000000000007E-4</v>
      </c>
      <c r="E35" s="949">
        <f t="shared" si="1"/>
        <v>8.3999999999999995E-5</v>
      </c>
      <c r="F35" s="947">
        <v>0.14000000000000001</v>
      </c>
      <c r="G35" s="860" t="s">
        <v>254</v>
      </c>
      <c r="H35" s="785"/>
      <c r="X35" s="338"/>
    </row>
    <row r="36" spans="1:24">
      <c r="B36" s="860" t="s">
        <v>177</v>
      </c>
      <c r="C36" s="948">
        <v>11.27</v>
      </c>
      <c r="D36" s="947">
        <f t="shared" si="0"/>
        <v>4.4999999999999999E-4</v>
      </c>
      <c r="E36" s="949">
        <f t="shared" si="1"/>
        <v>8.9999999999999992E-5</v>
      </c>
      <c r="F36" s="947">
        <v>0.15</v>
      </c>
      <c r="G36" s="860" t="s">
        <v>254</v>
      </c>
      <c r="H36" s="785"/>
      <c r="X36" s="338"/>
    </row>
    <row r="37" spans="1:24">
      <c r="B37" s="860" t="s">
        <v>178</v>
      </c>
      <c r="C37" s="950">
        <f>IFERROR((VLOOKUP($B37,Variable_Carbon_Coefficients,MATCH($P$29,$A$61:$AK$61,0),0)*C_to_CO2),0)*$F37</f>
        <v>0</v>
      </c>
      <c r="D37" s="947">
        <f t="shared" si="0"/>
        <v>2.7300000000000002E-4</v>
      </c>
      <c r="E37" s="949">
        <f t="shared" si="1"/>
        <v>5.4599999999999992E-5</v>
      </c>
      <c r="F37" s="947">
        <v>9.0999999999999998E-2</v>
      </c>
      <c r="G37" s="860" t="s">
        <v>254</v>
      </c>
      <c r="H37" s="785"/>
      <c r="X37" s="338"/>
    </row>
    <row r="38" spans="1:24">
      <c r="B38" s="860" t="s">
        <v>179</v>
      </c>
      <c r="C38" s="948">
        <f>6.67</f>
        <v>6.67</v>
      </c>
      <c r="D38" s="947">
        <f t="shared" si="0"/>
        <v>3.0899999999999998E-4</v>
      </c>
      <c r="E38" s="949">
        <f t="shared" si="1"/>
        <v>6.1799999999999998E-5</v>
      </c>
      <c r="F38" s="947">
        <v>0.10299999999999999</v>
      </c>
      <c r="G38" s="860" t="s">
        <v>254</v>
      </c>
      <c r="H38" s="785"/>
      <c r="X38" s="338"/>
    </row>
    <row r="39" spans="1:24">
      <c r="B39" s="860" t="s">
        <v>180</v>
      </c>
      <c r="C39" s="952">
        <f t="shared" ref="C39:E40" si="2">C52*$F39</f>
        <v>0</v>
      </c>
      <c r="D39" s="944">
        <f t="shared" si="2"/>
        <v>4.0500000000000003E-4</v>
      </c>
      <c r="E39" s="953">
        <f t="shared" si="2"/>
        <v>8.1000000000000004E-5</v>
      </c>
      <c r="F39" s="947">
        <f>F52</f>
        <v>0.13500000000000001</v>
      </c>
      <c r="G39" s="860" t="s">
        <v>254</v>
      </c>
      <c r="H39" s="785"/>
      <c r="X39" s="338"/>
    </row>
    <row r="40" spans="1:24" ht="14.25" customHeight="1">
      <c r="B40" s="860" t="s">
        <v>266</v>
      </c>
      <c r="C40" s="952">
        <f t="shared" si="2"/>
        <v>0</v>
      </c>
      <c r="D40" s="944">
        <f t="shared" si="2"/>
        <v>0.27422999999999997</v>
      </c>
      <c r="E40" s="953">
        <f t="shared" si="2"/>
        <v>3.9888E-2</v>
      </c>
      <c r="F40" s="947">
        <f>F53</f>
        <v>24.93</v>
      </c>
      <c r="G40" s="860" t="s">
        <v>182</v>
      </c>
      <c r="H40" s="785"/>
      <c r="X40" s="338"/>
    </row>
    <row r="41" spans="1:24" ht="14.25" customHeight="1">
      <c r="B41" s="860" t="s">
        <v>267</v>
      </c>
      <c r="C41" s="952">
        <f t="shared" ref="C41:E43" si="3">C54*$F41</f>
        <v>0</v>
      </c>
      <c r="D41" s="944">
        <f t="shared" si="3"/>
        <v>0.23529</v>
      </c>
      <c r="E41" s="953">
        <f t="shared" si="3"/>
        <v>3.4224000000000004E-2</v>
      </c>
      <c r="F41" s="947">
        <f t="shared" ref="F41:F43" si="4">F54</f>
        <v>21.39</v>
      </c>
      <c r="G41" s="860" t="s">
        <v>182</v>
      </c>
      <c r="H41" s="785"/>
      <c r="X41" s="338"/>
    </row>
    <row r="42" spans="1:24" ht="14.25" customHeight="1">
      <c r="B42" s="860" t="s">
        <v>268</v>
      </c>
      <c r="C42" s="952">
        <f t="shared" si="3"/>
        <v>0</v>
      </c>
      <c r="D42" s="944">
        <f t="shared" si="3"/>
        <v>0.24585000000000001</v>
      </c>
      <c r="E42" s="953">
        <f t="shared" si="3"/>
        <v>3.5760000000000007E-2</v>
      </c>
      <c r="F42" s="947">
        <f t="shared" si="4"/>
        <v>22.35</v>
      </c>
      <c r="G42" s="860" t="s">
        <v>182</v>
      </c>
      <c r="H42" s="785"/>
      <c r="X42" s="338"/>
    </row>
    <row r="43" spans="1:24" ht="14.25" customHeight="1">
      <c r="B43" s="860" t="s">
        <v>269</v>
      </c>
      <c r="C43" s="952">
        <f t="shared" si="3"/>
        <v>0</v>
      </c>
      <c r="D43" s="944">
        <f t="shared" si="3"/>
        <v>0.21703</v>
      </c>
      <c r="E43" s="953">
        <f t="shared" si="3"/>
        <v>3.1567999999999999E-2</v>
      </c>
      <c r="F43" s="947">
        <f t="shared" si="4"/>
        <v>19.73</v>
      </c>
      <c r="G43" s="860" t="s">
        <v>182</v>
      </c>
      <c r="H43" s="785"/>
      <c r="X43" s="338"/>
    </row>
    <row r="44" spans="1:24" ht="14.25" customHeight="1">
      <c r="B44" s="860" t="s">
        <v>270</v>
      </c>
      <c r="C44" s="954">
        <f>IFERROR((VLOOKUP($B44,Variable_Carbon_Coefficients,MATCH($P$29,$A$61:$AK$61,0),0)*C_to_CO2),0)*$F44</f>
        <v>0</v>
      </c>
      <c r="D44" s="947">
        <f t="shared" ref="D44:D45" si="5">3*g_kg*$F44</f>
        <v>0</v>
      </c>
      <c r="E44" s="949">
        <f t="shared" ref="E44:E45" si="6">0.6*g_kg*$F44</f>
        <v>0</v>
      </c>
      <c r="F44" s="955">
        <f>IFERROR(VLOOKUP(B44,Variable_Heat_Content,MATCH($P$29,$A$77:$AK$77,0),0),0)</f>
        <v>0</v>
      </c>
      <c r="G44" s="860" t="s">
        <v>254</v>
      </c>
      <c r="H44" s="785"/>
      <c r="X44" s="338"/>
    </row>
    <row r="45" spans="1:24" ht="14.25" customHeight="1">
      <c r="B45" s="860" t="s">
        <v>271</v>
      </c>
      <c r="C45" s="956">
        <v>10.15</v>
      </c>
      <c r="D45" s="947">
        <f t="shared" si="5"/>
        <v>4.0500000000000003E-4</v>
      </c>
      <c r="E45" s="949">
        <f t="shared" si="6"/>
        <v>8.1000000000000004E-5</v>
      </c>
      <c r="F45" s="957">
        <v>0.13500000000000001</v>
      </c>
      <c r="G45" s="914" t="s">
        <v>254</v>
      </c>
      <c r="H45" s="785"/>
      <c r="X45" s="338"/>
    </row>
    <row r="46" spans="1:24" ht="14.25" customHeight="1">
      <c r="C46" s="211"/>
      <c r="D46" s="437"/>
      <c r="E46" s="437"/>
      <c r="X46" s="338"/>
    </row>
    <row r="47" spans="1:24">
      <c r="A47" s="436" t="s">
        <v>890</v>
      </c>
      <c r="X47" s="338"/>
    </row>
    <row r="48" spans="1:24">
      <c r="A48" s="436"/>
      <c r="C48" t="s">
        <v>891</v>
      </c>
      <c r="X48" s="338"/>
    </row>
    <row r="49" spans="1:37" ht="16.5">
      <c r="B49" s="438" t="s">
        <v>167</v>
      </c>
      <c r="C49" s="439" t="s">
        <v>553</v>
      </c>
      <c r="D49" s="440" t="s">
        <v>456</v>
      </c>
      <c r="E49" s="440" t="s">
        <v>457</v>
      </c>
      <c r="F49" s="442" t="s">
        <v>892</v>
      </c>
      <c r="G49" s="1139"/>
      <c r="H49" s="1140"/>
      <c r="X49" s="338"/>
    </row>
    <row r="50" spans="1:37">
      <c r="B50" s="441" t="s">
        <v>169</v>
      </c>
      <c r="C50" s="786">
        <f>IFERROR((VLOOKUP($B50,Variable_Carbon_Coefficients,MATCH($P$29,$A$61:$AK$61,0),0)*C_to_CO2),0)</f>
        <v>0</v>
      </c>
      <c r="D50" s="787">
        <f>4.7*g_kg</f>
        <v>4.7000000000000002E-3</v>
      </c>
      <c r="E50" s="787">
        <f>0.1*g_kg</f>
        <v>1E-4</v>
      </c>
      <c r="F50" s="788">
        <f>IFERROR(VLOOKUP(B50,Variable_Heat_Content,MATCH($P$29,$A$77:$AK$77,0),0),0)</f>
        <v>0</v>
      </c>
      <c r="G50" s="1135" t="s">
        <v>893</v>
      </c>
      <c r="H50" s="1136"/>
      <c r="X50" s="338"/>
    </row>
    <row r="51" spans="1:37">
      <c r="B51" s="441" t="s">
        <v>171</v>
      </c>
      <c r="C51" s="787">
        <v>52.07</v>
      </c>
      <c r="D51" s="787">
        <v>3.2000000000000002E-3</v>
      </c>
      <c r="E51" s="787">
        <v>6.3000000000000003E-4</v>
      </c>
      <c r="F51" s="789">
        <v>6.5499999999999998E-4</v>
      </c>
      <c r="G51" s="1135" t="s">
        <v>893</v>
      </c>
      <c r="H51" s="1136"/>
      <c r="X51" s="338"/>
    </row>
    <row r="52" spans="1:37">
      <c r="B52" s="441" t="s">
        <v>180</v>
      </c>
      <c r="C52" s="786">
        <f>IFERROR((VLOOKUP($B52,Variable_Carbon_Coefficients,MATCH($P$29,$A$61:$AK$61,0),0)*C_to_CO2),0)</f>
        <v>0</v>
      </c>
      <c r="D52" s="787">
        <f>3*g_kg</f>
        <v>3.0000000000000001E-3</v>
      </c>
      <c r="E52" s="787">
        <f>0.6*g_kg</f>
        <v>5.9999999999999995E-4</v>
      </c>
      <c r="F52" s="789">
        <f>5.67/Oil_barrel_to_gallon</f>
        <v>0.13500000000000001</v>
      </c>
      <c r="G52" s="1135" t="s">
        <v>894</v>
      </c>
      <c r="H52" s="1136"/>
      <c r="X52" s="338"/>
    </row>
    <row r="53" spans="1:37">
      <c r="B53" s="441" t="s">
        <v>266</v>
      </c>
      <c r="C53" s="786">
        <f>IFERROR((VLOOKUP($B53,Variable_Carbon_Coefficients,MATCH($P$29,$A$61:$AK$61,0),0)*C_to_CO2),0)</f>
        <v>0</v>
      </c>
      <c r="D53" s="787">
        <f>11*g_kg</f>
        <v>1.0999999999999999E-2</v>
      </c>
      <c r="E53" s="787">
        <f>1.6*g_kg</f>
        <v>1.6000000000000001E-3</v>
      </c>
      <c r="F53" s="789">
        <v>24.93</v>
      </c>
      <c r="G53" s="1135" t="s">
        <v>895</v>
      </c>
      <c r="H53" s="1136"/>
      <c r="X53" s="338"/>
    </row>
    <row r="54" spans="1:37">
      <c r="B54" s="441" t="s">
        <v>267</v>
      </c>
      <c r="C54" s="766">
        <f>IFERROR((VLOOKUP($B54,Variable_Carbon_Coefficients,MATCH($P$29,$A$61:$AK$61,0),0)*C_to_CO2),0)</f>
        <v>0</v>
      </c>
      <c r="D54" s="767">
        <f>11*g_kg</f>
        <v>1.0999999999999999E-2</v>
      </c>
      <c r="E54" s="767">
        <f>1.6*g_kg</f>
        <v>1.6000000000000001E-3</v>
      </c>
      <c r="F54" s="768">
        <v>21.39</v>
      </c>
      <c r="G54" s="1135" t="s">
        <v>895</v>
      </c>
      <c r="H54" s="1136"/>
      <c r="X54" s="338"/>
    </row>
    <row r="55" spans="1:37">
      <c r="B55" s="441" t="s">
        <v>268</v>
      </c>
      <c r="C55" s="766">
        <f>IFERROR((VLOOKUP($B55,Variable_Carbon_Coefficients,MATCH($P$29,$A$61:$AK$61,0),0)*C_to_CO2),0)</f>
        <v>0</v>
      </c>
      <c r="D55" s="767">
        <f>11*g_kg</f>
        <v>1.0999999999999999E-2</v>
      </c>
      <c r="E55" s="767">
        <f>1.6*g_kg</f>
        <v>1.6000000000000001E-3</v>
      </c>
      <c r="F55" s="768">
        <v>22.35</v>
      </c>
      <c r="G55" s="1135" t="s">
        <v>895</v>
      </c>
      <c r="H55" s="1136"/>
      <c r="X55" s="338"/>
    </row>
    <row r="56" spans="1:37">
      <c r="B56" s="441" t="s">
        <v>269</v>
      </c>
      <c r="C56" s="766">
        <f>IFERROR((VLOOKUP($B56,Variable_Carbon_Coefficients,MATCH($P$29,$A$61:$AK$61,0),0)*C_to_CO2),0)</f>
        <v>0</v>
      </c>
      <c r="D56" s="767">
        <f>11*g_kg</f>
        <v>1.0999999999999999E-2</v>
      </c>
      <c r="E56" s="767">
        <f>1.6*g_kg</f>
        <v>1.6000000000000001E-3</v>
      </c>
      <c r="F56" s="768">
        <v>19.73</v>
      </c>
      <c r="G56" s="1135" t="s">
        <v>895</v>
      </c>
      <c r="H56" s="1136"/>
      <c r="X56" s="338"/>
    </row>
    <row r="57" spans="1:37">
      <c r="X57" s="338"/>
    </row>
    <row r="58" spans="1:37">
      <c r="A58" s="286" t="s">
        <v>1228</v>
      </c>
      <c r="B58" s="57"/>
      <c r="C58" s="57"/>
      <c r="D58" s="57"/>
      <c r="E58" s="57"/>
      <c r="F58" s="57"/>
      <c r="G58" s="57"/>
      <c r="H58" s="57"/>
      <c r="I58" s="57"/>
      <c r="J58" s="57"/>
      <c r="K58" s="57"/>
      <c r="L58" s="57"/>
      <c r="X58" s="338"/>
    </row>
    <row r="59" spans="1:37">
      <c r="A59" s="286"/>
      <c r="B59" s="57"/>
      <c r="C59" s="57"/>
      <c r="D59" s="57"/>
      <c r="E59" s="57"/>
      <c r="F59" s="57"/>
      <c r="G59" s="57"/>
      <c r="H59" s="57"/>
      <c r="I59" s="57"/>
      <c r="J59" s="57"/>
      <c r="K59" s="57"/>
      <c r="L59" s="57"/>
    </row>
    <row r="60" spans="1:37">
      <c r="A60" s="436" t="s">
        <v>896</v>
      </c>
      <c r="B60" s="57"/>
      <c r="C60" s="57"/>
      <c r="D60" s="57"/>
      <c r="E60" s="57"/>
      <c r="F60" s="57"/>
      <c r="G60" s="57"/>
      <c r="H60" s="57"/>
      <c r="I60" s="57"/>
      <c r="J60" s="57"/>
      <c r="K60" s="57"/>
      <c r="L60" s="57"/>
    </row>
    <row r="61" spans="1:37">
      <c r="A61" s="436" t="s">
        <v>154</v>
      </c>
      <c r="B61" s="1">
        <v>1990</v>
      </c>
      <c r="C61" s="1">
        <v>1991</v>
      </c>
      <c r="D61" s="1">
        <v>1992</v>
      </c>
      <c r="E61" s="1">
        <v>1993</v>
      </c>
      <c r="F61" s="1">
        <v>1994</v>
      </c>
      <c r="G61" s="1">
        <v>1995</v>
      </c>
      <c r="H61" s="1">
        <v>1996</v>
      </c>
      <c r="I61" s="1">
        <v>1997</v>
      </c>
      <c r="J61" s="1">
        <v>1998</v>
      </c>
      <c r="K61" s="1">
        <v>1999</v>
      </c>
      <c r="L61" s="1">
        <v>2000</v>
      </c>
      <c r="M61" s="1">
        <v>2001</v>
      </c>
      <c r="N61" s="1">
        <v>2002</v>
      </c>
      <c r="O61" s="1">
        <v>2003</v>
      </c>
      <c r="P61" s="1">
        <v>2004</v>
      </c>
      <c r="Q61" s="1">
        <v>2005</v>
      </c>
      <c r="R61" s="1">
        <v>2006</v>
      </c>
      <c r="S61" s="1">
        <v>2007</v>
      </c>
      <c r="T61" s="1">
        <v>2008</v>
      </c>
      <c r="U61" s="1">
        <v>2009</v>
      </c>
      <c r="V61" s="1">
        <v>2010</v>
      </c>
      <c r="W61" s="1">
        <v>2011</v>
      </c>
      <c r="X61" s="1">
        <v>2012</v>
      </c>
      <c r="Y61" s="1">
        <v>2013</v>
      </c>
      <c r="Z61" s="1">
        <v>2014</v>
      </c>
      <c r="AA61" s="1">
        <v>2015</v>
      </c>
      <c r="AB61" s="1">
        <v>2016</v>
      </c>
      <c r="AC61" s="1">
        <v>2017</v>
      </c>
      <c r="AD61" s="1">
        <v>2018</v>
      </c>
      <c r="AE61" s="1">
        <v>2019</v>
      </c>
      <c r="AF61" s="1">
        <v>2020</v>
      </c>
      <c r="AG61" s="1">
        <v>2021</v>
      </c>
      <c r="AH61" s="1">
        <v>2022</v>
      </c>
      <c r="AI61" s="1">
        <v>2023</v>
      </c>
      <c r="AJ61" s="1">
        <v>2024</v>
      </c>
      <c r="AK61" s="1">
        <v>2025</v>
      </c>
    </row>
    <row r="62" spans="1:37">
      <c r="A62" s="763" t="s">
        <v>266</v>
      </c>
      <c r="B62" s="211">
        <v>26.188403221531779</v>
      </c>
      <c r="C62" s="211">
        <v>26.265573230967654</v>
      </c>
      <c r="D62" s="211">
        <v>26.383192558471539</v>
      </c>
      <c r="E62" s="211">
        <v>26.159033043068632</v>
      </c>
      <c r="F62" s="211">
        <v>26.091045386983762</v>
      </c>
      <c r="G62" s="211">
        <v>26.125178785663419</v>
      </c>
      <c r="H62" s="211">
        <v>26.025855036863565</v>
      </c>
      <c r="I62" s="211">
        <v>25.890869922857618</v>
      </c>
      <c r="J62" s="211">
        <v>26.05516957877683</v>
      </c>
      <c r="K62" s="211">
        <v>25.972353624013728</v>
      </c>
      <c r="L62" s="211">
        <v>25.999060569647476</v>
      </c>
      <c r="M62" s="211">
        <v>25.991107715662618</v>
      </c>
      <c r="N62" s="211">
        <v>25.964551734270447</v>
      </c>
      <c r="O62" s="211">
        <v>26.02716693872711</v>
      </c>
      <c r="P62" s="211">
        <v>25.88579600257</v>
      </c>
      <c r="Q62" s="211">
        <v>26.036169679622709</v>
      </c>
      <c r="R62" s="211">
        <v>26.261987709907</v>
      </c>
      <c r="S62" s="211">
        <v>25.914168123912859</v>
      </c>
      <c r="T62" s="211">
        <v>25.705698174336916</v>
      </c>
      <c r="U62" s="211">
        <v>25.73345015802569</v>
      </c>
      <c r="V62" s="211">
        <v>25.749810942329489</v>
      </c>
      <c r="W62" s="211">
        <v>25.81266735450231</v>
      </c>
      <c r="X62" s="211">
        <v>25.883027630938649</v>
      </c>
      <c r="Y62" s="211">
        <v>25.904476827329631</v>
      </c>
      <c r="Z62" s="211">
        <v>25.884448536287529</v>
      </c>
      <c r="AA62" s="211">
        <v>25.981544092334147</v>
      </c>
      <c r="AB62" s="211">
        <v>26.01385695348554</v>
      </c>
      <c r="AC62" s="211">
        <v>26.087352515682195</v>
      </c>
      <c r="AD62" s="211">
        <v>26.094091194618521</v>
      </c>
      <c r="AE62" s="211">
        <v>26.106167105273808</v>
      </c>
      <c r="AF62" s="211">
        <v>26.208874299954459</v>
      </c>
      <c r="AG62" s="211">
        <v>26.155796779903174</v>
      </c>
      <c r="AH62" s="211">
        <v>26.155796779903174</v>
      </c>
      <c r="AI62" s="784">
        <f t="shared" ref="AI62:AK62" si="7">AH62</f>
        <v>26.155796779903174</v>
      </c>
      <c r="AJ62" s="784">
        <f t="shared" si="7"/>
        <v>26.155796779903174</v>
      </c>
      <c r="AK62" s="784">
        <f t="shared" si="7"/>
        <v>26.155796779903174</v>
      </c>
    </row>
    <row r="63" spans="1:37">
      <c r="A63" s="763" t="s">
        <v>267</v>
      </c>
      <c r="B63" s="211">
        <v>26.188403221531779</v>
      </c>
      <c r="C63" s="211">
        <v>26.265573230967654</v>
      </c>
      <c r="D63" s="211">
        <v>26.383192558471539</v>
      </c>
      <c r="E63" s="211">
        <v>26.159033043068632</v>
      </c>
      <c r="F63" s="211">
        <v>26.091045386983762</v>
      </c>
      <c r="G63" s="211">
        <v>26.125178785663419</v>
      </c>
      <c r="H63" s="211">
        <v>26.025855036863565</v>
      </c>
      <c r="I63" s="211">
        <v>25.890869922857618</v>
      </c>
      <c r="J63" s="211">
        <v>26.05516957877683</v>
      </c>
      <c r="K63" s="211">
        <v>25.972353624013728</v>
      </c>
      <c r="L63" s="211">
        <v>25.999060569647476</v>
      </c>
      <c r="M63" s="211">
        <v>25.991107715662618</v>
      </c>
      <c r="N63" s="211">
        <v>25.964551734270447</v>
      </c>
      <c r="O63" s="211">
        <v>26.02716693872711</v>
      </c>
      <c r="P63" s="211">
        <v>25.88579600257</v>
      </c>
      <c r="Q63" s="211">
        <v>26.036169679622709</v>
      </c>
      <c r="R63" s="211">
        <v>26.261987709907</v>
      </c>
      <c r="S63" s="211">
        <v>25.914168123912859</v>
      </c>
      <c r="T63" s="211">
        <v>25.705698174336916</v>
      </c>
      <c r="U63" s="211">
        <v>25.73345015802569</v>
      </c>
      <c r="V63" s="211">
        <v>25.749810942329489</v>
      </c>
      <c r="W63" s="211">
        <v>25.81266735450231</v>
      </c>
      <c r="X63" s="211">
        <v>25.883027630938649</v>
      </c>
      <c r="Y63" s="211">
        <v>25.904476827329631</v>
      </c>
      <c r="Z63" s="211">
        <v>25.884448536287529</v>
      </c>
      <c r="AA63" s="211">
        <v>25.981544092334147</v>
      </c>
      <c r="AB63" s="211">
        <v>26.01385695348554</v>
      </c>
      <c r="AC63" s="211">
        <v>26.087352515682195</v>
      </c>
      <c r="AD63" s="211">
        <v>26.094091194618521</v>
      </c>
      <c r="AE63" s="211">
        <v>26.106167105273808</v>
      </c>
      <c r="AF63" s="211">
        <v>26.208874299954459</v>
      </c>
      <c r="AG63" s="211">
        <v>26.155796779903174</v>
      </c>
      <c r="AH63" s="211">
        <v>26.155796779903174</v>
      </c>
      <c r="AI63" s="784">
        <f t="shared" ref="AI63:AK63" si="8">AH63</f>
        <v>26.155796779903174</v>
      </c>
      <c r="AJ63" s="784">
        <f t="shared" si="8"/>
        <v>26.155796779903174</v>
      </c>
      <c r="AK63" s="784">
        <f t="shared" si="8"/>
        <v>26.155796779903174</v>
      </c>
    </row>
    <row r="64" spans="1:37">
      <c r="A64" s="763" t="s">
        <v>268</v>
      </c>
      <c r="B64" s="211">
        <v>25.805642720842716</v>
      </c>
      <c r="C64" s="211">
        <v>25.871881489576712</v>
      </c>
      <c r="D64" s="211">
        <v>25.855929983116827</v>
      </c>
      <c r="E64" s="211">
        <v>25.7596293373355</v>
      </c>
      <c r="F64" s="211">
        <v>25.760898130645295</v>
      </c>
      <c r="G64" s="211">
        <v>25.786514287120493</v>
      </c>
      <c r="H64" s="211">
        <v>25.743650552579652</v>
      </c>
      <c r="I64" s="211">
        <v>25.746983670488884</v>
      </c>
      <c r="J64" s="211">
        <v>25.78479363546386</v>
      </c>
      <c r="K64" s="211">
        <v>25.795891623557694</v>
      </c>
      <c r="L64" s="211">
        <v>25.736471250030551</v>
      </c>
      <c r="M64" s="211">
        <v>25.654338462605946</v>
      </c>
      <c r="N64" s="211">
        <v>25.561804762419062</v>
      </c>
      <c r="O64" s="211">
        <v>25.540878814005229</v>
      </c>
      <c r="P64" s="211">
        <v>25.548258103728873</v>
      </c>
      <c r="Q64" s="211">
        <v>25.794744187902076</v>
      </c>
      <c r="R64" s="211">
        <v>25.832832980649002</v>
      </c>
      <c r="S64" s="211">
        <v>25.812379837011846</v>
      </c>
      <c r="T64" s="211">
        <v>25.81183277073524</v>
      </c>
      <c r="U64" s="211">
        <v>25.862590070178246</v>
      </c>
      <c r="V64" s="211">
        <v>25.862499126220154</v>
      </c>
      <c r="W64" s="211">
        <v>25.88209416744013</v>
      </c>
      <c r="X64" s="211">
        <v>25.935452316860108</v>
      </c>
      <c r="Y64" s="211">
        <v>25.92550247708688</v>
      </c>
      <c r="Z64" s="211">
        <v>25.945628789887504</v>
      </c>
      <c r="AA64" s="211">
        <v>26.004165366210408</v>
      </c>
      <c r="AB64" s="211">
        <v>26.034587614654345</v>
      </c>
      <c r="AC64" s="211">
        <v>26.059260610389686</v>
      </c>
      <c r="AD64" s="211">
        <v>26.080642025139742</v>
      </c>
      <c r="AE64" s="211">
        <v>26.070809180622827</v>
      </c>
      <c r="AF64" s="211">
        <v>26.128213850965309</v>
      </c>
      <c r="AG64" s="211">
        <v>26.096126973845443</v>
      </c>
      <c r="AH64" s="211">
        <v>26.096126973845443</v>
      </c>
      <c r="AI64" s="784">
        <f t="shared" ref="AI64:AK64" si="9">AH64</f>
        <v>26.096126973845443</v>
      </c>
      <c r="AJ64" s="784">
        <f t="shared" si="9"/>
        <v>26.096126973845443</v>
      </c>
      <c r="AK64" s="784">
        <f t="shared" si="9"/>
        <v>26.096126973845443</v>
      </c>
    </row>
    <row r="65" spans="1:37">
      <c r="A65" s="763" t="s">
        <v>269</v>
      </c>
      <c r="B65" s="211">
        <v>25.937996057334406</v>
      </c>
      <c r="C65" s="211">
        <v>25.96702960313344</v>
      </c>
      <c r="D65" s="211">
        <v>25.980478757244502</v>
      </c>
      <c r="E65" s="211">
        <v>25.877462041936699</v>
      </c>
      <c r="F65" s="211">
        <v>25.878591831903154</v>
      </c>
      <c r="G65" s="211">
        <v>25.91789491540214</v>
      </c>
      <c r="H65" s="211">
        <v>25.920424261243117</v>
      </c>
      <c r="I65" s="211">
        <v>25.910357205212129</v>
      </c>
      <c r="J65" s="211">
        <v>25.932621499274997</v>
      </c>
      <c r="K65" s="211">
        <v>25.963566646993332</v>
      </c>
      <c r="L65" s="211">
        <v>25.982584881780109</v>
      </c>
      <c r="M65" s="211">
        <v>25.986062888967851</v>
      </c>
      <c r="N65" s="211">
        <v>26.040478918241558</v>
      </c>
      <c r="O65" s="211">
        <v>26.076716277910279</v>
      </c>
      <c r="P65" s="211">
        <v>26.084257586280138</v>
      </c>
      <c r="Q65" s="211">
        <v>26.076556063342331</v>
      </c>
      <c r="R65" s="211">
        <v>26.026523902182998</v>
      </c>
      <c r="S65" s="211">
        <v>26.033819892125507</v>
      </c>
      <c r="T65" s="211">
        <v>26.037482691484755</v>
      </c>
      <c r="U65" s="211">
        <v>26.039969620971139</v>
      </c>
      <c r="V65" s="211">
        <v>26.045458638153619</v>
      </c>
      <c r="W65" s="211">
        <v>26.045615716301278</v>
      </c>
      <c r="X65" s="211">
        <v>26.058623054411257</v>
      </c>
      <c r="Y65" s="211">
        <v>26.049147311306413</v>
      </c>
      <c r="Z65" s="211">
        <v>26.04112929797094</v>
      </c>
      <c r="AA65" s="211">
        <v>26.068323582825943</v>
      </c>
      <c r="AB65" s="211">
        <v>26.063603453552993</v>
      </c>
      <c r="AC65" s="211">
        <v>26.080965214865213</v>
      </c>
      <c r="AD65" s="211">
        <v>26.086614483816899</v>
      </c>
      <c r="AE65" s="211">
        <v>26.078382988493807</v>
      </c>
      <c r="AF65" s="211">
        <v>26.120456105517995</v>
      </c>
      <c r="AG65" s="211">
        <v>26.132656264652134</v>
      </c>
      <c r="AH65" s="211">
        <v>26.132656264652134</v>
      </c>
      <c r="AI65" s="784">
        <f t="shared" ref="AI65:AK65" si="10">AH65</f>
        <v>26.132656264652134</v>
      </c>
      <c r="AJ65" s="784">
        <f t="shared" si="10"/>
        <v>26.132656264652134</v>
      </c>
      <c r="AK65" s="784">
        <f t="shared" si="10"/>
        <v>26.132656264652134</v>
      </c>
    </row>
    <row r="66" spans="1:37">
      <c r="A66" s="763" t="s">
        <v>174</v>
      </c>
      <c r="B66" s="211">
        <v>17.34597441530552</v>
      </c>
      <c r="C66" s="211">
        <v>17.389884943324603</v>
      </c>
      <c r="D66" s="211">
        <v>17.381129202360352</v>
      </c>
      <c r="E66" s="211">
        <v>17.400741387965933</v>
      </c>
      <c r="F66" s="211">
        <v>17.384858457284938</v>
      </c>
      <c r="G66" s="211">
        <v>17.406573427205515</v>
      </c>
      <c r="H66" s="211">
        <v>17.408011760738027</v>
      </c>
      <c r="I66" s="211">
        <v>17.456898398309974</v>
      </c>
      <c r="J66" s="211">
        <v>17.486782178206113</v>
      </c>
      <c r="K66" s="211">
        <v>17.481293204534854</v>
      </c>
      <c r="L66" s="211">
        <v>17.498812340308277</v>
      </c>
      <c r="M66" s="211">
        <v>17.531675652497988</v>
      </c>
      <c r="N66" s="211">
        <v>17.527380437151844</v>
      </c>
      <c r="O66" s="211">
        <v>17.575218724301944</v>
      </c>
      <c r="P66" s="211">
        <v>17.560810647221505</v>
      </c>
      <c r="Q66" s="211">
        <v>17.548639616961314</v>
      </c>
      <c r="R66" s="211">
        <v>17.564747148461482</v>
      </c>
      <c r="S66" s="211">
        <v>17.545496543859304</v>
      </c>
      <c r="T66" s="211">
        <v>17.614902347680069</v>
      </c>
      <c r="U66" s="211">
        <v>17.680080156052945</v>
      </c>
      <c r="V66" s="211">
        <v>17.74259458536784</v>
      </c>
      <c r="W66" s="211">
        <v>17.727109048868925</v>
      </c>
      <c r="X66" s="211">
        <v>17.664206338104695</v>
      </c>
      <c r="Y66" s="211">
        <v>17.634981008548731</v>
      </c>
      <c r="Z66" s="211">
        <v>17.707734142299049</v>
      </c>
      <c r="AA66" s="211">
        <v>17.678747622917093</v>
      </c>
      <c r="AB66" s="211">
        <v>17.702346346416931</v>
      </c>
      <c r="AC66" s="211">
        <v>17.740059296020736</v>
      </c>
      <c r="AD66" s="211">
        <v>17.730487220668685</v>
      </c>
      <c r="AE66" s="211">
        <v>17.765137541392221</v>
      </c>
      <c r="AF66" s="211">
        <v>17.746560604157896</v>
      </c>
      <c r="AG66" s="211">
        <v>17.774410481887031</v>
      </c>
      <c r="AH66" s="211">
        <v>17.741669062118369</v>
      </c>
      <c r="AI66" s="784">
        <f t="shared" ref="AI66:AK66" si="11">AH66</f>
        <v>17.741669062118369</v>
      </c>
      <c r="AJ66" s="784">
        <f t="shared" si="11"/>
        <v>17.741669062118369</v>
      </c>
      <c r="AK66" s="784">
        <f t="shared" si="11"/>
        <v>17.741669062118369</v>
      </c>
    </row>
    <row r="67" spans="1:37">
      <c r="A67" s="763" t="s">
        <v>178</v>
      </c>
      <c r="B67" s="211">
        <v>17.146363636363635</v>
      </c>
      <c r="C67" s="211">
        <v>17.146363636363635</v>
      </c>
      <c r="D67" s="211">
        <v>17.146363636363635</v>
      </c>
      <c r="E67" s="211">
        <v>17.146363636363635</v>
      </c>
      <c r="F67" s="211">
        <v>17.146363636363635</v>
      </c>
      <c r="G67" s="211">
        <v>17.146363636363635</v>
      </c>
      <c r="H67" s="211">
        <v>17.146363636363635</v>
      </c>
      <c r="I67" s="211">
        <v>17.146363636363635</v>
      </c>
      <c r="J67" s="211">
        <v>17.146363636363635</v>
      </c>
      <c r="K67" s="211">
        <v>17.146363636363635</v>
      </c>
      <c r="L67" s="211">
        <v>17.146363636363635</v>
      </c>
      <c r="M67" s="211">
        <v>17.146363636363635</v>
      </c>
      <c r="N67" s="211">
        <v>17.146363636363635</v>
      </c>
      <c r="O67" s="211">
        <v>17.146363636363635</v>
      </c>
      <c r="P67" s="211">
        <v>17.146363636363635</v>
      </c>
      <c r="Q67" s="211">
        <v>17.146363636363635</v>
      </c>
      <c r="R67" s="211">
        <v>17.146363636363635</v>
      </c>
      <c r="S67" s="211">
        <v>17.146363636363635</v>
      </c>
      <c r="T67" s="211">
        <v>17.146363636363635</v>
      </c>
      <c r="U67" s="211">
        <v>17.146363636363635</v>
      </c>
      <c r="V67" s="211">
        <v>17.146363636363635</v>
      </c>
      <c r="W67" s="211">
        <v>17.146363636363635</v>
      </c>
      <c r="X67" s="211">
        <v>17.146363636363635</v>
      </c>
      <c r="Y67" s="211">
        <v>17.146363636363635</v>
      </c>
      <c r="Z67" s="211">
        <v>17.146363636363635</v>
      </c>
      <c r="AA67" s="211">
        <v>17.146363636363635</v>
      </c>
      <c r="AB67" s="211">
        <v>17.146363636363635</v>
      </c>
      <c r="AC67" s="211">
        <v>17.146363636363635</v>
      </c>
      <c r="AD67" s="211">
        <v>17.146363636363635</v>
      </c>
      <c r="AE67" s="211">
        <v>17.146363636363635</v>
      </c>
      <c r="AF67" s="211">
        <v>17.146363636363635</v>
      </c>
      <c r="AG67" s="211">
        <v>17.146363636363635</v>
      </c>
      <c r="AH67" s="211">
        <v>17.146363636363635</v>
      </c>
      <c r="AI67" s="784">
        <f t="shared" ref="AI67:AK67" si="12">AH67</f>
        <v>17.146363636363635</v>
      </c>
      <c r="AJ67" s="784">
        <f t="shared" si="12"/>
        <v>17.146363636363635</v>
      </c>
      <c r="AK67" s="784">
        <f t="shared" si="12"/>
        <v>17.146363636363635</v>
      </c>
    </row>
    <row r="68" spans="1:37">
      <c r="A68" s="763" t="s">
        <v>175</v>
      </c>
      <c r="B68" s="211">
        <v>19.422820377744564</v>
      </c>
      <c r="C68" s="211">
        <v>19.438981221928678</v>
      </c>
      <c r="D68" s="211">
        <v>19.491985360913997</v>
      </c>
      <c r="E68" s="211">
        <v>19.439169784991449</v>
      </c>
      <c r="F68" s="211">
        <v>19.363795946364121</v>
      </c>
      <c r="G68" s="211">
        <v>19.357284669381631</v>
      </c>
      <c r="H68" s="211">
        <v>19.354555468857317</v>
      </c>
      <c r="I68" s="211">
        <v>19.355101442635394</v>
      </c>
      <c r="J68" s="211">
        <v>19.366735691249527</v>
      </c>
      <c r="K68" s="211">
        <v>19.321635852506081</v>
      </c>
      <c r="L68" s="211">
        <v>19.47</v>
      </c>
      <c r="M68" s="211">
        <v>19.34</v>
      </c>
      <c r="N68" s="211">
        <v>19.36</v>
      </c>
      <c r="O68" s="211">
        <v>19.61</v>
      </c>
      <c r="P68" s="211">
        <v>19.43</v>
      </c>
      <c r="Q68" s="211">
        <v>19.32</v>
      </c>
      <c r="R68" s="211">
        <v>19.47</v>
      </c>
      <c r="S68" s="211">
        <v>19.57</v>
      </c>
      <c r="T68" s="211">
        <v>19.350000000000001</v>
      </c>
      <c r="U68" s="211">
        <v>19.440000000000001</v>
      </c>
      <c r="V68" s="211">
        <v>19.39</v>
      </c>
      <c r="W68" s="211">
        <v>19.38</v>
      </c>
      <c r="X68" s="211">
        <v>19.350000000000001</v>
      </c>
      <c r="Y68" s="211">
        <v>19.28</v>
      </c>
      <c r="Z68" s="211">
        <v>19.260000000000002</v>
      </c>
      <c r="AA68" s="211">
        <v>19.252564540839455</v>
      </c>
      <c r="AB68" s="211">
        <v>19.262501967102367</v>
      </c>
      <c r="AC68" s="211">
        <v>19.279945488604678</v>
      </c>
      <c r="AD68" s="211">
        <v>19.268142985283784</v>
      </c>
      <c r="AE68" s="211">
        <v>19.265712984148887</v>
      </c>
      <c r="AF68" s="211">
        <v>19.26959818755628</v>
      </c>
      <c r="AG68" s="211">
        <v>19.26959818755628</v>
      </c>
      <c r="AH68" s="211">
        <v>19.26959818755628</v>
      </c>
      <c r="AI68" s="784">
        <f t="shared" ref="AI68:AK68" si="13">AH68</f>
        <v>19.26959818755628</v>
      </c>
      <c r="AJ68" s="784">
        <f t="shared" si="13"/>
        <v>19.26959818755628</v>
      </c>
      <c r="AK68" s="784">
        <f t="shared" si="13"/>
        <v>19.26959818755628</v>
      </c>
    </row>
    <row r="69" spans="1:37">
      <c r="A69" s="763" t="s">
        <v>180</v>
      </c>
      <c r="B69" s="211">
        <v>19.399999999999999</v>
      </c>
      <c r="C69" s="211">
        <v>19.399999999999999</v>
      </c>
      <c r="D69" s="211">
        <v>19.39</v>
      </c>
      <c r="E69" s="211">
        <v>19.37</v>
      </c>
      <c r="F69" s="211">
        <v>19.350000000000001</v>
      </c>
      <c r="G69" s="211">
        <v>19.34</v>
      </c>
      <c r="H69" s="211">
        <v>19.696969696969692</v>
      </c>
      <c r="I69" s="211">
        <v>19.696969696969692</v>
      </c>
      <c r="J69" s="211">
        <v>19.696969696969692</v>
      </c>
      <c r="K69" s="211">
        <v>19.696969696969692</v>
      </c>
      <c r="L69" s="211">
        <v>19.696969696969692</v>
      </c>
      <c r="M69" s="211">
        <v>19.696969696969692</v>
      </c>
      <c r="N69" s="211">
        <v>19.696969696969692</v>
      </c>
      <c r="O69" s="211">
        <v>19.696969696969692</v>
      </c>
      <c r="P69" s="211">
        <v>19.696969696969692</v>
      </c>
      <c r="Q69" s="211">
        <v>19.696969696969692</v>
      </c>
      <c r="R69" s="211">
        <v>19.696969696969692</v>
      </c>
      <c r="S69" s="211">
        <v>19.696969696969692</v>
      </c>
      <c r="T69" s="211">
        <v>19.696969696969692</v>
      </c>
      <c r="U69" s="211">
        <v>19.696969696969692</v>
      </c>
      <c r="V69" s="211">
        <v>19.696969696969692</v>
      </c>
      <c r="W69" s="211">
        <v>19.696969696969692</v>
      </c>
      <c r="X69" s="211">
        <v>19.696969696969692</v>
      </c>
      <c r="Y69" s="211">
        <v>19.696969696969692</v>
      </c>
      <c r="Z69" s="211">
        <v>19.696969696969692</v>
      </c>
      <c r="AA69" s="211">
        <v>19.696969696969692</v>
      </c>
      <c r="AB69" s="211">
        <v>19.696969696969692</v>
      </c>
      <c r="AC69" s="211">
        <v>19.696969696969692</v>
      </c>
      <c r="AD69" s="211">
        <v>19.696969696969692</v>
      </c>
      <c r="AE69" s="211">
        <v>19.696969696969692</v>
      </c>
      <c r="AF69" s="211">
        <v>19.696969696969692</v>
      </c>
      <c r="AG69" s="211">
        <v>19.696969696969692</v>
      </c>
      <c r="AH69" s="211">
        <v>19.696969696969692</v>
      </c>
      <c r="AI69" s="784">
        <f t="shared" ref="AI69:AK69" si="14">AH69</f>
        <v>19.696969696969692</v>
      </c>
      <c r="AJ69" s="784">
        <f t="shared" si="14"/>
        <v>19.696969696969692</v>
      </c>
      <c r="AK69" s="784">
        <f t="shared" si="14"/>
        <v>19.696969696969692</v>
      </c>
    </row>
    <row r="70" spans="1:37">
      <c r="A70" s="763" t="s">
        <v>169</v>
      </c>
      <c r="B70" s="211">
        <v>14.455165742468415</v>
      </c>
      <c r="C70" s="211">
        <v>14.45183127669903</v>
      </c>
      <c r="D70" s="211">
        <v>14.45183127669903</v>
      </c>
      <c r="E70" s="211">
        <v>14.461854154819864</v>
      </c>
      <c r="F70" s="211">
        <v>14.458506695525291</v>
      </c>
      <c r="G70" s="211">
        <v>14.46520813937622</v>
      </c>
      <c r="H70" s="211">
        <v>14.46520813937622</v>
      </c>
      <c r="I70" s="211">
        <v>14.46520813937622</v>
      </c>
      <c r="J70" s="211">
        <v>14.448503279340446</v>
      </c>
      <c r="K70" s="211">
        <v>14.461854154819864</v>
      </c>
      <c r="L70" s="211">
        <v>14.468568668292685</v>
      </c>
      <c r="M70" s="211">
        <v>14.458506695525291</v>
      </c>
      <c r="N70" s="211">
        <v>14.471935760742188</v>
      </c>
      <c r="O70" s="211">
        <v>14.458506695525291</v>
      </c>
      <c r="P70" s="211">
        <v>14.46520813937622</v>
      </c>
      <c r="Q70" s="211">
        <v>14.458506695525291</v>
      </c>
      <c r="R70" s="211">
        <v>14.458506695525291</v>
      </c>
      <c r="S70" s="211">
        <v>14.461854154819864</v>
      </c>
      <c r="T70" s="211">
        <v>14.461854154819864</v>
      </c>
      <c r="U70" s="211">
        <v>14.468568668292685</v>
      </c>
      <c r="V70" s="211">
        <v>14.47530943597263</v>
      </c>
      <c r="W70" s="211">
        <v>14.47868971330724</v>
      </c>
      <c r="X70" s="211">
        <v>14.471935760742188</v>
      </c>
      <c r="Y70" s="211">
        <v>14.461854154819864</v>
      </c>
      <c r="Z70" s="211">
        <v>14.445181731589148</v>
      </c>
      <c r="AA70" s="211">
        <v>14.428670083895854</v>
      </c>
      <c r="AB70" s="211">
        <v>14.428670083895854</v>
      </c>
      <c r="AC70" s="211">
        <v>14.431959663127413</v>
      </c>
      <c r="AD70" s="211">
        <v>14.431959663127413</v>
      </c>
      <c r="AE70" s="211">
        <v>14.425386842967246</v>
      </c>
      <c r="AF70" s="211">
        <v>14.428670083895854</v>
      </c>
      <c r="AG70" s="211">
        <v>14.428670083895854</v>
      </c>
      <c r="AH70" s="211">
        <v>14.431959663127413</v>
      </c>
      <c r="AI70" s="784">
        <f t="shared" ref="AI70:AK70" si="15">AH70</f>
        <v>14.431959663127413</v>
      </c>
      <c r="AJ70" s="784">
        <f t="shared" si="15"/>
        <v>14.431959663127413</v>
      </c>
      <c r="AK70" s="784">
        <f t="shared" si="15"/>
        <v>14.431959663127413</v>
      </c>
    </row>
    <row r="71" spans="1:37">
      <c r="A71" s="763" t="s">
        <v>270</v>
      </c>
      <c r="B71" s="211">
        <v>20.170000000000002</v>
      </c>
      <c r="C71" s="211">
        <v>20.170000000000002</v>
      </c>
      <c r="D71" s="211">
        <v>20.170000000000002</v>
      </c>
      <c r="E71" s="211">
        <v>20.170000000000002</v>
      </c>
      <c r="F71" s="211">
        <v>20.170000000000002</v>
      </c>
      <c r="G71" s="211">
        <v>20.170000000000002</v>
      </c>
      <c r="H71" s="211">
        <v>20.170000000000002</v>
      </c>
      <c r="I71" s="211">
        <v>20.170000000000002</v>
      </c>
      <c r="J71" s="211">
        <v>20.170000000000002</v>
      </c>
      <c r="K71" s="211">
        <v>20.170000000000002</v>
      </c>
      <c r="L71" s="211">
        <v>20.39</v>
      </c>
      <c r="M71" s="211">
        <v>20.36</v>
      </c>
      <c r="N71" s="211">
        <v>20.36</v>
      </c>
      <c r="O71" s="211">
        <v>20.37</v>
      </c>
      <c r="P71" s="211">
        <v>20.39</v>
      </c>
      <c r="Q71" s="211">
        <v>20.37</v>
      </c>
      <c r="R71" s="211">
        <v>20.329999999999998</v>
      </c>
      <c r="S71" s="211">
        <v>20.25</v>
      </c>
      <c r="T71" s="211">
        <v>20.25</v>
      </c>
      <c r="U71" s="211">
        <v>20.23</v>
      </c>
      <c r="V71" s="211">
        <v>20.239999999999998</v>
      </c>
      <c r="W71" s="211">
        <v>20.22</v>
      </c>
      <c r="X71" s="211">
        <v>20.22</v>
      </c>
      <c r="Y71" s="211">
        <v>20.23</v>
      </c>
      <c r="Z71" s="211">
        <v>20.23</v>
      </c>
      <c r="AA71" s="211">
        <v>20.221641702001627</v>
      </c>
      <c r="AB71" s="211">
        <v>20.214239202481796</v>
      </c>
      <c r="AC71" s="211">
        <v>20.206427131077398</v>
      </c>
      <c r="AD71" s="211">
        <v>20.221719451899205</v>
      </c>
      <c r="AE71" s="211">
        <v>20.221719451899205</v>
      </c>
      <c r="AF71" s="211">
        <v>20.216892495282984</v>
      </c>
      <c r="AG71" s="211">
        <v>20.216892495282984</v>
      </c>
      <c r="AH71" s="211">
        <v>20.216892495282984</v>
      </c>
      <c r="AI71" s="784">
        <f t="shared" ref="AI71:AK71" si="16">AH71</f>
        <v>20.216892495282984</v>
      </c>
      <c r="AJ71" s="784">
        <f t="shared" si="16"/>
        <v>20.216892495282984</v>
      </c>
      <c r="AK71" s="784">
        <f t="shared" si="16"/>
        <v>20.216892495282984</v>
      </c>
    </row>
    <row r="72" spans="1:37">
      <c r="A72" s="286"/>
      <c r="B72" s="57"/>
      <c r="C72" s="57"/>
      <c r="D72" s="57"/>
      <c r="E72" s="57"/>
      <c r="F72" s="57"/>
      <c r="G72" s="57"/>
      <c r="H72" s="57"/>
      <c r="I72" s="57"/>
      <c r="J72" s="57"/>
      <c r="K72" s="57"/>
      <c r="L72" s="57"/>
    </row>
    <row r="73" spans="1:37">
      <c r="A73" s="286"/>
      <c r="B73" s="57"/>
      <c r="C73" s="57"/>
      <c r="D73" s="57"/>
      <c r="E73" s="57"/>
      <c r="F73" s="57"/>
      <c r="G73" s="57"/>
      <c r="H73" s="57"/>
      <c r="I73" s="57"/>
      <c r="J73" s="57"/>
      <c r="K73" s="57"/>
      <c r="L73" s="57"/>
    </row>
    <row r="74" spans="1:37">
      <c r="A74" s="286" t="s">
        <v>897</v>
      </c>
      <c r="B74" s="57"/>
      <c r="C74" s="57"/>
      <c r="D74" s="57"/>
      <c r="E74" s="57"/>
      <c r="F74" s="57"/>
      <c r="G74" s="57"/>
      <c r="H74" s="57"/>
      <c r="I74" s="57"/>
      <c r="J74" s="57"/>
      <c r="K74" s="57"/>
      <c r="L74" s="57"/>
    </row>
    <row r="75" spans="1:37">
      <c r="B75" s="57"/>
      <c r="C75" s="57"/>
      <c r="D75" s="57"/>
      <c r="E75" s="57"/>
      <c r="F75" s="57"/>
      <c r="G75" s="57"/>
      <c r="H75" s="57"/>
      <c r="I75" s="57"/>
      <c r="J75" s="57"/>
      <c r="K75" s="57"/>
      <c r="L75" s="57"/>
    </row>
    <row r="76" spans="1:37">
      <c r="A76" s="436" t="s">
        <v>898</v>
      </c>
      <c r="B76" s="57"/>
      <c r="C76" s="57"/>
      <c r="D76" s="57"/>
      <c r="E76" s="57"/>
      <c r="F76" s="57"/>
      <c r="G76" s="57"/>
      <c r="H76" s="57"/>
      <c r="I76" s="57"/>
      <c r="J76" s="57"/>
      <c r="K76" s="57"/>
      <c r="L76" s="57"/>
    </row>
    <row r="77" spans="1:37">
      <c r="A77" s="436" t="s">
        <v>154</v>
      </c>
      <c r="B77" s="1">
        <v>1990</v>
      </c>
      <c r="C77" s="1">
        <v>1991</v>
      </c>
      <c r="D77" s="1">
        <v>1992</v>
      </c>
      <c r="E77" s="1">
        <v>1993</v>
      </c>
      <c r="F77" s="1">
        <v>1994</v>
      </c>
      <c r="G77" s="1">
        <v>1995</v>
      </c>
      <c r="H77" s="1">
        <v>1996</v>
      </c>
      <c r="I77" s="1">
        <v>1997</v>
      </c>
      <c r="J77" s="1">
        <v>1998</v>
      </c>
      <c r="K77" s="1">
        <v>1999</v>
      </c>
      <c r="L77" s="1">
        <v>2000</v>
      </c>
      <c r="M77" s="1">
        <v>2001</v>
      </c>
      <c r="N77" s="1">
        <v>2002</v>
      </c>
      <c r="O77" s="1">
        <v>2003</v>
      </c>
      <c r="P77" s="1">
        <v>2004</v>
      </c>
      <c r="Q77" s="1">
        <v>2005</v>
      </c>
      <c r="R77" s="1">
        <v>2006</v>
      </c>
      <c r="S77" s="1">
        <v>2007</v>
      </c>
      <c r="T77" s="1">
        <v>2008</v>
      </c>
      <c r="U77" s="1">
        <v>2009</v>
      </c>
      <c r="V77" s="1">
        <v>2010</v>
      </c>
      <c r="W77" s="1">
        <v>2011</v>
      </c>
      <c r="X77" s="1">
        <v>2012</v>
      </c>
      <c r="Y77" s="1">
        <v>2013</v>
      </c>
      <c r="Z77" s="1">
        <v>2014</v>
      </c>
      <c r="AA77" s="1">
        <v>2015</v>
      </c>
      <c r="AB77" s="1">
        <v>2016</v>
      </c>
      <c r="AC77" s="1">
        <v>2017</v>
      </c>
      <c r="AD77" s="1">
        <v>2018</v>
      </c>
      <c r="AE77" s="1">
        <v>2019</v>
      </c>
      <c r="AF77" s="1">
        <v>2020</v>
      </c>
      <c r="AG77" s="1">
        <v>2021</v>
      </c>
      <c r="AH77" s="1">
        <v>2022</v>
      </c>
      <c r="AI77" s="1">
        <v>2023</v>
      </c>
      <c r="AJ77" s="1">
        <v>2024</v>
      </c>
      <c r="AK77" s="1">
        <v>2025</v>
      </c>
    </row>
    <row r="78" spans="1:37">
      <c r="A78" s="764" t="s">
        <v>169</v>
      </c>
      <c r="B78" s="765">
        <v>1.029E-3</v>
      </c>
      <c r="C78" s="765">
        <v>1.0300000000000001E-3</v>
      </c>
      <c r="D78" s="765">
        <v>1.0300000000000001E-3</v>
      </c>
      <c r="E78" s="765">
        <v>1.0269999999999999E-3</v>
      </c>
      <c r="F78" s="765">
        <v>1.0280000000000001E-3</v>
      </c>
      <c r="G78" s="765">
        <v>1.026E-3</v>
      </c>
      <c r="H78" s="765">
        <v>1.026E-3</v>
      </c>
      <c r="I78" s="765">
        <v>1.026E-3</v>
      </c>
      <c r="J78" s="765">
        <v>1.031E-3</v>
      </c>
      <c r="K78" s="765">
        <v>1.0269999999999999E-3</v>
      </c>
      <c r="L78" s="765">
        <v>1.0250000000000001E-3</v>
      </c>
      <c r="M78" s="765">
        <v>1.0280000000000001E-3</v>
      </c>
      <c r="N78" s="765">
        <v>1.024E-3</v>
      </c>
      <c r="O78" s="765">
        <v>1.0280000000000001E-3</v>
      </c>
      <c r="P78" s="765">
        <v>1.026E-3</v>
      </c>
      <c r="Q78" s="765">
        <v>1.0280000000000001E-3</v>
      </c>
      <c r="R78" s="765">
        <v>1.0280000000000001E-3</v>
      </c>
      <c r="S78" s="765">
        <v>1.0269999999999999E-3</v>
      </c>
      <c r="T78" s="765">
        <v>1.0269999999999999E-3</v>
      </c>
      <c r="U78" s="765">
        <v>1.0250000000000001E-3</v>
      </c>
      <c r="V78" s="765">
        <v>1.023E-3</v>
      </c>
      <c r="W78" s="765">
        <v>1.0219999999999999E-3</v>
      </c>
      <c r="X78" s="765">
        <v>1.024E-3</v>
      </c>
      <c r="Y78" s="765">
        <v>1.0269999999999999E-3</v>
      </c>
      <c r="Z78" s="765">
        <v>1.0319999999999999E-3</v>
      </c>
      <c r="AA78" s="765">
        <v>1.0369999999999999E-3</v>
      </c>
      <c r="AB78" s="765">
        <v>1.0369999999999999E-3</v>
      </c>
      <c r="AC78" s="765">
        <v>1.036E-3</v>
      </c>
      <c r="AD78" s="765">
        <v>1.036E-3</v>
      </c>
      <c r="AE78" s="765">
        <v>1.0380000000000001E-3</v>
      </c>
      <c r="AF78" s="765">
        <v>1.0369999999999999E-3</v>
      </c>
      <c r="AG78" s="765">
        <v>1.0369999999999999E-3</v>
      </c>
      <c r="AH78" s="765">
        <v>1.036E-3</v>
      </c>
      <c r="AI78" s="784">
        <f t="shared" ref="AI78:AK78" si="17">AH78</f>
        <v>1.036E-3</v>
      </c>
      <c r="AJ78" s="784">
        <f t="shared" si="17"/>
        <v>1.036E-3</v>
      </c>
      <c r="AK78" s="784">
        <f t="shared" si="17"/>
        <v>1.036E-3</v>
      </c>
    </row>
    <row r="79" spans="1:37">
      <c r="A79" s="764" t="s">
        <v>175</v>
      </c>
      <c r="B79" s="765">
        <v>0.12507142857142858</v>
      </c>
      <c r="C79" s="765">
        <v>0.12507142857142858</v>
      </c>
      <c r="D79" s="765">
        <v>0.12507142857142858</v>
      </c>
      <c r="E79" s="765">
        <v>0.12421428571428571</v>
      </c>
      <c r="F79" s="765">
        <v>0.12414285714285715</v>
      </c>
      <c r="G79" s="765">
        <v>0.12390476190476189</v>
      </c>
      <c r="H79" s="765">
        <v>0.12407142857142858</v>
      </c>
      <c r="I79" s="765">
        <v>0.12392857142857143</v>
      </c>
      <c r="J79" s="765">
        <v>0.12388095238095238</v>
      </c>
      <c r="K79" s="765">
        <v>0.12385714285714286</v>
      </c>
      <c r="L79" s="765">
        <v>0.12383333333333332</v>
      </c>
      <c r="M79" s="765">
        <v>0.12383333333333332</v>
      </c>
      <c r="N79" s="765">
        <v>0.12378571428571428</v>
      </c>
      <c r="O79" s="765">
        <v>0.12373809523809524</v>
      </c>
      <c r="P79" s="765">
        <v>0.12371428571428571</v>
      </c>
      <c r="Q79" s="765">
        <v>0.12361904761904763</v>
      </c>
      <c r="R79" s="765">
        <v>0.12345238095238094</v>
      </c>
      <c r="S79" s="765">
        <v>0.12242857142857144</v>
      </c>
      <c r="T79" s="765">
        <v>0.12157142857142857</v>
      </c>
      <c r="U79" s="765">
        <v>0.12119047619047618</v>
      </c>
      <c r="V79" s="765">
        <v>0.12064285714285715</v>
      </c>
      <c r="W79" s="765">
        <v>0.12054761904761904</v>
      </c>
      <c r="X79" s="765">
        <v>0.12052380952380953</v>
      </c>
      <c r="Y79" s="765">
        <v>0.12047619047619047</v>
      </c>
      <c r="Z79" s="765">
        <v>0.12045238095238095</v>
      </c>
      <c r="AA79" s="765">
        <v>0.12040476190476192</v>
      </c>
      <c r="AB79" s="765">
        <v>0.12035714285714286</v>
      </c>
      <c r="AC79" s="765">
        <v>0.12030952380952381</v>
      </c>
      <c r="AD79" s="765">
        <v>0.12033333333333333</v>
      </c>
      <c r="AE79" s="765">
        <v>0.12028571428571427</v>
      </c>
      <c r="AF79" s="765">
        <v>0.12028571428571427</v>
      </c>
      <c r="AG79" s="765">
        <v>0.12023809523809523</v>
      </c>
      <c r="AH79" s="765">
        <v>0.12021428571428572</v>
      </c>
      <c r="AI79" s="784">
        <f t="shared" ref="AI79:AK79" si="18">AH79</f>
        <v>0.12021428571428572</v>
      </c>
      <c r="AJ79" s="784">
        <f t="shared" si="18"/>
        <v>0.12021428571428572</v>
      </c>
      <c r="AK79" s="784">
        <f t="shared" si="18"/>
        <v>0.12021428571428572</v>
      </c>
    </row>
    <row r="80" spans="1:37">
      <c r="A80" s="764" t="s">
        <v>270</v>
      </c>
      <c r="B80" s="765">
        <v>0.1386904761904762</v>
      </c>
      <c r="C80" s="765">
        <v>0.1386904761904762</v>
      </c>
      <c r="D80" s="765">
        <v>0.1386904761904762</v>
      </c>
      <c r="E80" s="765">
        <v>0.1386904761904762</v>
      </c>
      <c r="F80" s="765">
        <v>0.1386904761904762</v>
      </c>
      <c r="G80" s="765">
        <v>0.1386904761904762</v>
      </c>
      <c r="H80" s="765">
        <v>0.1386904761904762</v>
      </c>
      <c r="I80" s="765">
        <v>0.1386904761904762</v>
      </c>
      <c r="J80" s="765">
        <v>0.1386904761904762</v>
      </c>
      <c r="K80" s="765">
        <v>0.1386904761904762</v>
      </c>
      <c r="L80" s="765">
        <v>0.1386904761904762</v>
      </c>
      <c r="M80" s="765">
        <v>0.1386904761904762</v>
      </c>
      <c r="N80" s="765">
        <v>0.1386904761904762</v>
      </c>
      <c r="O80" s="765">
        <v>0.1386904761904762</v>
      </c>
      <c r="P80" s="765">
        <v>0.1386904761904762</v>
      </c>
      <c r="Q80" s="765">
        <v>0.1386904761904762</v>
      </c>
      <c r="R80" s="765">
        <v>0.1386904761904762</v>
      </c>
      <c r="S80" s="765">
        <v>0.1386904761904762</v>
      </c>
      <c r="T80" s="765">
        <v>0.1386904761904762</v>
      </c>
      <c r="U80" s="765">
        <v>0.1386904761904762</v>
      </c>
      <c r="V80" s="765">
        <v>0.1386904761904762</v>
      </c>
      <c r="W80" s="765">
        <v>0.1386904761904762</v>
      </c>
      <c r="X80" s="765">
        <v>0.1386904761904762</v>
      </c>
      <c r="Y80" s="765">
        <v>0.1386904761904762</v>
      </c>
      <c r="Z80" s="765">
        <v>0.1386904761904762</v>
      </c>
      <c r="AA80" s="765">
        <v>0.1386904761904762</v>
      </c>
      <c r="AB80" s="765">
        <v>0.1386904761904762</v>
      </c>
      <c r="AC80" s="765">
        <v>0.1386904761904762</v>
      </c>
      <c r="AD80" s="765">
        <v>0.1386904761904762</v>
      </c>
      <c r="AE80" s="765">
        <v>0.1386904761904762</v>
      </c>
      <c r="AF80" s="765">
        <v>0.1386904761904762</v>
      </c>
      <c r="AG80" s="765">
        <v>0.1386904761904762</v>
      </c>
      <c r="AH80" s="765">
        <v>0.1386904761904762</v>
      </c>
      <c r="AI80" s="784">
        <f t="shared" ref="AI80:AK80" si="19">AH80</f>
        <v>0.1386904761904762</v>
      </c>
      <c r="AJ80" s="784">
        <f t="shared" si="19"/>
        <v>0.1386904761904762</v>
      </c>
      <c r="AK80" s="784">
        <f t="shared" si="19"/>
        <v>0.1386904761904762</v>
      </c>
    </row>
    <row r="81" spans="1:28">
      <c r="A81" s="286"/>
      <c r="B81" s="57"/>
      <c r="C81" s="57"/>
      <c r="D81" s="57"/>
      <c r="E81" s="57"/>
      <c r="F81" s="57"/>
      <c r="G81" s="57"/>
      <c r="H81" s="57"/>
      <c r="I81" s="57"/>
      <c r="J81" s="57"/>
      <c r="K81" s="57"/>
      <c r="L81" s="57"/>
    </row>
    <row r="82" spans="1:28">
      <c r="A82" s="286"/>
      <c r="B82" s="57"/>
      <c r="C82" s="57"/>
      <c r="D82" s="57"/>
      <c r="E82" s="57"/>
      <c r="F82" s="57"/>
      <c r="G82" s="57"/>
      <c r="H82" s="57"/>
      <c r="I82" s="57"/>
      <c r="J82" s="57"/>
      <c r="K82" s="57"/>
      <c r="L82" s="57"/>
    </row>
    <row r="83" spans="1:28">
      <c r="A83" s="286" t="s">
        <v>897</v>
      </c>
      <c r="B83" s="57"/>
      <c r="C83" s="57"/>
      <c r="D83" s="57"/>
      <c r="E83" s="57"/>
      <c r="F83" s="57"/>
      <c r="G83" s="57"/>
      <c r="H83" s="57"/>
      <c r="I83" s="57"/>
      <c r="J83" s="57"/>
      <c r="K83" s="57"/>
      <c r="L83" s="57"/>
    </row>
    <row r="84" spans="1:28">
      <c r="A84" s="286"/>
      <c r="B84" s="57"/>
      <c r="C84" s="57"/>
      <c r="D84" s="57"/>
      <c r="E84" s="57"/>
      <c r="F84" s="57"/>
      <c r="G84" s="57"/>
      <c r="H84" s="57"/>
      <c r="I84" s="57"/>
      <c r="J84" s="57"/>
      <c r="K84" s="57"/>
      <c r="L84" s="57"/>
    </row>
    <row r="85" spans="1:28">
      <c r="A85" s="286"/>
      <c r="B85" s="57"/>
      <c r="C85" s="57"/>
      <c r="D85" s="57"/>
      <c r="E85" s="57"/>
      <c r="F85" s="57"/>
      <c r="G85" s="57"/>
      <c r="H85" s="57"/>
      <c r="I85" s="57"/>
      <c r="J85" s="57"/>
      <c r="K85" s="57"/>
      <c r="L85" s="57"/>
    </row>
    <row r="87" spans="1:28" s="11" customFormat="1">
      <c r="A87" s="267" t="s">
        <v>899</v>
      </c>
    </row>
    <row r="88" spans="1:28">
      <c r="A88" s="268"/>
    </row>
    <row r="89" spans="1:28">
      <c r="A89" s="436" t="s">
        <v>900</v>
      </c>
    </row>
    <row r="90" spans="1:28" ht="16.5">
      <c r="C90" s="1" t="s">
        <v>901</v>
      </c>
    </row>
    <row r="91" spans="1:28">
      <c r="A91" s="268" t="s">
        <v>112</v>
      </c>
      <c r="B91" s="1" t="s">
        <v>902</v>
      </c>
      <c r="C91" s="860">
        <v>2000</v>
      </c>
      <c r="D91" s="860">
        <v>2001</v>
      </c>
      <c r="E91" s="860">
        <v>2002</v>
      </c>
      <c r="F91" s="860">
        <v>2003</v>
      </c>
      <c r="G91" s="860">
        <v>2004</v>
      </c>
      <c r="H91" s="860">
        <v>2005</v>
      </c>
      <c r="I91" s="860">
        <v>2006</v>
      </c>
      <c r="J91" s="860">
        <v>2007</v>
      </c>
      <c r="K91" s="860">
        <v>2008</v>
      </c>
      <c r="L91" s="860">
        <v>2009</v>
      </c>
      <c r="M91" s="860">
        <v>2010</v>
      </c>
      <c r="N91" s="860">
        <v>2011</v>
      </c>
      <c r="O91" s="860">
        <v>2012</v>
      </c>
      <c r="P91" s="860">
        <v>2013</v>
      </c>
      <c r="Q91" s="860">
        <v>2014</v>
      </c>
      <c r="R91" s="860">
        <v>2015</v>
      </c>
      <c r="S91" s="860">
        <v>2016</v>
      </c>
      <c r="T91" s="860">
        <v>2017</v>
      </c>
      <c r="U91" s="860">
        <v>2018</v>
      </c>
      <c r="V91" s="860">
        <v>2019</v>
      </c>
      <c r="W91" s="860">
        <v>2020</v>
      </c>
      <c r="X91" s="860">
        <v>2021</v>
      </c>
      <c r="Y91" s="860">
        <v>2022</v>
      </c>
      <c r="Z91" s="860">
        <v>2023</v>
      </c>
      <c r="AA91" s="860">
        <v>2024</v>
      </c>
      <c r="AB91" s="860">
        <v>2025</v>
      </c>
    </row>
    <row r="92" spans="1:28">
      <c r="A92" s="265" t="s">
        <v>115</v>
      </c>
      <c r="B92" t="s">
        <v>903</v>
      </c>
      <c r="C92" s="958">
        <f>D92</f>
        <v>1257.19</v>
      </c>
      <c r="D92" s="958">
        <f>E92</f>
        <v>1257.19</v>
      </c>
      <c r="E92" s="958">
        <f>F92</f>
        <v>1257.19</v>
      </c>
      <c r="F92" s="958">
        <f>G92</f>
        <v>1257.19</v>
      </c>
      <c r="G92" s="860">
        <v>1257.19</v>
      </c>
      <c r="H92" s="860">
        <v>1232.3599999999999</v>
      </c>
      <c r="I92" s="958">
        <f>(H92+J92)/2</f>
        <v>1258.54</v>
      </c>
      <c r="J92" s="860">
        <v>1284.72</v>
      </c>
      <c r="K92" s="958">
        <f>(J92+L92)/2</f>
        <v>1282.7891</v>
      </c>
      <c r="L92" s="959">
        <v>1280.8581999999999</v>
      </c>
      <c r="M92" s="959">
        <v>1256.8658</v>
      </c>
      <c r="N92" s="958">
        <f>(M92+O92)/2</f>
        <v>1262.7985973501968</v>
      </c>
      <c r="O92" s="959">
        <v>1268.7313947003938</v>
      </c>
      <c r="P92" s="960">
        <f>(O92+Q92)/2</f>
        <v>1097.6341973501969</v>
      </c>
      <c r="Q92" s="961">
        <v>926.53700000000003</v>
      </c>
      <c r="R92" s="960">
        <f t="shared" ref="R92:R117" si="20">(Q92+S92)/2</f>
        <v>999.4085</v>
      </c>
      <c r="S92" s="961">
        <v>1072.28</v>
      </c>
      <c r="T92" s="958">
        <f>(S92+U92)/2</f>
        <v>1055.9575</v>
      </c>
      <c r="U92" s="961">
        <v>1039.635</v>
      </c>
      <c r="V92" s="962">
        <v>1114.4000000000001</v>
      </c>
      <c r="W92" s="961">
        <v>1097.6300000000001</v>
      </c>
      <c r="X92" s="961">
        <v>1067.68</v>
      </c>
      <c r="Y92" s="960">
        <f>X92</f>
        <v>1067.68</v>
      </c>
      <c r="Z92" s="960">
        <f>Y92</f>
        <v>1067.68</v>
      </c>
      <c r="AA92" s="960">
        <f>Z92</f>
        <v>1067.68</v>
      </c>
      <c r="AB92" s="960">
        <f>AA92</f>
        <v>1067.68</v>
      </c>
    </row>
    <row r="93" spans="1:28">
      <c r="A93" s="265" t="s">
        <v>308</v>
      </c>
      <c r="B93" t="s">
        <v>904</v>
      </c>
      <c r="C93" s="958">
        <f t="shared" ref="C93:E117" si="21">D93</f>
        <v>480.1</v>
      </c>
      <c r="D93" s="958">
        <f t="shared" si="21"/>
        <v>480.1</v>
      </c>
      <c r="E93" s="958">
        <f t="shared" si="21"/>
        <v>480.1</v>
      </c>
      <c r="F93" s="958">
        <f t="shared" ref="F93:F117" si="22">G93</f>
        <v>480.1</v>
      </c>
      <c r="G93" s="860">
        <v>480.1</v>
      </c>
      <c r="H93" s="860">
        <v>498.86</v>
      </c>
      <c r="I93" s="958">
        <f t="shared" ref="I93:I117" si="23">(H93+J93)/2</f>
        <v>517.29500000000007</v>
      </c>
      <c r="J93" s="860">
        <v>535.73</v>
      </c>
      <c r="K93" s="958">
        <f t="shared" ref="K93:K117" si="24">(J93+L93)/2</f>
        <v>528.49594999999999</v>
      </c>
      <c r="L93" s="860">
        <v>521.26189999999997</v>
      </c>
      <c r="M93" s="860">
        <v>448.56979999999999</v>
      </c>
      <c r="N93" s="958">
        <f t="shared" ref="N93:N117" si="25">(M93+O93)/2</f>
        <v>464.86939710695594</v>
      </c>
      <c r="O93" s="860">
        <v>481.1689942139119</v>
      </c>
      <c r="P93" s="960">
        <f t="shared" ref="P93:P117" si="26">(O93+Q93)/2</f>
        <v>580.83349710695597</v>
      </c>
      <c r="Q93" s="961">
        <v>680.49800000000005</v>
      </c>
      <c r="R93" s="960">
        <f t="shared" si="20"/>
        <v>591.81150000000002</v>
      </c>
      <c r="S93" s="961">
        <v>503.125</v>
      </c>
      <c r="T93" s="958">
        <f t="shared" ref="T93:T117" si="27">(S93+U93)/2</f>
        <v>514.10400000000004</v>
      </c>
      <c r="U93" s="961">
        <v>525.08299999999997</v>
      </c>
      <c r="V93" s="962">
        <v>549.31200000000001</v>
      </c>
      <c r="W93" s="961">
        <v>534.07299999999998</v>
      </c>
      <c r="X93" s="961">
        <v>485.18599999999998</v>
      </c>
      <c r="Y93" s="960">
        <f t="shared" ref="Y93:AB107" si="28">X93</f>
        <v>485.18599999999998</v>
      </c>
      <c r="Z93" s="960">
        <f t="shared" si="28"/>
        <v>485.18599999999998</v>
      </c>
      <c r="AA93" s="960">
        <f t="shared" si="28"/>
        <v>485.18599999999998</v>
      </c>
      <c r="AB93" s="960">
        <f t="shared" si="28"/>
        <v>485.18599999999998</v>
      </c>
    </row>
    <row r="94" spans="1:28">
      <c r="A94" s="265" t="s">
        <v>310</v>
      </c>
      <c r="B94" t="s">
        <v>905</v>
      </c>
      <c r="C94" s="958">
        <f t="shared" si="21"/>
        <v>1254.02</v>
      </c>
      <c r="D94" s="958">
        <f t="shared" si="21"/>
        <v>1254.02</v>
      </c>
      <c r="E94" s="958">
        <f t="shared" si="21"/>
        <v>1254.02</v>
      </c>
      <c r="F94" s="958">
        <f t="shared" si="22"/>
        <v>1254.02</v>
      </c>
      <c r="G94" s="860">
        <v>1254.02</v>
      </c>
      <c r="H94" s="860">
        <v>1311.05</v>
      </c>
      <c r="I94" s="958">
        <f t="shared" si="23"/>
        <v>1281.83</v>
      </c>
      <c r="J94" s="860">
        <v>1252.6099999999999</v>
      </c>
      <c r="K94" s="958">
        <f t="shared" si="24"/>
        <v>1221.9801499999999</v>
      </c>
      <c r="L94" s="959">
        <v>1191.3503000000001</v>
      </c>
      <c r="M94" s="959">
        <v>1177.6143</v>
      </c>
      <c r="N94" s="958">
        <f t="shared" si="25"/>
        <v>1165.2511044020443</v>
      </c>
      <c r="O94" s="959">
        <v>1152.8879088040887</v>
      </c>
      <c r="P94" s="960">
        <f t="shared" si="26"/>
        <v>1014.2394544020444</v>
      </c>
      <c r="Q94" s="961">
        <v>875.59100000000001</v>
      </c>
      <c r="R94" s="960">
        <f t="shared" si="20"/>
        <v>959.61799999999994</v>
      </c>
      <c r="S94" s="961">
        <v>1043.645</v>
      </c>
      <c r="T94" s="958">
        <f t="shared" si="27"/>
        <v>1033</v>
      </c>
      <c r="U94" s="961">
        <v>1022.355</v>
      </c>
      <c r="V94" s="962">
        <v>952.32100000000003</v>
      </c>
      <c r="W94" s="961">
        <v>846.61599999999999</v>
      </c>
      <c r="X94" s="961">
        <v>819.65599999999995</v>
      </c>
      <c r="Y94" s="960">
        <f t="shared" si="28"/>
        <v>819.65599999999995</v>
      </c>
      <c r="Z94" s="960">
        <f t="shared" si="28"/>
        <v>819.65599999999995</v>
      </c>
      <c r="AA94" s="960">
        <f t="shared" si="28"/>
        <v>819.65599999999995</v>
      </c>
      <c r="AB94" s="960">
        <f t="shared" si="28"/>
        <v>819.65599999999995</v>
      </c>
    </row>
    <row r="95" spans="1:28">
      <c r="A95" s="265" t="s">
        <v>312</v>
      </c>
      <c r="B95" t="s">
        <v>906</v>
      </c>
      <c r="C95" s="958">
        <f t="shared" si="21"/>
        <v>878.71</v>
      </c>
      <c r="D95" s="958">
        <f t="shared" si="21"/>
        <v>878.71</v>
      </c>
      <c r="E95" s="958">
        <f t="shared" si="21"/>
        <v>878.71</v>
      </c>
      <c r="F95" s="958">
        <f t="shared" si="22"/>
        <v>878.71</v>
      </c>
      <c r="G95" s="963">
        <v>878.71</v>
      </c>
      <c r="H95" s="963">
        <v>724.12</v>
      </c>
      <c r="I95" s="958">
        <f t="shared" si="23"/>
        <v>702.56500000000005</v>
      </c>
      <c r="J95" s="963">
        <v>681.01</v>
      </c>
      <c r="K95" s="958">
        <f t="shared" si="24"/>
        <v>669.84730000000002</v>
      </c>
      <c r="L95" s="959">
        <v>658.68460000000005</v>
      </c>
      <c r="M95" s="959">
        <v>610.81780000000003</v>
      </c>
      <c r="N95" s="958">
        <f t="shared" si="25"/>
        <v>630.56496823257794</v>
      </c>
      <c r="O95" s="959">
        <v>650.31213646515573</v>
      </c>
      <c r="P95" s="960">
        <f t="shared" si="26"/>
        <v>609.47806823257793</v>
      </c>
      <c r="Q95" s="961">
        <v>568.64400000000001</v>
      </c>
      <c r="R95" s="960">
        <f t="shared" si="20"/>
        <v>548.25299999999993</v>
      </c>
      <c r="S95" s="961">
        <v>527.86199999999997</v>
      </c>
      <c r="T95" s="958">
        <f t="shared" si="27"/>
        <v>512.19899999999996</v>
      </c>
      <c r="U95" s="961">
        <v>496.536</v>
      </c>
      <c r="V95" s="962">
        <v>453.209</v>
      </c>
      <c r="W95" s="961">
        <v>513.45500000000004</v>
      </c>
      <c r="X95" s="961">
        <v>531.678</v>
      </c>
      <c r="Y95" s="960">
        <f t="shared" si="28"/>
        <v>531.678</v>
      </c>
      <c r="Z95" s="960">
        <f t="shared" si="28"/>
        <v>531.678</v>
      </c>
      <c r="AA95" s="960">
        <f t="shared" si="28"/>
        <v>531.678</v>
      </c>
      <c r="AB95" s="960">
        <f t="shared" si="28"/>
        <v>531.678</v>
      </c>
    </row>
    <row r="96" spans="1:28">
      <c r="A96" s="265" t="s">
        <v>314</v>
      </c>
      <c r="B96" t="s">
        <v>907</v>
      </c>
      <c r="C96" s="958">
        <f t="shared" si="21"/>
        <v>1420.56</v>
      </c>
      <c r="D96" s="958">
        <f t="shared" si="21"/>
        <v>1420.56</v>
      </c>
      <c r="E96" s="958">
        <f t="shared" si="21"/>
        <v>1420.56</v>
      </c>
      <c r="F96" s="958">
        <f t="shared" si="22"/>
        <v>1420.56</v>
      </c>
      <c r="G96" s="860">
        <v>1420.56</v>
      </c>
      <c r="H96" s="860">
        <v>1324.35</v>
      </c>
      <c r="I96" s="958">
        <f t="shared" si="23"/>
        <v>1288.46</v>
      </c>
      <c r="J96" s="860">
        <v>1252.57</v>
      </c>
      <c r="K96" s="958">
        <f t="shared" si="24"/>
        <v>1217.1486500000001</v>
      </c>
      <c r="L96" s="959">
        <v>1181.7273</v>
      </c>
      <c r="M96" s="959">
        <v>1218.1672000000001</v>
      </c>
      <c r="N96" s="958">
        <f t="shared" si="25"/>
        <v>1180.6022506857801</v>
      </c>
      <c r="O96" s="959">
        <v>1143.03730137156</v>
      </c>
      <c r="P96" s="960">
        <f t="shared" si="26"/>
        <v>1142.8936506857799</v>
      </c>
      <c r="Q96" s="961">
        <v>1142.75</v>
      </c>
      <c r="R96" s="960">
        <f t="shared" si="20"/>
        <v>1075.953</v>
      </c>
      <c r="S96" s="961">
        <v>1009.1559999999999</v>
      </c>
      <c r="T96" s="958">
        <f t="shared" si="27"/>
        <v>970.41399999999999</v>
      </c>
      <c r="U96" s="961">
        <v>931.67200000000003</v>
      </c>
      <c r="V96" s="962">
        <v>868.64</v>
      </c>
      <c r="W96" s="961">
        <v>818.6</v>
      </c>
      <c r="X96" s="961">
        <v>813.55200000000002</v>
      </c>
      <c r="Y96" s="960">
        <f t="shared" si="28"/>
        <v>813.55200000000002</v>
      </c>
      <c r="Z96" s="960">
        <f t="shared" si="28"/>
        <v>813.55200000000002</v>
      </c>
      <c r="AA96" s="960">
        <f t="shared" si="28"/>
        <v>813.55200000000002</v>
      </c>
      <c r="AB96" s="960">
        <f t="shared" si="28"/>
        <v>813.55200000000002</v>
      </c>
    </row>
    <row r="97" spans="1:28">
      <c r="A97" s="265" t="s">
        <v>316</v>
      </c>
      <c r="B97" t="s">
        <v>908</v>
      </c>
      <c r="C97" s="958">
        <f t="shared" si="21"/>
        <v>1327.66</v>
      </c>
      <c r="D97" s="958">
        <f t="shared" si="21"/>
        <v>1327.66</v>
      </c>
      <c r="E97" s="958">
        <f t="shared" si="21"/>
        <v>1327.66</v>
      </c>
      <c r="F97" s="958">
        <f t="shared" si="22"/>
        <v>1327.66</v>
      </c>
      <c r="G97" s="860">
        <v>1327.66</v>
      </c>
      <c r="H97" s="860">
        <v>1318.57</v>
      </c>
      <c r="I97" s="958">
        <f t="shared" si="23"/>
        <v>1269.3399999999999</v>
      </c>
      <c r="J97" s="860">
        <v>1220.1099999999999</v>
      </c>
      <c r="K97" s="958">
        <f t="shared" si="24"/>
        <v>1198.35825</v>
      </c>
      <c r="L97" s="959">
        <v>1176.6065000000001</v>
      </c>
      <c r="M97" s="959">
        <v>1196.7146</v>
      </c>
      <c r="N97" s="958">
        <f t="shared" si="25"/>
        <v>1161.0319819151573</v>
      </c>
      <c r="O97" s="959">
        <v>1125.3493638303146</v>
      </c>
      <c r="P97" s="960">
        <f t="shared" si="26"/>
        <v>1100.2691819151573</v>
      </c>
      <c r="Q97" s="961">
        <v>1075.1890000000001</v>
      </c>
      <c r="R97" s="960">
        <f t="shared" si="20"/>
        <v>1043.4360000000001</v>
      </c>
      <c r="S97" s="961">
        <v>1011.683</v>
      </c>
      <c r="T97" s="958">
        <f t="shared" si="27"/>
        <v>971.76250000000005</v>
      </c>
      <c r="U97" s="961">
        <v>931.84199999999998</v>
      </c>
      <c r="V97" s="962">
        <v>861.02800000000002</v>
      </c>
      <c r="W97" s="961">
        <v>835.07899999999995</v>
      </c>
      <c r="X97" s="961">
        <v>832.92399999999998</v>
      </c>
      <c r="Y97" s="960">
        <f t="shared" si="28"/>
        <v>832.92399999999998</v>
      </c>
      <c r="Z97" s="960">
        <f t="shared" si="28"/>
        <v>832.92399999999998</v>
      </c>
      <c r="AA97" s="960">
        <f t="shared" si="28"/>
        <v>832.92399999999998</v>
      </c>
      <c r="AB97" s="960">
        <f t="shared" si="28"/>
        <v>832.92399999999998</v>
      </c>
    </row>
    <row r="98" spans="1:28">
      <c r="A98" s="265" t="s">
        <v>318</v>
      </c>
      <c r="B98" t="s">
        <v>909</v>
      </c>
      <c r="C98" s="958">
        <f t="shared" si="21"/>
        <v>1456.17</v>
      </c>
      <c r="D98" s="958">
        <f t="shared" si="21"/>
        <v>1456.17</v>
      </c>
      <c r="E98" s="958">
        <f t="shared" si="21"/>
        <v>1456.17</v>
      </c>
      <c r="F98" s="958">
        <f t="shared" si="22"/>
        <v>1456.17</v>
      </c>
      <c r="G98" s="860">
        <v>1456.17</v>
      </c>
      <c r="H98" s="860">
        <v>1514.92</v>
      </c>
      <c r="I98" s="958">
        <f t="shared" si="23"/>
        <v>1429.37</v>
      </c>
      <c r="J98" s="860">
        <v>1343.82</v>
      </c>
      <c r="K98" s="958">
        <f t="shared" si="24"/>
        <v>1347.74125</v>
      </c>
      <c r="L98" s="959">
        <v>1351.6624999999999</v>
      </c>
      <c r="M98" s="959">
        <v>1330.1641</v>
      </c>
      <c r="N98" s="958">
        <f t="shared" si="25"/>
        <v>1265.1317411465557</v>
      </c>
      <c r="O98" s="959">
        <v>1200.0993822931116</v>
      </c>
      <c r="P98" s="960">
        <f t="shared" si="26"/>
        <v>1070.4531911465558</v>
      </c>
      <c r="Q98" s="961">
        <v>940.80700000000002</v>
      </c>
      <c r="R98" s="960">
        <f t="shared" si="20"/>
        <v>1046.4115000000002</v>
      </c>
      <c r="S98" s="961">
        <v>1152.0160000000001</v>
      </c>
      <c r="T98" s="958">
        <f t="shared" si="27"/>
        <v>1131.3525</v>
      </c>
      <c r="U98" s="961">
        <v>1110.6890000000001</v>
      </c>
      <c r="V98" s="962">
        <v>1185.595</v>
      </c>
      <c r="W98" s="961">
        <v>1143.2270000000001</v>
      </c>
      <c r="X98" s="961">
        <v>1134.3910000000001</v>
      </c>
      <c r="Y98" s="960">
        <f t="shared" si="28"/>
        <v>1134.3910000000001</v>
      </c>
      <c r="Z98" s="960">
        <f t="shared" si="28"/>
        <v>1134.3910000000001</v>
      </c>
      <c r="AA98" s="960">
        <f t="shared" si="28"/>
        <v>1134.3910000000001</v>
      </c>
      <c r="AB98" s="960">
        <f t="shared" si="28"/>
        <v>1134.3910000000001</v>
      </c>
    </row>
    <row r="99" spans="1:28">
      <c r="A99" s="265" t="s">
        <v>320</v>
      </c>
      <c r="B99" t="s">
        <v>910</v>
      </c>
      <c r="C99" s="958">
        <f t="shared" si="21"/>
        <v>1728.12</v>
      </c>
      <c r="D99" s="958">
        <f t="shared" si="21"/>
        <v>1728.12</v>
      </c>
      <c r="E99" s="958">
        <f t="shared" si="21"/>
        <v>1728.12</v>
      </c>
      <c r="F99" s="958">
        <f t="shared" si="22"/>
        <v>1728.12</v>
      </c>
      <c r="G99" s="860">
        <v>1728.12</v>
      </c>
      <c r="H99" s="860">
        <v>1811.98</v>
      </c>
      <c r="I99" s="958">
        <f t="shared" si="23"/>
        <v>1716.37</v>
      </c>
      <c r="J99" s="860">
        <v>1620.76</v>
      </c>
      <c r="K99" s="958">
        <f t="shared" si="24"/>
        <v>1607.0541499999999</v>
      </c>
      <c r="L99" s="959">
        <v>1593.3483000000001</v>
      </c>
      <c r="M99" s="959">
        <v>1621.8643</v>
      </c>
      <c r="N99" s="958">
        <f t="shared" si="25"/>
        <v>1599.119914154629</v>
      </c>
      <c r="O99" s="959">
        <v>1576.3755283092582</v>
      </c>
      <c r="P99" s="960">
        <f t="shared" si="26"/>
        <v>1527.9057641546292</v>
      </c>
      <c r="Q99" s="961">
        <v>1479.4359999999999</v>
      </c>
      <c r="R99" s="960">
        <f t="shared" si="20"/>
        <v>1571.1619999999998</v>
      </c>
      <c r="S99" s="961">
        <v>1662.8879999999999</v>
      </c>
      <c r="T99" s="958">
        <f t="shared" si="27"/>
        <v>1666.4155000000001</v>
      </c>
      <c r="U99" s="961">
        <v>1669.943</v>
      </c>
      <c r="V99" s="962">
        <v>1694.5409999999999</v>
      </c>
      <c r="W99" s="961">
        <v>1652.952</v>
      </c>
      <c r="X99" s="961">
        <v>1633.097</v>
      </c>
      <c r="Y99" s="960">
        <f t="shared" si="28"/>
        <v>1633.097</v>
      </c>
      <c r="Z99" s="960">
        <f t="shared" si="28"/>
        <v>1633.097</v>
      </c>
      <c r="AA99" s="960">
        <f t="shared" si="28"/>
        <v>1633.097</v>
      </c>
      <c r="AB99" s="960">
        <f t="shared" si="28"/>
        <v>1633.097</v>
      </c>
    </row>
    <row r="100" spans="1:28">
      <c r="A100" s="265" t="s">
        <v>322</v>
      </c>
      <c r="B100" t="s">
        <v>911</v>
      </c>
      <c r="C100" s="958">
        <f t="shared" si="21"/>
        <v>1858.72</v>
      </c>
      <c r="D100" s="958">
        <f t="shared" si="21"/>
        <v>1858.72</v>
      </c>
      <c r="E100" s="958">
        <f t="shared" si="21"/>
        <v>1858.72</v>
      </c>
      <c r="F100" s="958">
        <f t="shared" si="22"/>
        <v>1858.72</v>
      </c>
      <c r="G100" s="860">
        <v>1858.72</v>
      </c>
      <c r="H100" s="860">
        <v>1834.72</v>
      </c>
      <c r="I100" s="958">
        <f t="shared" si="23"/>
        <v>1763.52</v>
      </c>
      <c r="J100" s="963">
        <v>1692.32</v>
      </c>
      <c r="K100" s="958">
        <f t="shared" si="24"/>
        <v>1641.9859000000001</v>
      </c>
      <c r="L100" s="959">
        <v>1591.6518000000001</v>
      </c>
      <c r="M100" s="959">
        <v>1610.8030000000001</v>
      </c>
      <c r="N100" s="958">
        <f t="shared" si="25"/>
        <v>1566.6866712512328</v>
      </c>
      <c r="O100" s="959">
        <v>1522.5703425024653</v>
      </c>
      <c r="P100" s="960">
        <f t="shared" si="26"/>
        <v>1593.1756712512326</v>
      </c>
      <c r="Q100" s="961">
        <v>1663.7809999999999</v>
      </c>
      <c r="R100" s="960">
        <f t="shared" si="20"/>
        <v>1665.9965</v>
      </c>
      <c r="S100" s="961">
        <v>1668.212</v>
      </c>
      <c r="T100" s="958">
        <f t="shared" si="27"/>
        <v>1673.114</v>
      </c>
      <c r="U100" s="961">
        <v>1678.0160000000001</v>
      </c>
      <c r="V100" s="962">
        <v>1502.559</v>
      </c>
      <c r="W100" s="961">
        <v>1526.374</v>
      </c>
      <c r="X100" s="961">
        <v>1582.135</v>
      </c>
      <c r="Y100" s="960">
        <f t="shared" si="28"/>
        <v>1582.135</v>
      </c>
      <c r="Z100" s="960">
        <f t="shared" si="28"/>
        <v>1582.135</v>
      </c>
      <c r="AA100" s="960">
        <f t="shared" si="28"/>
        <v>1582.135</v>
      </c>
      <c r="AB100" s="960">
        <f t="shared" si="28"/>
        <v>1582.135</v>
      </c>
    </row>
    <row r="101" spans="1:28">
      <c r="A101" s="265" t="s">
        <v>324</v>
      </c>
      <c r="B101" t="s">
        <v>912</v>
      </c>
      <c r="C101" s="958">
        <f t="shared" si="21"/>
        <v>1813.81</v>
      </c>
      <c r="D101" s="958">
        <f t="shared" si="21"/>
        <v>1813.81</v>
      </c>
      <c r="E101" s="958">
        <f t="shared" si="21"/>
        <v>1813.81</v>
      </c>
      <c r="F101" s="958">
        <f t="shared" si="22"/>
        <v>1813.81</v>
      </c>
      <c r="G101" s="860">
        <v>1813.81</v>
      </c>
      <c r="H101" s="860">
        <v>1821.84</v>
      </c>
      <c r="I101" s="958">
        <f t="shared" si="23"/>
        <v>1772.2550000000001</v>
      </c>
      <c r="J101" s="963">
        <v>1722.67</v>
      </c>
      <c r="K101" s="958">
        <f t="shared" si="24"/>
        <v>1675.6366</v>
      </c>
      <c r="L101" s="860">
        <v>1628.6032</v>
      </c>
      <c r="M101" s="860">
        <v>1536.3605</v>
      </c>
      <c r="N101" s="958">
        <f t="shared" si="25"/>
        <v>1480.7552585302801</v>
      </c>
      <c r="O101" s="860">
        <v>1425.15001706056</v>
      </c>
      <c r="P101" s="960">
        <f t="shared" si="26"/>
        <v>1395.12950853028</v>
      </c>
      <c r="Q101" s="961">
        <v>1365.1089999999999</v>
      </c>
      <c r="R101" s="960">
        <f t="shared" si="20"/>
        <v>1301.963</v>
      </c>
      <c r="S101" s="961">
        <v>1238.817</v>
      </c>
      <c r="T101" s="958">
        <f t="shared" si="27"/>
        <v>1239.3325</v>
      </c>
      <c r="U101" s="961">
        <v>1239.848</v>
      </c>
      <c r="V101" s="962">
        <v>1098.3530000000001</v>
      </c>
      <c r="W101" s="961">
        <v>979.53599999999994</v>
      </c>
      <c r="X101" s="961">
        <v>995.79</v>
      </c>
      <c r="Y101" s="960">
        <f t="shared" si="28"/>
        <v>995.79</v>
      </c>
      <c r="Z101" s="960">
        <f t="shared" si="28"/>
        <v>995.79</v>
      </c>
      <c r="AA101" s="960">
        <f t="shared" si="28"/>
        <v>995.79</v>
      </c>
      <c r="AB101" s="960">
        <f t="shared" si="28"/>
        <v>995.79</v>
      </c>
    </row>
    <row r="102" spans="1:28">
      <c r="A102" s="265" t="s">
        <v>326</v>
      </c>
      <c r="B102" t="s">
        <v>913</v>
      </c>
      <c r="C102" s="958">
        <f t="shared" si="21"/>
        <v>908.9</v>
      </c>
      <c r="D102" s="958">
        <f t="shared" si="21"/>
        <v>908.9</v>
      </c>
      <c r="E102" s="958">
        <f t="shared" si="21"/>
        <v>908.9</v>
      </c>
      <c r="F102" s="958">
        <f t="shared" si="22"/>
        <v>908.9</v>
      </c>
      <c r="G102" s="860">
        <v>908.9</v>
      </c>
      <c r="H102" s="860">
        <v>927.68</v>
      </c>
      <c r="I102" s="958">
        <f t="shared" si="23"/>
        <v>877.81500000000005</v>
      </c>
      <c r="J102" s="963">
        <v>827.95</v>
      </c>
      <c r="K102" s="958">
        <f t="shared" si="24"/>
        <v>778.17935</v>
      </c>
      <c r="L102" s="860">
        <v>728.40869999999995</v>
      </c>
      <c r="M102" s="860">
        <v>722.07349999999997</v>
      </c>
      <c r="N102" s="958">
        <f t="shared" si="25"/>
        <v>679.98686243934571</v>
      </c>
      <c r="O102" s="860">
        <v>637.90022487869146</v>
      </c>
      <c r="P102" s="960">
        <f t="shared" si="26"/>
        <v>604.37611243934566</v>
      </c>
      <c r="Q102" s="961">
        <v>570.85199999999998</v>
      </c>
      <c r="R102" s="960">
        <f t="shared" si="20"/>
        <v>564.50399999999991</v>
      </c>
      <c r="S102" s="961">
        <v>558.15599999999995</v>
      </c>
      <c r="T102" s="958">
        <f t="shared" si="27"/>
        <v>540.23399999999992</v>
      </c>
      <c r="U102" s="961">
        <v>522.31200000000001</v>
      </c>
      <c r="V102" s="962">
        <v>488.88799999999998</v>
      </c>
      <c r="W102" s="961">
        <v>528.23800000000006</v>
      </c>
      <c r="X102" s="961">
        <v>539.36699999999996</v>
      </c>
      <c r="Y102" s="960">
        <f t="shared" si="28"/>
        <v>539.36699999999996</v>
      </c>
      <c r="Z102" s="960">
        <f t="shared" si="28"/>
        <v>539.36699999999996</v>
      </c>
      <c r="AA102" s="960">
        <f t="shared" si="28"/>
        <v>539.36699999999996</v>
      </c>
      <c r="AB102" s="960">
        <f t="shared" si="28"/>
        <v>539.36699999999996</v>
      </c>
    </row>
    <row r="103" spans="1:28">
      <c r="A103" s="265" t="s">
        <v>328</v>
      </c>
      <c r="B103" t="s">
        <v>914</v>
      </c>
      <c r="C103" s="958">
        <f t="shared" si="21"/>
        <v>921.1</v>
      </c>
      <c r="D103" s="958">
        <f t="shared" si="21"/>
        <v>921.1</v>
      </c>
      <c r="E103" s="958">
        <f t="shared" si="21"/>
        <v>921.1</v>
      </c>
      <c r="F103" s="958">
        <f t="shared" si="22"/>
        <v>921.1</v>
      </c>
      <c r="G103" s="860">
        <v>921.1</v>
      </c>
      <c r="H103" s="860">
        <v>902.24</v>
      </c>
      <c r="I103" s="958">
        <f t="shared" si="23"/>
        <v>880.51499999999999</v>
      </c>
      <c r="J103" s="963">
        <v>858.79</v>
      </c>
      <c r="K103" s="958">
        <f t="shared" si="24"/>
        <v>838.99894999999992</v>
      </c>
      <c r="L103" s="860">
        <v>819.2079</v>
      </c>
      <c r="M103" s="860">
        <v>842.57929999999999</v>
      </c>
      <c r="N103" s="958">
        <f t="shared" si="25"/>
        <v>754.16682448841198</v>
      </c>
      <c r="O103" s="860">
        <v>665.75434897682396</v>
      </c>
      <c r="P103" s="960">
        <f t="shared" si="26"/>
        <v>786.35667448841195</v>
      </c>
      <c r="Q103" s="961">
        <v>906.95899999999995</v>
      </c>
      <c r="R103" s="960">
        <f t="shared" si="20"/>
        <v>779.07899999999995</v>
      </c>
      <c r="S103" s="961">
        <v>651.19899999999996</v>
      </c>
      <c r="T103" s="958">
        <f t="shared" si="27"/>
        <v>645.11799999999994</v>
      </c>
      <c r="U103" s="961">
        <v>639.03700000000003</v>
      </c>
      <c r="V103" s="962">
        <v>715.24099999999999</v>
      </c>
      <c r="W103" s="961">
        <v>599.96699999999998</v>
      </c>
      <c r="X103" s="961">
        <v>634.59900000000005</v>
      </c>
      <c r="Y103" s="960">
        <f t="shared" si="28"/>
        <v>634.59900000000005</v>
      </c>
      <c r="Z103" s="960">
        <f t="shared" si="28"/>
        <v>634.59900000000005</v>
      </c>
      <c r="AA103" s="960">
        <f t="shared" si="28"/>
        <v>634.59900000000005</v>
      </c>
      <c r="AB103" s="960">
        <f t="shared" si="28"/>
        <v>634.59900000000005</v>
      </c>
    </row>
    <row r="104" spans="1:28">
      <c r="A104" s="265" t="s">
        <v>330</v>
      </c>
      <c r="B104" t="s">
        <v>915</v>
      </c>
      <c r="C104" s="958">
        <f t="shared" si="21"/>
        <v>922.22</v>
      </c>
      <c r="D104" s="958">
        <f t="shared" si="21"/>
        <v>922.22</v>
      </c>
      <c r="E104" s="958">
        <f t="shared" si="21"/>
        <v>922.22</v>
      </c>
      <c r="F104" s="958">
        <f t="shared" si="22"/>
        <v>922.22</v>
      </c>
      <c r="G104" s="860">
        <v>922.22</v>
      </c>
      <c r="H104" s="860">
        <v>815.45</v>
      </c>
      <c r="I104" s="958">
        <f t="shared" si="23"/>
        <v>760.125</v>
      </c>
      <c r="J104" s="963">
        <v>704.8</v>
      </c>
      <c r="K104" s="958">
        <f t="shared" si="24"/>
        <v>657.73434999999995</v>
      </c>
      <c r="L104" s="860">
        <v>610.66869999999994</v>
      </c>
      <c r="M104" s="860">
        <v>622.41610000000003</v>
      </c>
      <c r="N104" s="958">
        <f t="shared" si="25"/>
        <v>659.55667509212265</v>
      </c>
      <c r="O104" s="860">
        <v>696.69725018424526</v>
      </c>
      <c r="P104" s="960">
        <f t="shared" si="26"/>
        <v>681.10162509212262</v>
      </c>
      <c r="Q104" s="961">
        <v>665.50599999999997</v>
      </c>
      <c r="R104" s="960">
        <f t="shared" si="20"/>
        <v>650.6579999999999</v>
      </c>
      <c r="S104" s="961">
        <v>635.80999999999995</v>
      </c>
      <c r="T104" s="958">
        <f t="shared" si="27"/>
        <v>616.11199999999997</v>
      </c>
      <c r="U104" s="961">
        <v>596.41399999999999</v>
      </c>
      <c r="V104" s="962">
        <v>553.80100000000004</v>
      </c>
      <c r="W104" s="961">
        <v>634.61199999999997</v>
      </c>
      <c r="X104" s="961">
        <v>816.75599999999997</v>
      </c>
      <c r="Y104" s="960">
        <f t="shared" si="28"/>
        <v>816.75599999999997</v>
      </c>
      <c r="Z104" s="960">
        <f t="shared" si="28"/>
        <v>816.75599999999997</v>
      </c>
      <c r="AA104" s="960">
        <f t="shared" si="28"/>
        <v>816.75599999999997</v>
      </c>
      <c r="AB104" s="960">
        <f t="shared" si="28"/>
        <v>816.75599999999997</v>
      </c>
    </row>
    <row r="105" spans="1:28">
      <c r="A105" s="265" t="s">
        <v>307</v>
      </c>
      <c r="B105" t="s">
        <v>916</v>
      </c>
      <c r="C105" s="958">
        <f t="shared" si="21"/>
        <v>1412.2</v>
      </c>
      <c r="D105" s="958">
        <f t="shared" si="21"/>
        <v>1412.2</v>
      </c>
      <c r="E105" s="958">
        <f t="shared" si="21"/>
        <v>1412.2</v>
      </c>
      <c r="F105" s="958">
        <f t="shared" si="22"/>
        <v>1412.2</v>
      </c>
      <c r="G105" s="963">
        <v>1412.2</v>
      </c>
      <c r="H105" s="963">
        <v>1536.8</v>
      </c>
      <c r="I105" s="958">
        <f t="shared" si="23"/>
        <v>1477.77</v>
      </c>
      <c r="J105" s="963">
        <v>1418.74</v>
      </c>
      <c r="K105" s="958">
        <f t="shared" si="24"/>
        <v>1383.3641</v>
      </c>
      <c r="L105" s="959">
        <v>1347.9882</v>
      </c>
      <c r="M105" s="959">
        <v>1336.1102000000001</v>
      </c>
      <c r="N105" s="958">
        <f t="shared" si="25"/>
        <v>1268.6533074301778</v>
      </c>
      <c r="O105" s="959">
        <v>1201.1964148603556</v>
      </c>
      <c r="P105" s="960">
        <f t="shared" si="26"/>
        <v>1198.7047074301777</v>
      </c>
      <c r="Q105" s="961">
        <v>1196.213</v>
      </c>
      <c r="R105" s="960">
        <f t="shared" si="20"/>
        <v>1187.2674999999999</v>
      </c>
      <c r="S105" s="961">
        <v>1178.3219999999999</v>
      </c>
      <c r="T105" s="958">
        <f t="shared" si="27"/>
        <v>1181.2815000000001</v>
      </c>
      <c r="U105" s="961">
        <v>1184.241</v>
      </c>
      <c r="V105" s="962">
        <v>1208.9749999999999</v>
      </c>
      <c r="W105" s="961">
        <v>1203.9269999999999</v>
      </c>
      <c r="X105" s="961">
        <v>1210.94</v>
      </c>
      <c r="Y105" s="960">
        <f t="shared" si="28"/>
        <v>1210.94</v>
      </c>
      <c r="Z105" s="960">
        <f t="shared" si="28"/>
        <v>1210.94</v>
      </c>
      <c r="AA105" s="960">
        <f t="shared" si="28"/>
        <v>1210.94</v>
      </c>
      <c r="AB105" s="960">
        <f t="shared" si="28"/>
        <v>1210.94</v>
      </c>
    </row>
    <row r="106" spans="1:28">
      <c r="A106" s="265" t="s">
        <v>309</v>
      </c>
      <c r="B106" t="s">
        <v>917</v>
      </c>
      <c r="C106" s="958">
        <f t="shared" si="21"/>
        <v>819.68</v>
      </c>
      <c r="D106" s="958">
        <f t="shared" si="21"/>
        <v>819.68</v>
      </c>
      <c r="E106" s="958">
        <f t="shared" si="21"/>
        <v>819.68</v>
      </c>
      <c r="F106" s="958">
        <f t="shared" si="22"/>
        <v>819.68</v>
      </c>
      <c r="G106" s="963">
        <v>819.68</v>
      </c>
      <c r="H106" s="963">
        <v>720.8</v>
      </c>
      <c r="I106" s="958">
        <f t="shared" si="23"/>
        <v>702.03499999999997</v>
      </c>
      <c r="J106" s="963">
        <v>683.27</v>
      </c>
      <c r="K106" s="958">
        <f t="shared" si="24"/>
        <v>590.59424999999999</v>
      </c>
      <c r="L106" s="959">
        <v>497.91849999999999</v>
      </c>
      <c r="M106" s="959">
        <v>545.78689999999995</v>
      </c>
      <c r="N106" s="958">
        <f t="shared" si="25"/>
        <v>477.29285147496046</v>
      </c>
      <c r="O106" s="959">
        <v>408.79880294992103</v>
      </c>
      <c r="P106" s="960">
        <f t="shared" si="26"/>
        <v>387.25590147496052</v>
      </c>
      <c r="Q106" s="961">
        <v>365.71300000000002</v>
      </c>
      <c r="R106" s="960">
        <f t="shared" si="20"/>
        <v>330.18700000000001</v>
      </c>
      <c r="S106" s="961">
        <v>294.661</v>
      </c>
      <c r="T106" s="958">
        <f t="shared" si="27"/>
        <v>273.88650000000001</v>
      </c>
      <c r="U106" s="961">
        <v>253.11199999999999</v>
      </c>
      <c r="V106" s="962">
        <v>232.30500000000001</v>
      </c>
      <c r="W106" s="961">
        <v>233.512</v>
      </c>
      <c r="X106" s="961">
        <v>233.08099999999999</v>
      </c>
      <c r="Y106" s="960">
        <f t="shared" si="28"/>
        <v>233.08099999999999</v>
      </c>
      <c r="Z106" s="960">
        <f t="shared" si="28"/>
        <v>233.08099999999999</v>
      </c>
      <c r="AA106" s="960">
        <f t="shared" si="28"/>
        <v>233.08099999999999</v>
      </c>
      <c r="AB106" s="960">
        <f t="shared" si="28"/>
        <v>233.08099999999999</v>
      </c>
    </row>
    <row r="107" spans="1:28">
      <c r="A107" s="265" t="s">
        <v>311</v>
      </c>
      <c r="B107" t="s">
        <v>918</v>
      </c>
      <c r="C107" s="958">
        <f t="shared" si="21"/>
        <v>1095.53</v>
      </c>
      <c r="D107" s="958">
        <f t="shared" si="21"/>
        <v>1095.53</v>
      </c>
      <c r="E107" s="958">
        <f t="shared" si="21"/>
        <v>1095.53</v>
      </c>
      <c r="F107" s="958">
        <f t="shared" si="22"/>
        <v>1095.53</v>
      </c>
      <c r="G107" s="963">
        <v>1095.53</v>
      </c>
      <c r="H107" s="963">
        <v>1139.07</v>
      </c>
      <c r="I107" s="958">
        <f t="shared" si="23"/>
        <v>1099.1949999999999</v>
      </c>
      <c r="J107" s="963">
        <v>1059.32</v>
      </c>
      <c r="K107" s="958">
        <f t="shared" si="24"/>
        <v>1003.37185</v>
      </c>
      <c r="L107" s="959">
        <v>947.42370000000005</v>
      </c>
      <c r="M107" s="959">
        <v>1001.7161</v>
      </c>
      <c r="N107" s="958">
        <f t="shared" si="25"/>
        <v>930.13805230734692</v>
      </c>
      <c r="O107" s="959">
        <v>858.56000461469387</v>
      </c>
      <c r="P107" s="960">
        <f t="shared" si="26"/>
        <v>844.00200230734686</v>
      </c>
      <c r="Q107" s="961">
        <v>829.44399999999996</v>
      </c>
      <c r="R107" s="960">
        <f t="shared" si="20"/>
        <v>793.81099999999992</v>
      </c>
      <c r="S107" s="961">
        <v>758.178</v>
      </c>
      <c r="T107" s="958">
        <f t="shared" si="27"/>
        <v>737.072</v>
      </c>
      <c r="U107" s="961">
        <v>715.96600000000001</v>
      </c>
      <c r="V107" s="962">
        <v>695.03399999999999</v>
      </c>
      <c r="W107" s="961">
        <v>652.45799999999997</v>
      </c>
      <c r="X107" s="961">
        <v>672.78700000000003</v>
      </c>
      <c r="Y107" s="960">
        <f t="shared" si="28"/>
        <v>672.78700000000003</v>
      </c>
      <c r="Z107" s="960">
        <f t="shared" si="28"/>
        <v>672.78700000000003</v>
      </c>
      <c r="AA107" s="960">
        <f t="shared" si="28"/>
        <v>672.78700000000003</v>
      </c>
      <c r="AB107" s="960">
        <f t="shared" si="28"/>
        <v>672.78700000000003</v>
      </c>
    </row>
    <row r="108" spans="1:28">
      <c r="A108" s="265" t="s">
        <v>313</v>
      </c>
      <c r="B108" t="s">
        <v>919</v>
      </c>
      <c r="C108" s="958">
        <f t="shared" si="21"/>
        <v>1641.41</v>
      </c>
      <c r="D108" s="958">
        <f t="shared" si="21"/>
        <v>1641.41</v>
      </c>
      <c r="E108" s="958">
        <f t="shared" si="21"/>
        <v>1641.41</v>
      </c>
      <c r="F108" s="958">
        <f t="shared" si="22"/>
        <v>1641.41</v>
      </c>
      <c r="G108" s="963">
        <v>1641.41</v>
      </c>
      <c r="H108" s="963">
        <v>1563.28</v>
      </c>
      <c r="I108" s="958">
        <f t="shared" si="23"/>
        <v>1607.1949999999999</v>
      </c>
      <c r="J108" s="963">
        <v>1651.11</v>
      </c>
      <c r="K108" s="958">
        <f t="shared" si="24"/>
        <v>1655.2833999999998</v>
      </c>
      <c r="L108" s="959">
        <v>1659.4567999999999</v>
      </c>
      <c r="M108" s="959">
        <v>1629.3819000000001</v>
      </c>
      <c r="N108" s="958">
        <f t="shared" si="25"/>
        <v>1599.3058123455107</v>
      </c>
      <c r="O108" s="959">
        <v>1569.2297246910216</v>
      </c>
      <c r="P108" s="960">
        <f t="shared" si="26"/>
        <v>1550.3468623455108</v>
      </c>
      <c r="Q108" s="961">
        <v>1531.4639999999999</v>
      </c>
      <c r="R108" s="960">
        <f t="shared" si="20"/>
        <v>1401.7545</v>
      </c>
      <c r="S108" s="961">
        <v>1272.0450000000001</v>
      </c>
      <c r="T108" s="958">
        <f t="shared" si="27"/>
        <v>1292.3025</v>
      </c>
      <c r="U108" s="961">
        <v>1312.56</v>
      </c>
      <c r="V108" s="962">
        <v>1189.335</v>
      </c>
      <c r="W108" s="961">
        <v>1153.058</v>
      </c>
      <c r="X108" s="961">
        <v>1214.0609999999999</v>
      </c>
      <c r="Y108" s="960">
        <f t="shared" ref="Y108:AB117" si="29">X108</f>
        <v>1214.0609999999999</v>
      </c>
      <c r="Z108" s="960">
        <f t="shared" si="29"/>
        <v>1214.0609999999999</v>
      </c>
      <c r="AA108" s="960">
        <f t="shared" si="29"/>
        <v>1214.0609999999999</v>
      </c>
      <c r="AB108" s="960">
        <f t="shared" si="29"/>
        <v>1214.0609999999999</v>
      </c>
    </row>
    <row r="109" spans="1:28">
      <c r="A109" s="265" t="s">
        <v>315</v>
      </c>
      <c r="B109" t="s">
        <v>920</v>
      </c>
      <c r="C109" s="958">
        <f t="shared" si="21"/>
        <v>1556.39</v>
      </c>
      <c r="D109" s="958">
        <f t="shared" si="21"/>
        <v>1556.39</v>
      </c>
      <c r="E109" s="958">
        <f t="shared" si="21"/>
        <v>1556.39</v>
      </c>
      <c r="F109" s="958">
        <f t="shared" si="22"/>
        <v>1556.39</v>
      </c>
      <c r="G109" s="963">
        <v>1556.39</v>
      </c>
      <c r="H109" s="963">
        <v>1537.82</v>
      </c>
      <c r="I109" s="958">
        <f t="shared" si="23"/>
        <v>1544.67</v>
      </c>
      <c r="J109" s="963">
        <v>1551.52</v>
      </c>
      <c r="K109" s="958">
        <f t="shared" si="24"/>
        <v>1536.05655</v>
      </c>
      <c r="L109" s="959">
        <v>1520.5931</v>
      </c>
      <c r="M109" s="959">
        <v>1503.4707000000001</v>
      </c>
      <c r="N109" s="958">
        <f t="shared" si="25"/>
        <v>1441.4737681783181</v>
      </c>
      <c r="O109" s="959">
        <v>1379.4768363566359</v>
      </c>
      <c r="P109" s="960">
        <f t="shared" si="26"/>
        <v>1380.180418178318</v>
      </c>
      <c r="Q109" s="961">
        <v>1380.884</v>
      </c>
      <c r="R109" s="960">
        <f t="shared" si="20"/>
        <v>1312.1615000000002</v>
      </c>
      <c r="S109" s="961">
        <v>1243.4390000000001</v>
      </c>
      <c r="T109" s="958">
        <f t="shared" si="27"/>
        <v>1204.7674999999999</v>
      </c>
      <c r="U109" s="961">
        <v>1166.096</v>
      </c>
      <c r="V109" s="962">
        <v>1067.6790000000001</v>
      </c>
      <c r="W109" s="961">
        <v>984.97699999999998</v>
      </c>
      <c r="X109" s="961">
        <v>1046.1320000000001</v>
      </c>
      <c r="Y109" s="960">
        <f t="shared" si="29"/>
        <v>1046.1320000000001</v>
      </c>
      <c r="Z109" s="960">
        <f t="shared" si="29"/>
        <v>1046.1320000000001</v>
      </c>
      <c r="AA109" s="960">
        <f t="shared" si="29"/>
        <v>1046.1320000000001</v>
      </c>
      <c r="AB109" s="960">
        <f t="shared" si="29"/>
        <v>1046.1320000000001</v>
      </c>
    </row>
    <row r="110" spans="1:28">
      <c r="A110" s="265" t="s">
        <v>317</v>
      </c>
      <c r="B110" t="s">
        <v>921</v>
      </c>
      <c r="C110" s="958">
        <f t="shared" si="21"/>
        <v>2035.81</v>
      </c>
      <c r="D110" s="958">
        <f t="shared" si="21"/>
        <v>2035.81</v>
      </c>
      <c r="E110" s="958">
        <f t="shared" si="21"/>
        <v>2035.81</v>
      </c>
      <c r="F110" s="958">
        <f t="shared" si="22"/>
        <v>2035.81</v>
      </c>
      <c r="G110" s="963">
        <v>2035.81</v>
      </c>
      <c r="H110" s="963">
        <v>1883.08</v>
      </c>
      <c r="I110" s="958">
        <f t="shared" si="23"/>
        <v>1894.57</v>
      </c>
      <c r="J110" s="963">
        <v>1906.06</v>
      </c>
      <c r="K110" s="958">
        <f t="shared" si="24"/>
        <v>1865.2862500000001</v>
      </c>
      <c r="L110" s="860">
        <v>1824.5125</v>
      </c>
      <c r="M110" s="860">
        <v>1896.7397000000001</v>
      </c>
      <c r="N110" s="958">
        <f t="shared" si="25"/>
        <v>1859.6950580648574</v>
      </c>
      <c r="O110" s="860">
        <v>1822.6504161297148</v>
      </c>
      <c r="P110" s="960">
        <f t="shared" si="26"/>
        <v>1780.1702080648574</v>
      </c>
      <c r="Q110" s="961">
        <v>1737.69</v>
      </c>
      <c r="R110" s="960">
        <f t="shared" si="20"/>
        <v>1552.729</v>
      </c>
      <c r="S110" s="961">
        <v>1367.768</v>
      </c>
      <c r="T110" s="958">
        <f t="shared" si="27"/>
        <v>1320.6914999999999</v>
      </c>
      <c r="U110" s="961">
        <v>1273.615</v>
      </c>
      <c r="V110" s="962">
        <v>1242.6110000000001</v>
      </c>
      <c r="W110" s="961">
        <v>1144.8009999999999</v>
      </c>
      <c r="X110" s="961">
        <v>1158.8599999999999</v>
      </c>
      <c r="Y110" s="960">
        <f t="shared" si="29"/>
        <v>1158.8599999999999</v>
      </c>
      <c r="Z110" s="960">
        <f t="shared" si="29"/>
        <v>1158.8599999999999</v>
      </c>
      <c r="AA110" s="960">
        <f t="shared" si="29"/>
        <v>1158.8599999999999</v>
      </c>
      <c r="AB110" s="960">
        <f t="shared" si="29"/>
        <v>1158.8599999999999</v>
      </c>
    </row>
    <row r="111" spans="1:28">
      <c r="A111" s="265" t="s">
        <v>319</v>
      </c>
      <c r="B111" t="s">
        <v>922</v>
      </c>
      <c r="C111" s="958">
        <f t="shared" si="21"/>
        <v>1971.42</v>
      </c>
      <c r="D111" s="958">
        <f t="shared" si="21"/>
        <v>1971.42</v>
      </c>
      <c r="E111" s="958">
        <f t="shared" si="21"/>
        <v>1971.42</v>
      </c>
      <c r="F111" s="958">
        <f t="shared" si="22"/>
        <v>1971.42</v>
      </c>
      <c r="G111" s="964">
        <v>1971.42</v>
      </c>
      <c r="H111" s="964">
        <v>1960.94</v>
      </c>
      <c r="I111" s="958">
        <f t="shared" si="23"/>
        <v>1879.825</v>
      </c>
      <c r="J111" s="964">
        <v>1798.71</v>
      </c>
      <c r="K111" s="958">
        <f t="shared" si="24"/>
        <v>1807.2336500000001</v>
      </c>
      <c r="L111" s="860">
        <v>1815.7573</v>
      </c>
      <c r="M111" s="860">
        <v>1799.4482</v>
      </c>
      <c r="N111" s="958">
        <f t="shared" si="25"/>
        <v>1760.5503731431795</v>
      </c>
      <c r="O111" s="860">
        <v>1721.652546286359</v>
      </c>
      <c r="P111" s="960">
        <f t="shared" si="26"/>
        <v>1648.3222731431795</v>
      </c>
      <c r="Q111" s="961">
        <v>1574.992</v>
      </c>
      <c r="R111" s="960">
        <f t="shared" si="20"/>
        <v>1493.6709999999998</v>
      </c>
      <c r="S111" s="961">
        <v>1412.35</v>
      </c>
      <c r="T111" s="958">
        <f t="shared" si="27"/>
        <v>1287.7684999999999</v>
      </c>
      <c r="U111" s="961">
        <v>1163.1869999999999</v>
      </c>
      <c r="V111" s="962">
        <v>1069.971</v>
      </c>
      <c r="W111" s="961">
        <v>954.03200000000004</v>
      </c>
      <c r="X111" s="961">
        <v>991.72900000000004</v>
      </c>
      <c r="Y111" s="960">
        <f t="shared" si="29"/>
        <v>991.72900000000004</v>
      </c>
      <c r="Z111" s="960">
        <f t="shared" si="29"/>
        <v>991.72900000000004</v>
      </c>
      <c r="AA111" s="960">
        <f t="shared" si="29"/>
        <v>991.72900000000004</v>
      </c>
      <c r="AB111" s="960">
        <f t="shared" si="29"/>
        <v>991.72900000000004</v>
      </c>
    </row>
    <row r="112" spans="1:28">
      <c r="A112" s="265" t="s">
        <v>321</v>
      </c>
      <c r="B112" t="s">
        <v>923</v>
      </c>
      <c r="C112" s="958">
        <f t="shared" si="21"/>
        <v>1761.14</v>
      </c>
      <c r="D112" s="958">
        <f t="shared" si="21"/>
        <v>1761.14</v>
      </c>
      <c r="E112" s="958">
        <f t="shared" si="21"/>
        <v>1761.14</v>
      </c>
      <c r="F112" s="958">
        <f t="shared" si="22"/>
        <v>1761.14</v>
      </c>
      <c r="G112" s="964">
        <v>1761.14</v>
      </c>
      <c r="H112" s="964">
        <v>1658.14</v>
      </c>
      <c r="I112" s="958">
        <f t="shared" si="23"/>
        <v>1641.085</v>
      </c>
      <c r="J112" s="964">
        <v>1624.03</v>
      </c>
      <c r="K112" s="958">
        <f t="shared" si="24"/>
        <v>1611.5234</v>
      </c>
      <c r="L112" s="860">
        <v>1599.0168000000001</v>
      </c>
      <c r="M112" s="860">
        <v>1580.6031</v>
      </c>
      <c r="N112" s="958">
        <f t="shared" si="25"/>
        <v>1559.61484810823</v>
      </c>
      <c r="O112" s="860">
        <v>1538.6265962164603</v>
      </c>
      <c r="P112" s="960">
        <f t="shared" si="26"/>
        <v>1507.2397981082302</v>
      </c>
      <c r="Q112" s="961">
        <v>1475.8530000000001</v>
      </c>
      <c r="R112" s="960">
        <f t="shared" si="20"/>
        <v>1362.0909999999999</v>
      </c>
      <c r="S112" s="961">
        <v>1248.329</v>
      </c>
      <c r="T112" s="958">
        <f t="shared" si="27"/>
        <v>1207.4555</v>
      </c>
      <c r="U112" s="961">
        <v>1166.5820000000001</v>
      </c>
      <c r="V112" s="962">
        <v>1001.985</v>
      </c>
      <c r="W112" s="961">
        <v>931.75599999999997</v>
      </c>
      <c r="X112" s="961">
        <v>1031.6010000000001</v>
      </c>
      <c r="Y112" s="960">
        <f t="shared" si="29"/>
        <v>1031.6010000000001</v>
      </c>
      <c r="Z112" s="960">
        <f t="shared" si="29"/>
        <v>1031.6010000000001</v>
      </c>
      <c r="AA112" s="960">
        <f t="shared" si="29"/>
        <v>1031.6010000000001</v>
      </c>
      <c r="AB112" s="960">
        <f t="shared" si="29"/>
        <v>1031.6010000000001</v>
      </c>
    </row>
    <row r="113" spans="1:35">
      <c r="A113" s="265" t="s">
        <v>323</v>
      </c>
      <c r="B113" t="s">
        <v>924</v>
      </c>
      <c r="C113" s="958">
        <f t="shared" si="21"/>
        <v>1135.46</v>
      </c>
      <c r="D113" s="958">
        <f t="shared" si="21"/>
        <v>1135.46</v>
      </c>
      <c r="E113" s="958">
        <f t="shared" si="21"/>
        <v>1135.46</v>
      </c>
      <c r="F113" s="958">
        <f t="shared" si="22"/>
        <v>1135.46</v>
      </c>
      <c r="G113" s="963">
        <v>1135.46</v>
      </c>
      <c r="H113" s="963">
        <v>1019.74</v>
      </c>
      <c r="I113" s="958">
        <f t="shared" si="23"/>
        <v>1011.9200000000001</v>
      </c>
      <c r="J113" s="963">
        <v>1004.1</v>
      </c>
      <c r="K113" s="958">
        <f t="shared" si="24"/>
        <v>1003.25595</v>
      </c>
      <c r="L113" s="959">
        <v>1002.4118999999999</v>
      </c>
      <c r="M113" s="959">
        <v>1029.8161</v>
      </c>
      <c r="N113" s="958">
        <f t="shared" si="25"/>
        <v>1041.3671720468471</v>
      </c>
      <c r="O113" s="959">
        <v>1052.9182440936943</v>
      </c>
      <c r="P113" s="960">
        <f t="shared" si="26"/>
        <v>1037.4481220468472</v>
      </c>
      <c r="Q113" s="961">
        <v>1021.978</v>
      </c>
      <c r="R113" s="960">
        <f t="shared" si="20"/>
        <v>930.43349999999998</v>
      </c>
      <c r="S113" s="961">
        <v>838.88900000000001</v>
      </c>
      <c r="T113" s="958">
        <f t="shared" si="27"/>
        <v>846.76700000000005</v>
      </c>
      <c r="U113" s="961">
        <v>854.64499999999998</v>
      </c>
      <c r="V113" s="962">
        <v>806.755</v>
      </c>
      <c r="W113" s="961">
        <v>740.35900000000004</v>
      </c>
      <c r="X113" s="961">
        <v>772.73699999999997</v>
      </c>
      <c r="Y113" s="960">
        <f t="shared" si="29"/>
        <v>772.73699999999997</v>
      </c>
      <c r="Z113" s="960">
        <f t="shared" si="29"/>
        <v>772.73699999999997</v>
      </c>
      <c r="AA113" s="960">
        <f t="shared" si="29"/>
        <v>772.73699999999997</v>
      </c>
      <c r="AB113" s="960">
        <f t="shared" si="29"/>
        <v>772.73699999999997</v>
      </c>
    </row>
    <row r="114" spans="1:35">
      <c r="A114" s="265" t="s">
        <v>325</v>
      </c>
      <c r="B114" t="s">
        <v>925</v>
      </c>
      <c r="C114" s="958">
        <f t="shared" si="21"/>
        <v>1844.34</v>
      </c>
      <c r="D114" s="958">
        <f t="shared" si="21"/>
        <v>1844.34</v>
      </c>
      <c r="E114" s="958">
        <f t="shared" si="21"/>
        <v>1844.34</v>
      </c>
      <c r="F114" s="958">
        <f t="shared" si="22"/>
        <v>1844.34</v>
      </c>
      <c r="G114" s="964">
        <v>1844.34</v>
      </c>
      <c r="H114" s="964">
        <v>1830.51</v>
      </c>
      <c r="I114" s="958">
        <f t="shared" si="23"/>
        <v>1804.8899999999999</v>
      </c>
      <c r="J114" s="964">
        <v>1779.27</v>
      </c>
      <c r="K114" s="958">
        <f t="shared" si="24"/>
        <v>1764.5115000000001</v>
      </c>
      <c r="L114" s="959">
        <v>1749.7529999999999</v>
      </c>
      <c r="M114" s="959">
        <v>1810.8269</v>
      </c>
      <c r="N114" s="958">
        <f t="shared" si="25"/>
        <v>1760.7870933362333</v>
      </c>
      <c r="O114" s="959">
        <v>1710.7472866724663</v>
      </c>
      <c r="P114" s="960">
        <f t="shared" si="26"/>
        <v>1741.3761433362333</v>
      </c>
      <c r="Q114" s="961">
        <v>1772.0050000000001</v>
      </c>
      <c r="R114" s="960">
        <f t="shared" si="20"/>
        <v>1692.2975000000001</v>
      </c>
      <c r="S114" s="961">
        <v>1612.59</v>
      </c>
      <c r="T114" s="958">
        <f t="shared" si="27"/>
        <v>1638.37</v>
      </c>
      <c r="U114" s="961">
        <v>1664.15</v>
      </c>
      <c r="V114" s="962">
        <v>1584.3910000000001</v>
      </c>
      <c r="W114" s="961">
        <v>1480.6990000000001</v>
      </c>
      <c r="X114" s="961">
        <v>1543.0340000000001</v>
      </c>
      <c r="Y114" s="960">
        <f t="shared" si="29"/>
        <v>1543.0340000000001</v>
      </c>
      <c r="Z114" s="960">
        <f t="shared" si="29"/>
        <v>1543.0340000000001</v>
      </c>
      <c r="AA114" s="960">
        <f t="shared" si="29"/>
        <v>1543.0340000000001</v>
      </c>
      <c r="AB114" s="960">
        <f t="shared" si="29"/>
        <v>1543.0340000000001</v>
      </c>
    </row>
    <row r="115" spans="1:35">
      <c r="A115" s="265" t="s">
        <v>327</v>
      </c>
      <c r="B115" t="s">
        <v>926</v>
      </c>
      <c r="C115" s="958">
        <f t="shared" si="21"/>
        <v>1490.37</v>
      </c>
      <c r="D115" s="958">
        <f t="shared" si="21"/>
        <v>1490.37</v>
      </c>
      <c r="E115" s="958">
        <f t="shared" si="21"/>
        <v>1490.37</v>
      </c>
      <c r="F115" s="958">
        <f t="shared" si="22"/>
        <v>1490.37</v>
      </c>
      <c r="G115" s="964">
        <v>1490.37</v>
      </c>
      <c r="H115" s="964">
        <v>1489.54</v>
      </c>
      <c r="I115" s="958">
        <f t="shared" si="23"/>
        <v>1492.5050000000001</v>
      </c>
      <c r="J115" s="964">
        <v>1495.47</v>
      </c>
      <c r="K115" s="958">
        <f t="shared" si="24"/>
        <v>1410.5771</v>
      </c>
      <c r="L115" s="959">
        <v>1325.6841999999999</v>
      </c>
      <c r="M115" s="959">
        <v>1354.0945999999999</v>
      </c>
      <c r="N115" s="958">
        <f t="shared" si="25"/>
        <v>1251.5710738009457</v>
      </c>
      <c r="O115" s="959">
        <v>1149.0475476018912</v>
      </c>
      <c r="P115" s="960">
        <f t="shared" si="26"/>
        <v>1146.4342738009454</v>
      </c>
      <c r="Q115" s="961">
        <v>1143.8209999999999</v>
      </c>
      <c r="R115" s="960">
        <f t="shared" si="20"/>
        <v>1116.5974999999999</v>
      </c>
      <c r="S115" s="961">
        <v>1089.374</v>
      </c>
      <c r="T115" s="958">
        <f t="shared" si="27"/>
        <v>1058.6510000000001</v>
      </c>
      <c r="U115" s="961">
        <v>1027.9280000000001</v>
      </c>
      <c r="V115" s="962">
        <v>969.16499999999996</v>
      </c>
      <c r="W115" s="961">
        <v>860.17899999999997</v>
      </c>
      <c r="X115" s="961">
        <v>891.90700000000004</v>
      </c>
      <c r="Y115" s="960">
        <f t="shared" si="29"/>
        <v>891.90700000000004</v>
      </c>
      <c r="Z115" s="960">
        <f t="shared" si="29"/>
        <v>891.90700000000004</v>
      </c>
      <c r="AA115" s="960">
        <f t="shared" si="29"/>
        <v>891.90700000000004</v>
      </c>
      <c r="AB115" s="960">
        <f t="shared" si="29"/>
        <v>891.90700000000004</v>
      </c>
    </row>
    <row r="116" spans="1:35">
      <c r="A116" s="265" t="s">
        <v>329</v>
      </c>
      <c r="B116" t="s">
        <v>927</v>
      </c>
      <c r="C116" s="958">
        <f t="shared" si="21"/>
        <v>1494.89</v>
      </c>
      <c r="D116" s="958">
        <f t="shared" si="21"/>
        <v>1494.89</v>
      </c>
      <c r="E116" s="958">
        <f t="shared" si="21"/>
        <v>1494.89</v>
      </c>
      <c r="F116" s="958">
        <f t="shared" si="22"/>
        <v>1494.89</v>
      </c>
      <c r="G116" s="964">
        <v>1494.89</v>
      </c>
      <c r="H116" s="964">
        <v>1510.44</v>
      </c>
      <c r="I116" s="958">
        <f t="shared" si="23"/>
        <v>1525.645</v>
      </c>
      <c r="J116" s="964">
        <v>1540.85</v>
      </c>
      <c r="K116" s="958">
        <f t="shared" si="24"/>
        <v>1449.28035</v>
      </c>
      <c r="L116" s="959">
        <v>1357.7107000000001</v>
      </c>
      <c r="M116" s="959">
        <v>1389.2003</v>
      </c>
      <c r="N116" s="958">
        <f t="shared" si="25"/>
        <v>1363.175428193726</v>
      </c>
      <c r="O116" s="959">
        <v>1337.1505563874521</v>
      </c>
      <c r="P116" s="960">
        <f t="shared" si="26"/>
        <v>1336.7152781937261</v>
      </c>
      <c r="Q116" s="961">
        <v>1336.28</v>
      </c>
      <c r="R116" s="960">
        <f t="shared" si="20"/>
        <v>1260.8564999999999</v>
      </c>
      <c r="S116" s="961">
        <v>1185.433</v>
      </c>
      <c r="T116" s="958">
        <f t="shared" si="27"/>
        <v>1108.4850000000001</v>
      </c>
      <c r="U116" s="961">
        <v>1031.537</v>
      </c>
      <c r="V116" s="962">
        <v>949.69500000000005</v>
      </c>
      <c r="W116" s="961">
        <v>834.18200000000002</v>
      </c>
      <c r="X116" s="961">
        <v>931.58600000000001</v>
      </c>
      <c r="Y116" s="960">
        <f t="shared" si="29"/>
        <v>931.58600000000001</v>
      </c>
      <c r="Z116" s="960">
        <f t="shared" si="29"/>
        <v>931.58600000000001</v>
      </c>
      <c r="AA116" s="960">
        <f t="shared" si="29"/>
        <v>931.58600000000001</v>
      </c>
      <c r="AB116" s="960">
        <f t="shared" si="29"/>
        <v>931.58600000000001</v>
      </c>
    </row>
    <row r="117" spans="1:35">
      <c r="A117" s="265" t="s">
        <v>331</v>
      </c>
      <c r="B117" t="s">
        <v>928</v>
      </c>
      <c r="C117" s="958">
        <f t="shared" si="21"/>
        <v>1146.3900000000001</v>
      </c>
      <c r="D117" s="958">
        <f t="shared" si="21"/>
        <v>1146.3900000000001</v>
      </c>
      <c r="E117" s="958">
        <f t="shared" si="21"/>
        <v>1146.3900000000001</v>
      </c>
      <c r="F117" s="958">
        <f t="shared" si="22"/>
        <v>1146.3900000000001</v>
      </c>
      <c r="G117" s="965">
        <v>1146.3900000000001</v>
      </c>
      <c r="H117" s="965">
        <v>1134.8800000000001</v>
      </c>
      <c r="I117" s="958">
        <f t="shared" si="23"/>
        <v>1126.645</v>
      </c>
      <c r="J117" s="965">
        <v>1118.4100000000001</v>
      </c>
      <c r="K117" s="958">
        <f t="shared" si="24"/>
        <v>1077.1393</v>
      </c>
      <c r="L117" s="959">
        <v>1035.8686</v>
      </c>
      <c r="M117" s="959">
        <v>1073.6477</v>
      </c>
      <c r="N117" s="958">
        <f t="shared" si="25"/>
        <v>1003.2611289107363</v>
      </c>
      <c r="O117" s="959">
        <v>932.87455782147242</v>
      </c>
      <c r="P117" s="960">
        <f t="shared" si="26"/>
        <v>894.7287789107362</v>
      </c>
      <c r="Q117" s="961">
        <v>856.58299999999997</v>
      </c>
      <c r="R117" s="960">
        <f t="shared" si="20"/>
        <v>830.93399999999997</v>
      </c>
      <c r="S117" s="961">
        <v>805.28499999999997</v>
      </c>
      <c r="T117" s="958">
        <f t="shared" si="27"/>
        <v>774.30649999999991</v>
      </c>
      <c r="U117" s="961">
        <v>743.32799999999997</v>
      </c>
      <c r="V117" s="962">
        <v>675.41700000000003</v>
      </c>
      <c r="W117" s="961">
        <v>623.11099999999999</v>
      </c>
      <c r="X117" s="961">
        <v>639.66499999999996</v>
      </c>
      <c r="Y117" s="960">
        <f t="shared" si="29"/>
        <v>639.66499999999996</v>
      </c>
      <c r="Z117" s="960">
        <f t="shared" si="29"/>
        <v>639.66499999999996</v>
      </c>
      <c r="AA117" s="960">
        <f t="shared" si="29"/>
        <v>639.66499999999996</v>
      </c>
      <c r="AB117" s="960">
        <f t="shared" si="29"/>
        <v>639.66499999999996</v>
      </c>
    </row>
    <row r="119" spans="1:35" ht="16.5">
      <c r="C119" s="1" t="s">
        <v>929</v>
      </c>
      <c r="AD119" s="1" t="s">
        <v>930</v>
      </c>
    </row>
    <row r="120" spans="1:35">
      <c r="A120" s="268" t="s">
        <v>112</v>
      </c>
      <c r="B120" s="1" t="s">
        <v>902</v>
      </c>
      <c r="C120" s="860">
        <v>2000</v>
      </c>
      <c r="D120" s="860">
        <v>2001</v>
      </c>
      <c r="E120" s="860">
        <v>2002</v>
      </c>
      <c r="F120" s="860">
        <v>2003</v>
      </c>
      <c r="G120" s="860">
        <v>2004</v>
      </c>
      <c r="H120" s="860">
        <v>2005</v>
      </c>
      <c r="I120" s="860">
        <v>2006</v>
      </c>
      <c r="J120" s="860">
        <v>2007</v>
      </c>
      <c r="K120" s="860">
        <v>2008</v>
      </c>
      <c r="L120" s="860">
        <v>2009</v>
      </c>
      <c r="M120" s="860">
        <v>2010</v>
      </c>
      <c r="N120" s="860">
        <v>2011</v>
      </c>
      <c r="O120" s="860">
        <v>2012</v>
      </c>
      <c r="P120" s="860">
        <v>2013</v>
      </c>
      <c r="Q120" s="860">
        <v>2014</v>
      </c>
      <c r="R120" s="860">
        <v>2015</v>
      </c>
      <c r="S120" s="860">
        <v>2016</v>
      </c>
      <c r="T120" s="860">
        <v>2017</v>
      </c>
      <c r="U120" s="860">
        <v>2018</v>
      </c>
      <c r="V120" s="860">
        <v>2019</v>
      </c>
      <c r="W120" s="860">
        <v>2020</v>
      </c>
      <c r="X120" s="860">
        <v>2021</v>
      </c>
      <c r="Y120" s="860">
        <v>2022</v>
      </c>
      <c r="Z120" s="860">
        <v>2023</v>
      </c>
      <c r="AA120" s="860">
        <v>2024</v>
      </c>
      <c r="AB120" s="860">
        <v>2025</v>
      </c>
      <c r="AD120" s="498">
        <v>2005</v>
      </c>
      <c r="AE120" s="498">
        <v>2007</v>
      </c>
      <c r="AF120" s="498">
        <v>2009</v>
      </c>
      <c r="AG120" s="498">
        <v>2010</v>
      </c>
      <c r="AH120" s="498">
        <v>2012</v>
      </c>
      <c r="AI120" s="498">
        <v>2014</v>
      </c>
    </row>
    <row r="121" spans="1:35">
      <c r="A121" s="265" t="s">
        <v>115</v>
      </c>
      <c r="B121" t="s">
        <v>903</v>
      </c>
      <c r="C121" s="958">
        <f t="shared" ref="C121:F146" si="30">D121</f>
        <v>2.6599999999999999E-2</v>
      </c>
      <c r="D121" s="958">
        <f t="shared" si="30"/>
        <v>2.6599999999999999E-2</v>
      </c>
      <c r="E121" s="958">
        <f t="shared" si="30"/>
        <v>2.6599999999999999E-2</v>
      </c>
      <c r="F121" s="958">
        <f t="shared" si="30"/>
        <v>2.6599999999999999E-2</v>
      </c>
      <c r="G121" s="963">
        <v>2.6599999999999999E-2</v>
      </c>
      <c r="H121" s="963">
        <f t="shared" ref="H121:H146" si="31">AD121/1000</f>
        <v>2.5600000000000001E-2</v>
      </c>
      <c r="I121" s="958">
        <f>(H121+J121)/2</f>
        <v>2.6355E-2</v>
      </c>
      <c r="J121" s="963">
        <f t="shared" ref="J121:J146" si="32">AE121/1000</f>
        <v>2.7109999999999999E-2</v>
      </c>
      <c r="K121" s="958">
        <f>(J121+L121)/2</f>
        <v>2.7423499999999996E-2</v>
      </c>
      <c r="L121" s="963">
        <f t="shared" ref="L121:M146" si="33">AF121/1000</f>
        <v>2.7736999999999998E-2</v>
      </c>
      <c r="M121" s="963">
        <f>AG121/1000</f>
        <v>2.6075600000000001E-2</v>
      </c>
      <c r="N121" s="958">
        <f>(M121+O121)/2</f>
        <v>2.6205402220091798E-2</v>
      </c>
      <c r="O121" s="963">
        <f>AH121/1000</f>
        <v>2.6335204440183595E-2</v>
      </c>
      <c r="P121" s="958">
        <f t="shared" ref="P121:R146" si="34">(O121+Q121)/2</f>
        <v>3.6482102220091794E-2</v>
      </c>
      <c r="Q121" s="963">
        <f>AI121/1000</f>
        <v>4.6628999999999997E-2</v>
      </c>
      <c r="R121" s="958">
        <f t="shared" si="34"/>
        <v>6.1814499999999994E-2</v>
      </c>
      <c r="S121" s="966">
        <v>7.6999999999999999E-2</v>
      </c>
      <c r="T121" s="958">
        <f>(S121+U121)/2</f>
        <v>7.9500000000000001E-2</v>
      </c>
      <c r="U121" s="966">
        <v>8.2000000000000003E-2</v>
      </c>
      <c r="V121" s="860">
        <v>9.8000000000000004E-2</v>
      </c>
      <c r="W121" s="961">
        <v>0.1</v>
      </c>
      <c r="X121" s="961">
        <v>9.0999999999999998E-2</v>
      </c>
      <c r="Y121" s="960">
        <f>X121</f>
        <v>9.0999999999999998E-2</v>
      </c>
      <c r="Z121" s="960">
        <f>Y121</f>
        <v>9.0999999999999998E-2</v>
      </c>
      <c r="AA121" s="960">
        <f>Z121</f>
        <v>9.0999999999999998E-2</v>
      </c>
      <c r="AB121" s="960">
        <f>AA121</f>
        <v>9.0999999999999998E-2</v>
      </c>
      <c r="AD121" s="499">
        <v>25.6</v>
      </c>
      <c r="AE121" s="499">
        <v>27.11</v>
      </c>
      <c r="AF121" s="499">
        <v>27.736999999999998</v>
      </c>
      <c r="AG121" s="499">
        <v>26.075600000000001</v>
      </c>
      <c r="AH121" s="499">
        <v>26.335204440183595</v>
      </c>
      <c r="AI121" s="499">
        <v>46.628999999999998</v>
      </c>
    </row>
    <row r="122" spans="1:35">
      <c r="A122" s="265" t="s">
        <v>308</v>
      </c>
      <c r="B122" t="s">
        <v>904</v>
      </c>
      <c r="C122" s="958">
        <f t="shared" si="30"/>
        <v>2.3900000000000001E-2</v>
      </c>
      <c r="D122" s="958">
        <f t="shared" si="30"/>
        <v>2.3900000000000001E-2</v>
      </c>
      <c r="E122" s="958">
        <f t="shared" si="30"/>
        <v>2.3900000000000001E-2</v>
      </c>
      <c r="F122" s="958">
        <f t="shared" si="30"/>
        <v>2.3900000000000001E-2</v>
      </c>
      <c r="G122" s="963">
        <v>2.3900000000000001E-2</v>
      </c>
      <c r="H122" s="963">
        <f t="shared" si="31"/>
        <v>2.0750000000000001E-2</v>
      </c>
      <c r="I122" s="958">
        <f t="shared" ref="I122:I146" si="35">(H122+J122)/2</f>
        <v>2.1700000000000001E-2</v>
      </c>
      <c r="J122" s="963">
        <f t="shared" si="32"/>
        <v>2.265E-2</v>
      </c>
      <c r="K122" s="958">
        <f t="shared" ref="K122:K146" si="36">(J122+L122)/2</f>
        <v>2.22159E-2</v>
      </c>
      <c r="L122" s="963">
        <f t="shared" si="33"/>
        <v>2.17818E-2</v>
      </c>
      <c r="M122" s="963">
        <f t="shared" si="33"/>
        <v>1.8744900000000002E-2</v>
      </c>
      <c r="N122" s="958">
        <f t="shared" ref="N122:N146" si="37">(M122+O122)/2</f>
        <v>1.869881038362186E-2</v>
      </c>
      <c r="O122" s="963">
        <f t="shared" ref="O122:O146" si="38">AH122/1000</f>
        <v>1.8652720767243714E-2</v>
      </c>
      <c r="P122" s="958">
        <f t="shared" si="34"/>
        <v>2.7361360383621858E-2</v>
      </c>
      <c r="Q122" s="963">
        <f t="shared" ref="Q122:Q146" si="39">AI122/1000</f>
        <v>3.6069999999999998E-2</v>
      </c>
      <c r="R122" s="958">
        <f t="shared" si="34"/>
        <v>2.9534999999999999E-2</v>
      </c>
      <c r="S122" s="966">
        <v>2.3E-2</v>
      </c>
      <c r="T122" s="958">
        <f t="shared" ref="T122:T146" si="40">(S122+U122)/2</f>
        <v>2.35E-2</v>
      </c>
      <c r="U122" s="966">
        <v>2.4E-2</v>
      </c>
      <c r="V122" s="860">
        <v>2.5999999999999999E-2</v>
      </c>
      <c r="W122" s="961">
        <v>2.7E-2</v>
      </c>
      <c r="X122" s="961">
        <v>2.5000000000000001E-2</v>
      </c>
      <c r="Y122" s="960">
        <f t="shared" ref="Y122:AB136" si="41">X122</f>
        <v>2.5000000000000001E-2</v>
      </c>
      <c r="Z122" s="960">
        <f t="shared" si="41"/>
        <v>2.5000000000000001E-2</v>
      </c>
      <c r="AA122" s="960">
        <f t="shared" si="41"/>
        <v>2.5000000000000001E-2</v>
      </c>
      <c r="AB122" s="960">
        <f t="shared" si="41"/>
        <v>2.5000000000000001E-2</v>
      </c>
      <c r="AD122" s="499">
        <v>20.75</v>
      </c>
      <c r="AE122" s="499">
        <v>22.65</v>
      </c>
      <c r="AF122" s="499">
        <v>21.7818</v>
      </c>
      <c r="AG122" s="499">
        <v>18.744900000000001</v>
      </c>
      <c r="AH122" s="499">
        <v>18.652720767243714</v>
      </c>
      <c r="AI122" s="499">
        <v>36.07</v>
      </c>
    </row>
    <row r="123" spans="1:35">
      <c r="A123" s="265" t="s">
        <v>310</v>
      </c>
      <c r="B123" t="s">
        <v>905</v>
      </c>
      <c r="C123" s="958">
        <f t="shared" si="30"/>
        <v>1.7999999999999999E-2</v>
      </c>
      <c r="D123" s="958">
        <f t="shared" si="30"/>
        <v>1.7999999999999999E-2</v>
      </c>
      <c r="E123" s="958">
        <f t="shared" si="30"/>
        <v>1.7999999999999999E-2</v>
      </c>
      <c r="F123" s="958">
        <f t="shared" si="30"/>
        <v>1.7999999999999999E-2</v>
      </c>
      <c r="G123" s="963">
        <v>1.7999999999999999E-2</v>
      </c>
      <c r="H123" s="963">
        <f t="shared" si="31"/>
        <v>1.745E-2</v>
      </c>
      <c r="I123" s="958">
        <f t="shared" si="35"/>
        <v>1.8125000000000002E-2</v>
      </c>
      <c r="J123" s="963">
        <f t="shared" si="32"/>
        <v>1.8800000000000001E-2</v>
      </c>
      <c r="K123" s="958">
        <f t="shared" si="36"/>
        <v>1.8965849999999999E-2</v>
      </c>
      <c r="L123" s="963">
        <f t="shared" si="33"/>
        <v>1.9131699999999998E-2</v>
      </c>
      <c r="M123" s="963">
        <f t="shared" si="33"/>
        <v>1.92067E-2</v>
      </c>
      <c r="N123" s="958">
        <f t="shared" si="37"/>
        <v>1.8929811476859085E-2</v>
      </c>
      <c r="O123" s="963">
        <f t="shared" si="38"/>
        <v>1.8652922953718173E-2</v>
      </c>
      <c r="P123" s="958">
        <f t="shared" si="34"/>
        <v>4.2515461476859091E-2</v>
      </c>
      <c r="Q123" s="963">
        <f t="shared" si="39"/>
        <v>6.6378000000000006E-2</v>
      </c>
      <c r="R123" s="958">
        <f t="shared" si="34"/>
        <v>7.2689000000000004E-2</v>
      </c>
      <c r="S123" s="966">
        <v>7.9000000000000001E-2</v>
      </c>
      <c r="T123" s="958">
        <f t="shared" si="40"/>
        <v>7.8E-2</v>
      </c>
      <c r="U123" s="966">
        <v>7.6999999999999999E-2</v>
      </c>
      <c r="V123" s="860">
        <v>6.8000000000000005E-2</v>
      </c>
      <c r="W123" s="961">
        <v>5.3999999999999999E-2</v>
      </c>
      <c r="X123" s="961">
        <v>5.1999999999999998E-2</v>
      </c>
      <c r="Y123" s="960">
        <f t="shared" si="41"/>
        <v>5.1999999999999998E-2</v>
      </c>
      <c r="Z123" s="960">
        <f t="shared" si="41"/>
        <v>5.1999999999999998E-2</v>
      </c>
      <c r="AA123" s="960">
        <f t="shared" si="41"/>
        <v>5.1999999999999998E-2</v>
      </c>
      <c r="AB123" s="960">
        <f t="shared" si="41"/>
        <v>5.1999999999999998E-2</v>
      </c>
      <c r="AD123" s="499">
        <v>17.45</v>
      </c>
      <c r="AE123" s="499">
        <v>18.8</v>
      </c>
      <c r="AF123" s="499">
        <v>19.131699999999999</v>
      </c>
      <c r="AG123" s="499">
        <v>19.206700000000001</v>
      </c>
      <c r="AH123" s="499">
        <v>18.652922953718171</v>
      </c>
      <c r="AI123" s="499">
        <v>66.378</v>
      </c>
    </row>
    <row r="124" spans="1:35">
      <c r="A124" s="265" t="s">
        <v>312</v>
      </c>
      <c r="B124" t="s">
        <v>906</v>
      </c>
      <c r="C124" s="958">
        <f t="shared" si="30"/>
        <v>3.024E-2</v>
      </c>
      <c r="D124" s="958">
        <f t="shared" si="30"/>
        <v>3.024E-2</v>
      </c>
      <c r="E124" s="958">
        <f t="shared" si="30"/>
        <v>3.024E-2</v>
      </c>
      <c r="F124" s="958">
        <f t="shared" si="30"/>
        <v>3.024E-2</v>
      </c>
      <c r="G124" s="958">
        <f>H124</f>
        <v>3.024E-2</v>
      </c>
      <c r="H124" s="963">
        <f t="shared" si="31"/>
        <v>3.024E-2</v>
      </c>
      <c r="I124" s="958">
        <f t="shared" si="35"/>
        <v>2.9264999999999999E-2</v>
      </c>
      <c r="J124" s="963">
        <f t="shared" si="32"/>
        <v>2.8289999999999999E-2</v>
      </c>
      <c r="K124" s="958">
        <f t="shared" si="36"/>
        <v>2.86152E-2</v>
      </c>
      <c r="L124" s="963">
        <f t="shared" si="33"/>
        <v>2.8940400000000002E-2</v>
      </c>
      <c r="M124" s="963">
        <f t="shared" si="33"/>
        <v>2.8490100000000001E-2</v>
      </c>
      <c r="N124" s="958">
        <f t="shared" si="37"/>
        <v>2.9803139523900589E-2</v>
      </c>
      <c r="O124" s="963">
        <f t="shared" si="38"/>
        <v>3.1116179047801177E-2</v>
      </c>
      <c r="P124" s="958">
        <f t="shared" si="34"/>
        <v>3.2110589523900585E-2</v>
      </c>
      <c r="Q124" s="963">
        <f t="shared" si="39"/>
        <v>3.3104999999999996E-2</v>
      </c>
      <c r="R124" s="958">
        <f t="shared" si="34"/>
        <v>3.3052499999999999E-2</v>
      </c>
      <c r="S124" s="966">
        <v>3.3000000000000002E-2</v>
      </c>
      <c r="T124" s="958">
        <f t="shared" si="40"/>
        <v>3.3500000000000002E-2</v>
      </c>
      <c r="U124" s="966">
        <v>3.4000000000000002E-2</v>
      </c>
      <c r="V124" s="860">
        <v>3.3000000000000002E-2</v>
      </c>
      <c r="W124" s="961">
        <v>3.2000000000000001E-2</v>
      </c>
      <c r="X124" s="961">
        <v>3.1E-2</v>
      </c>
      <c r="Y124" s="960">
        <f t="shared" si="41"/>
        <v>3.1E-2</v>
      </c>
      <c r="Z124" s="960">
        <f t="shared" si="41"/>
        <v>3.1E-2</v>
      </c>
      <c r="AA124" s="960">
        <f t="shared" si="41"/>
        <v>3.1E-2</v>
      </c>
      <c r="AB124" s="960">
        <f t="shared" si="41"/>
        <v>3.1E-2</v>
      </c>
      <c r="AD124" s="499">
        <v>30.24</v>
      </c>
      <c r="AE124" s="499">
        <v>28.29</v>
      </c>
      <c r="AF124" s="499">
        <v>28.9404</v>
      </c>
      <c r="AG124" s="499">
        <v>28.490100000000002</v>
      </c>
      <c r="AH124" s="499">
        <v>31.116179047801175</v>
      </c>
      <c r="AI124" s="499">
        <v>33.104999999999997</v>
      </c>
    </row>
    <row r="125" spans="1:35">
      <c r="A125" s="265" t="s">
        <v>314</v>
      </c>
      <c r="B125" t="s">
        <v>907</v>
      </c>
      <c r="C125" s="958">
        <f t="shared" si="30"/>
        <v>2.1000000000000001E-2</v>
      </c>
      <c r="D125" s="958">
        <f t="shared" si="30"/>
        <v>2.1000000000000001E-2</v>
      </c>
      <c r="E125" s="958">
        <f t="shared" si="30"/>
        <v>2.1000000000000001E-2</v>
      </c>
      <c r="F125" s="958">
        <f t="shared" si="30"/>
        <v>2.1000000000000001E-2</v>
      </c>
      <c r="G125" s="963">
        <v>2.1000000000000001E-2</v>
      </c>
      <c r="H125" s="963">
        <f t="shared" si="31"/>
        <v>1.865E-2</v>
      </c>
      <c r="I125" s="958">
        <f t="shared" si="35"/>
        <v>1.8204999999999999E-2</v>
      </c>
      <c r="J125" s="963">
        <f t="shared" si="32"/>
        <v>1.7760000000000001E-2</v>
      </c>
      <c r="K125" s="958">
        <f t="shared" si="36"/>
        <v>1.72315E-2</v>
      </c>
      <c r="L125" s="963">
        <f t="shared" si="33"/>
        <v>1.6702999999999999E-2</v>
      </c>
      <c r="M125" s="963">
        <f t="shared" si="33"/>
        <v>1.68512E-2</v>
      </c>
      <c r="N125" s="958">
        <f t="shared" si="37"/>
        <v>1.6775951814245776E-2</v>
      </c>
      <c r="O125" s="963">
        <f t="shared" si="38"/>
        <v>1.6700703628491551E-2</v>
      </c>
      <c r="P125" s="958">
        <f t="shared" si="34"/>
        <v>4.9267851814245769E-2</v>
      </c>
      <c r="Q125" s="963">
        <f t="shared" si="39"/>
        <v>8.1834999999999991E-2</v>
      </c>
      <c r="R125" s="958">
        <f t="shared" si="34"/>
        <v>7.8917500000000002E-2</v>
      </c>
      <c r="S125" s="966">
        <v>7.5999999999999998E-2</v>
      </c>
      <c r="T125" s="958">
        <f t="shared" si="40"/>
        <v>7.1000000000000008E-2</v>
      </c>
      <c r="U125" s="966">
        <v>6.6000000000000003E-2</v>
      </c>
      <c r="V125" s="860">
        <v>5.7000000000000002E-2</v>
      </c>
      <c r="W125" s="961">
        <v>5.1999999999999998E-2</v>
      </c>
      <c r="X125" s="961">
        <v>5.3999999999999999E-2</v>
      </c>
      <c r="Y125" s="960">
        <f t="shared" si="41"/>
        <v>5.3999999999999999E-2</v>
      </c>
      <c r="Z125" s="960">
        <f t="shared" si="41"/>
        <v>5.3999999999999999E-2</v>
      </c>
      <c r="AA125" s="960">
        <f t="shared" si="41"/>
        <v>5.3999999999999999E-2</v>
      </c>
      <c r="AB125" s="960">
        <f t="shared" si="41"/>
        <v>5.3999999999999999E-2</v>
      </c>
      <c r="AD125" s="499">
        <v>18.649999999999999</v>
      </c>
      <c r="AE125" s="499">
        <v>17.760000000000002</v>
      </c>
      <c r="AF125" s="499">
        <v>16.702999999999999</v>
      </c>
      <c r="AG125" s="499">
        <v>16.851199999999999</v>
      </c>
      <c r="AH125" s="499">
        <v>16.700703628491553</v>
      </c>
      <c r="AI125" s="499">
        <v>81.834999999999994</v>
      </c>
    </row>
    <row r="126" spans="1:35">
      <c r="A126" s="265" t="s">
        <v>316</v>
      </c>
      <c r="B126" t="s">
        <v>908</v>
      </c>
      <c r="C126" s="958">
        <f t="shared" si="30"/>
        <v>5.3999999999999999E-2</v>
      </c>
      <c r="D126" s="958">
        <f t="shared" si="30"/>
        <v>5.3999999999999999E-2</v>
      </c>
      <c r="E126" s="958">
        <f t="shared" si="30"/>
        <v>5.3999999999999999E-2</v>
      </c>
      <c r="F126" s="958">
        <f t="shared" si="30"/>
        <v>5.3999999999999999E-2</v>
      </c>
      <c r="G126" s="963">
        <v>5.3999999999999999E-2</v>
      </c>
      <c r="H126" s="963">
        <f t="shared" si="31"/>
        <v>4.5920000000000002E-2</v>
      </c>
      <c r="I126" s="958">
        <f t="shared" si="35"/>
        <v>4.3554999999999996E-2</v>
      </c>
      <c r="J126" s="963">
        <f t="shared" si="32"/>
        <v>4.1189999999999997E-2</v>
      </c>
      <c r="K126" s="958">
        <f t="shared" si="36"/>
        <v>4.0214E-2</v>
      </c>
      <c r="L126" s="963">
        <f t="shared" si="33"/>
        <v>3.9238000000000002E-2</v>
      </c>
      <c r="M126" s="963">
        <f t="shared" si="33"/>
        <v>3.8909899999999997E-2</v>
      </c>
      <c r="N126" s="958">
        <f t="shared" si="37"/>
        <v>3.947759030070494E-2</v>
      </c>
      <c r="O126" s="963">
        <f t="shared" si="38"/>
        <v>4.004528060140989E-2</v>
      </c>
      <c r="P126" s="958">
        <f t="shared" si="34"/>
        <v>6.3911140300704952E-2</v>
      </c>
      <c r="Q126" s="963">
        <f t="shared" si="39"/>
        <v>8.7777000000000008E-2</v>
      </c>
      <c r="R126" s="958">
        <f t="shared" si="34"/>
        <v>8.1388500000000003E-2</v>
      </c>
      <c r="S126" s="966">
        <v>7.4999999999999997E-2</v>
      </c>
      <c r="T126" s="958">
        <f t="shared" si="40"/>
        <v>7.0500000000000007E-2</v>
      </c>
      <c r="U126" s="966">
        <v>6.6000000000000003E-2</v>
      </c>
      <c r="V126" s="860">
        <v>5.5E-2</v>
      </c>
      <c r="W126" s="961">
        <v>4.9000000000000002E-2</v>
      </c>
      <c r="X126" s="961">
        <v>5.2999999999999999E-2</v>
      </c>
      <c r="Y126" s="960">
        <f t="shared" si="41"/>
        <v>5.2999999999999999E-2</v>
      </c>
      <c r="Z126" s="960">
        <f t="shared" si="41"/>
        <v>5.2999999999999999E-2</v>
      </c>
      <c r="AA126" s="960">
        <f t="shared" si="41"/>
        <v>5.2999999999999999E-2</v>
      </c>
      <c r="AB126" s="960">
        <f t="shared" si="41"/>
        <v>5.2999999999999999E-2</v>
      </c>
      <c r="AD126" s="499">
        <v>45.92</v>
      </c>
      <c r="AE126" s="499">
        <v>41.19</v>
      </c>
      <c r="AF126" s="499">
        <v>39.238</v>
      </c>
      <c r="AG126" s="499">
        <v>38.9099</v>
      </c>
      <c r="AH126" s="499">
        <v>40.045280601409893</v>
      </c>
      <c r="AI126" s="499">
        <v>87.777000000000001</v>
      </c>
    </row>
    <row r="127" spans="1:35">
      <c r="A127" s="265" t="s">
        <v>318</v>
      </c>
      <c r="B127" t="s">
        <v>909</v>
      </c>
      <c r="C127" s="958">
        <f t="shared" si="30"/>
        <v>0.10100000000000001</v>
      </c>
      <c r="D127" s="958">
        <f t="shared" si="30"/>
        <v>0.10100000000000001</v>
      </c>
      <c r="E127" s="958">
        <f t="shared" si="30"/>
        <v>0.10100000000000001</v>
      </c>
      <c r="F127" s="958">
        <f t="shared" si="30"/>
        <v>0.10100000000000001</v>
      </c>
      <c r="G127" s="963">
        <v>0.10100000000000001</v>
      </c>
      <c r="H127" s="963">
        <f t="shared" si="31"/>
        <v>0.31468000000000002</v>
      </c>
      <c r="I127" s="958">
        <f t="shared" si="35"/>
        <v>0.224915</v>
      </c>
      <c r="J127" s="963">
        <f t="shared" si="32"/>
        <v>0.13514999999999999</v>
      </c>
      <c r="K127" s="958">
        <f t="shared" si="36"/>
        <v>0.1037743</v>
      </c>
      <c r="L127" s="963">
        <f t="shared" si="33"/>
        <v>7.2398600000000007E-2</v>
      </c>
      <c r="M127" s="963">
        <f t="shared" si="33"/>
        <v>7.3984800000000003E-2</v>
      </c>
      <c r="N127" s="958">
        <f t="shared" si="37"/>
        <v>7.1029911838664861E-2</v>
      </c>
      <c r="O127" s="963">
        <f t="shared" si="38"/>
        <v>6.8075023677329705E-2</v>
      </c>
      <c r="P127" s="958">
        <f t="shared" si="34"/>
        <v>8.1707511838664856E-2</v>
      </c>
      <c r="Q127" s="963">
        <f t="shared" si="39"/>
        <v>9.5340000000000008E-2</v>
      </c>
      <c r="R127" s="958">
        <f t="shared" si="34"/>
        <v>9.5170000000000005E-2</v>
      </c>
      <c r="S127" s="966">
        <v>9.5000000000000001E-2</v>
      </c>
      <c r="T127" s="958">
        <f t="shared" si="40"/>
        <v>0.1065</v>
      </c>
      <c r="U127" s="966">
        <v>0.11799999999999999</v>
      </c>
      <c r="V127" s="860">
        <v>0.14299999999999999</v>
      </c>
      <c r="W127" s="961">
        <v>0.11</v>
      </c>
      <c r="X127" s="961">
        <v>0.13500000000000001</v>
      </c>
      <c r="Y127" s="960">
        <f t="shared" si="41"/>
        <v>0.13500000000000001</v>
      </c>
      <c r="Z127" s="960">
        <f t="shared" si="41"/>
        <v>0.13500000000000001</v>
      </c>
      <c r="AA127" s="960">
        <f t="shared" si="41"/>
        <v>0.13500000000000001</v>
      </c>
      <c r="AB127" s="960">
        <f t="shared" si="41"/>
        <v>0.13500000000000001</v>
      </c>
      <c r="AD127" s="499">
        <v>314.68</v>
      </c>
      <c r="AE127" s="499">
        <v>135.15</v>
      </c>
      <c r="AF127" s="499">
        <v>72.398600000000002</v>
      </c>
      <c r="AG127" s="499">
        <v>73.984800000000007</v>
      </c>
      <c r="AH127" s="499">
        <v>68.07502367732971</v>
      </c>
      <c r="AI127" s="499">
        <v>95.34</v>
      </c>
    </row>
    <row r="128" spans="1:35">
      <c r="A128" s="265" t="s">
        <v>320</v>
      </c>
      <c r="B128" t="s">
        <v>910</v>
      </c>
      <c r="C128" s="958">
        <f t="shared" si="30"/>
        <v>9.11E-2</v>
      </c>
      <c r="D128" s="958">
        <f t="shared" si="30"/>
        <v>9.11E-2</v>
      </c>
      <c r="E128" s="958">
        <f t="shared" si="30"/>
        <v>9.11E-2</v>
      </c>
      <c r="F128" s="958">
        <f t="shared" si="30"/>
        <v>9.11E-2</v>
      </c>
      <c r="G128" s="963">
        <v>9.11E-2</v>
      </c>
      <c r="H128" s="963">
        <f t="shared" si="31"/>
        <v>0.10947</v>
      </c>
      <c r="I128" s="958">
        <f t="shared" si="35"/>
        <v>0.10025999999999999</v>
      </c>
      <c r="J128" s="963">
        <f t="shared" si="32"/>
        <v>9.1049999999999992E-2</v>
      </c>
      <c r="K128" s="958">
        <f t="shared" si="36"/>
        <v>9.6397449999999996E-2</v>
      </c>
      <c r="L128" s="963">
        <f t="shared" si="33"/>
        <v>0.1017449</v>
      </c>
      <c r="M128" s="963">
        <f t="shared" si="33"/>
        <v>9.9298499999999998E-2</v>
      </c>
      <c r="N128" s="958">
        <f t="shared" si="37"/>
        <v>9.4852310338906787E-2</v>
      </c>
      <c r="O128" s="963">
        <f t="shared" si="38"/>
        <v>9.0406120677813562E-2</v>
      </c>
      <c r="P128" s="958">
        <f t="shared" si="34"/>
        <v>0.12490806033890678</v>
      </c>
      <c r="Q128" s="963">
        <f t="shared" si="39"/>
        <v>0.15941</v>
      </c>
      <c r="R128" s="958">
        <f t="shared" si="34"/>
        <v>0.170205</v>
      </c>
      <c r="S128" s="966">
        <v>0.18099999999999999</v>
      </c>
      <c r="T128" s="958">
        <f t="shared" si="40"/>
        <v>0.18049999999999999</v>
      </c>
      <c r="U128" s="966">
        <v>0.18</v>
      </c>
      <c r="V128" s="860">
        <v>0.185</v>
      </c>
      <c r="W128" s="961">
        <v>0.17799999999999999</v>
      </c>
      <c r="X128" s="961">
        <v>0.17599999999999999</v>
      </c>
      <c r="Y128" s="960">
        <f t="shared" si="41"/>
        <v>0.17599999999999999</v>
      </c>
      <c r="Z128" s="960">
        <f t="shared" si="41"/>
        <v>0.17599999999999999</v>
      </c>
      <c r="AA128" s="960">
        <f t="shared" si="41"/>
        <v>0.17599999999999999</v>
      </c>
      <c r="AB128" s="960">
        <f t="shared" si="41"/>
        <v>0.17599999999999999</v>
      </c>
      <c r="AD128" s="499">
        <v>109.47</v>
      </c>
      <c r="AE128" s="499">
        <v>91.05</v>
      </c>
      <c r="AF128" s="499">
        <v>101.7449</v>
      </c>
      <c r="AG128" s="499">
        <v>99.298500000000004</v>
      </c>
      <c r="AH128" s="499">
        <v>90.406120677813561</v>
      </c>
      <c r="AI128" s="499">
        <v>159.41</v>
      </c>
    </row>
    <row r="129" spans="1:35">
      <c r="A129" s="265" t="s">
        <v>322</v>
      </c>
      <c r="B129" t="s">
        <v>911</v>
      </c>
      <c r="C129" s="958">
        <f t="shared" si="30"/>
        <v>4.1000000000000002E-2</v>
      </c>
      <c r="D129" s="958">
        <f t="shared" si="30"/>
        <v>4.1000000000000002E-2</v>
      </c>
      <c r="E129" s="958">
        <f t="shared" si="30"/>
        <v>4.1000000000000002E-2</v>
      </c>
      <c r="F129" s="958">
        <f t="shared" si="30"/>
        <v>4.1000000000000002E-2</v>
      </c>
      <c r="G129" s="963">
        <v>4.1000000000000002E-2</v>
      </c>
      <c r="H129" s="963">
        <f t="shared" si="31"/>
        <v>2.759E-2</v>
      </c>
      <c r="I129" s="958">
        <f t="shared" si="35"/>
        <v>2.819E-2</v>
      </c>
      <c r="J129" s="963">
        <f t="shared" si="32"/>
        <v>2.879E-2</v>
      </c>
      <c r="K129" s="958">
        <f t="shared" si="36"/>
        <v>2.6385449999999998E-2</v>
      </c>
      <c r="L129" s="963">
        <f t="shared" si="33"/>
        <v>2.3980899999999999E-2</v>
      </c>
      <c r="M129" s="963">
        <f t="shared" si="33"/>
        <v>2.4287599999999999E-2</v>
      </c>
      <c r="N129" s="958">
        <f t="shared" si="37"/>
        <v>2.4295486947879204E-2</v>
      </c>
      <c r="O129" s="963">
        <f t="shared" si="38"/>
        <v>2.4303373895758408E-2</v>
      </c>
      <c r="P129" s="958">
        <f t="shared" si="34"/>
        <v>0.1077316869478792</v>
      </c>
      <c r="Q129" s="963">
        <f t="shared" si="39"/>
        <v>0.19116</v>
      </c>
      <c r="R129" s="958">
        <f t="shared" si="34"/>
        <v>0.17358000000000001</v>
      </c>
      <c r="S129" s="966">
        <v>0.156</v>
      </c>
      <c r="T129" s="958">
        <f t="shared" si="40"/>
        <v>0.16250000000000001</v>
      </c>
      <c r="U129" s="966">
        <v>0.16900000000000001</v>
      </c>
      <c r="V129" s="860">
        <v>0.14699999999999999</v>
      </c>
      <c r="W129" s="961">
        <v>0.13900000000000001</v>
      </c>
      <c r="X129" s="961">
        <v>0.14799999999999999</v>
      </c>
      <c r="Y129" s="960">
        <f t="shared" si="41"/>
        <v>0.14799999999999999</v>
      </c>
      <c r="Z129" s="960">
        <f t="shared" si="41"/>
        <v>0.14799999999999999</v>
      </c>
      <c r="AA129" s="960">
        <f t="shared" si="41"/>
        <v>0.14799999999999999</v>
      </c>
      <c r="AB129" s="960">
        <f t="shared" si="41"/>
        <v>0.14799999999999999</v>
      </c>
      <c r="AD129" s="499">
        <v>27.59</v>
      </c>
      <c r="AE129" s="499">
        <v>28.79</v>
      </c>
      <c r="AF129" s="499">
        <v>23.980899999999998</v>
      </c>
      <c r="AG129" s="499">
        <v>24.287600000000001</v>
      </c>
      <c r="AH129" s="499">
        <v>24.303373895758408</v>
      </c>
      <c r="AI129" s="499">
        <v>191.16</v>
      </c>
    </row>
    <row r="130" spans="1:35">
      <c r="A130" s="265" t="s">
        <v>324</v>
      </c>
      <c r="B130" t="s">
        <v>912</v>
      </c>
      <c r="C130" s="958">
        <f t="shared" si="30"/>
        <v>2.8000000000000001E-2</v>
      </c>
      <c r="D130" s="958">
        <f t="shared" si="30"/>
        <v>2.8000000000000001E-2</v>
      </c>
      <c r="E130" s="958">
        <f t="shared" si="30"/>
        <v>2.8000000000000001E-2</v>
      </c>
      <c r="F130" s="958">
        <f t="shared" si="30"/>
        <v>2.8000000000000001E-2</v>
      </c>
      <c r="G130" s="963">
        <v>2.8000000000000001E-2</v>
      </c>
      <c r="H130" s="963">
        <f t="shared" si="31"/>
        <v>2.8000000000000001E-2</v>
      </c>
      <c r="I130" s="958">
        <f t="shared" si="35"/>
        <v>2.8485E-2</v>
      </c>
      <c r="J130" s="963">
        <f t="shared" si="32"/>
        <v>2.8969999999999999E-2</v>
      </c>
      <c r="K130" s="958">
        <f t="shared" si="36"/>
        <v>2.8884150000000001E-2</v>
      </c>
      <c r="L130" s="963">
        <f t="shared" si="33"/>
        <v>2.8798300000000002E-2</v>
      </c>
      <c r="M130" s="963">
        <f t="shared" si="33"/>
        <v>2.8527799999999999E-2</v>
      </c>
      <c r="N130" s="958">
        <f t="shared" si="37"/>
        <v>2.806189955761185E-2</v>
      </c>
      <c r="O130" s="963">
        <f t="shared" si="38"/>
        <v>2.7595999115223702E-2</v>
      </c>
      <c r="P130" s="958">
        <f t="shared" si="34"/>
        <v>9.4482499557611857E-2</v>
      </c>
      <c r="Q130" s="963">
        <f t="shared" si="39"/>
        <v>0.16136900000000001</v>
      </c>
      <c r="R130" s="958">
        <f t="shared" si="34"/>
        <v>0.13818450000000002</v>
      </c>
      <c r="S130" s="966">
        <v>0.115</v>
      </c>
      <c r="T130" s="958">
        <f t="shared" si="40"/>
        <v>0.1265</v>
      </c>
      <c r="U130" s="966">
        <v>0.13800000000000001</v>
      </c>
      <c r="V130" s="860">
        <v>0.11899999999999999</v>
      </c>
      <c r="W130" s="961">
        <v>0.104</v>
      </c>
      <c r="X130" s="961">
        <v>0.107</v>
      </c>
      <c r="Y130" s="960">
        <f t="shared" si="41"/>
        <v>0.107</v>
      </c>
      <c r="Z130" s="960">
        <f t="shared" si="41"/>
        <v>0.107</v>
      </c>
      <c r="AA130" s="960">
        <f t="shared" si="41"/>
        <v>0.107</v>
      </c>
      <c r="AB130" s="960">
        <f t="shared" si="41"/>
        <v>0.107</v>
      </c>
      <c r="AD130" s="499">
        <v>28</v>
      </c>
      <c r="AE130" s="499">
        <v>28.97</v>
      </c>
      <c r="AF130" s="499">
        <v>28.798300000000001</v>
      </c>
      <c r="AG130" s="499">
        <v>28.527799999999999</v>
      </c>
      <c r="AH130" s="499">
        <v>27.595999115223702</v>
      </c>
      <c r="AI130" s="499">
        <v>161.369</v>
      </c>
    </row>
    <row r="131" spans="1:35">
      <c r="A131" s="265" t="s">
        <v>326</v>
      </c>
      <c r="B131" t="s">
        <v>913</v>
      </c>
      <c r="C131" s="958">
        <f t="shared" si="30"/>
        <v>0.08</v>
      </c>
      <c r="D131" s="958">
        <f t="shared" si="30"/>
        <v>0.08</v>
      </c>
      <c r="E131" s="958">
        <f t="shared" si="30"/>
        <v>0.08</v>
      </c>
      <c r="F131" s="958">
        <f t="shared" si="30"/>
        <v>0.08</v>
      </c>
      <c r="G131" s="963">
        <v>0.08</v>
      </c>
      <c r="H131" s="963">
        <f t="shared" si="31"/>
        <v>8.6489999999999997E-2</v>
      </c>
      <c r="I131" s="958">
        <f t="shared" si="35"/>
        <v>8.1735000000000002E-2</v>
      </c>
      <c r="J131" s="963">
        <f t="shared" si="32"/>
        <v>7.6980000000000007E-2</v>
      </c>
      <c r="K131" s="958">
        <f t="shared" si="36"/>
        <v>7.6332100000000014E-2</v>
      </c>
      <c r="L131" s="963">
        <f t="shared" si="33"/>
        <v>7.5684200000000007E-2</v>
      </c>
      <c r="M131" s="963">
        <f t="shared" si="33"/>
        <v>7.1757199999999993E-2</v>
      </c>
      <c r="N131" s="958">
        <f t="shared" si="37"/>
        <v>7.2297715307378468E-2</v>
      </c>
      <c r="O131" s="963">
        <f t="shared" si="38"/>
        <v>7.2838230614756957E-2</v>
      </c>
      <c r="P131" s="958">
        <f t="shared" si="34"/>
        <v>8.4420615307378488E-2</v>
      </c>
      <c r="Q131" s="963">
        <f t="shared" si="39"/>
        <v>9.6003000000000005E-2</v>
      </c>
      <c r="R131" s="958">
        <f t="shared" si="34"/>
        <v>9.3001500000000001E-2</v>
      </c>
      <c r="S131" s="966">
        <v>0.09</v>
      </c>
      <c r="T131" s="958">
        <f t="shared" si="40"/>
        <v>8.5999999999999993E-2</v>
      </c>
      <c r="U131" s="966">
        <v>8.2000000000000003E-2</v>
      </c>
      <c r="V131" s="860">
        <v>7.6999999999999999E-2</v>
      </c>
      <c r="W131" s="961">
        <v>7.3999999999999996E-2</v>
      </c>
      <c r="X131" s="961">
        <v>7.1999999999999995E-2</v>
      </c>
      <c r="Y131" s="960">
        <f t="shared" si="41"/>
        <v>7.1999999999999995E-2</v>
      </c>
      <c r="Z131" s="960">
        <f t="shared" si="41"/>
        <v>7.1999999999999995E-2</v>
      </c>
      <c r="AA131" s="960">
        <f t="shared" si="41"/>
        <v>7.1999999999999995E-2</v>
      </c>
      <c r="AB131" s="960">
        <f t="shared" si="41"/>
        <v>7.1999999999999995E-2</v>
      </c>
      <c r="AD131" s="499">
        <v>86.49</v>
      </c>
      <c r="AE131" s="499">
        <v>76.98</v>
      </c>
      <c r="AF131" s="499">
        <v>75.684200000000004</v>
      </c>
      <c r="AG131" s="499">
        <v>71.757199999999997</v>
      </c>
      <c r="AH131" s="499">
        <v>72.838230614756952</v>
      </c>
      <c r="AI131" s="499">
        <v>96.003</v>
      </c>
    </row>
    <row r="132" spans="1:35">
      <c r="A132" s="265" t="s">
        <v>328</v>
      </c>
      <c r="B132" t="s">
        <v>914</v>
      </c>
      <c r="C132" s="958">
        <f t="shared" si="30"/>
        <v>2.1999999999999999E-2</v>
      </c>
      <c r="D132" s="958">
        <f t="shared" si="30"/>
        <v>2.1999999999999999E-2</v>
      </c>
      <c r="E132" s="958">
        <f t="shared" si="30"/>
        <v>2.1999999999999999E-2</v>
      </c>
      <c r="F132" s="958">
        <f t="shared" si="30"/>
        <v>2.1999999999999999E-2</v>
      </c>
      <c r="G132" s="963">
        <v>2.1999999999999999E-2</v>
      </c>
      <c r="H132" s="963">
        <f t="shared" si="31"/>
        <v>1.9130000000000001E-2</v>
      </c>
      <c r="I132" s="958">
        <f t="shared" si="35"/>
        <v>1.7735000000000001E-2</v>
      </c>
      <c r="J132" s="963">
        <f t="shared" si="32"/>
        <v>1.634E-2</v>
      </c>
      <c r="K132" s="958">
        <f t="shared" si="36"/>
        <v>1.5816549999999999E-2</v>
      </c>
      <c r="L132" s="963">
        <f t="shared" si="33"/>
        <v>1.52931E-2</v>
      </c>
      <c r="M132" s="963">
        <f t="shared" si="33"/>
        <v>1.6050100000000001E-2</v>
      </c>
      <c r="N132" s="958">
        <f t="shared" si="37"/>
        <v>1.4323734863836354E-2</v>
      </c>
      <c r="O132" s="963">
        <f t="shared" si="38"/>
        <v>1.2597369727672707E-2</v>
      </c>
      <c r="P132" s="958">
        <f t="shared" si="34"/>
        <v>5.5202184863836358E-2</v>
      </c>
      <c r="Q132" s="963">
        <f t="shared" si="39"/>
        <v>9.7807000000000005E-2</v>
      </c>
      <c r="R132" s="958">
        <f t="shared" si="34"/>
        <v>7.9403500000000002E-2</v>
      </c>
      <c r="S132" s="966">
        <v>6.0999999999999999E-2</v>
      </c>
      <c r="T132" s="958">
        <f t="shared" si="40"/>
        <v>6.25E-2</v>
      </c>
      <c r="U132" s="966">
        <v>6.4000000000000001E-2</v>
      </c>
      <c r="V132" s="860">
        <v>6.8000000000000005E-2</v>
      </c>
      <c r="W132" s="961">
        <v>5.6000000000000001E-2</v>
      </c>
      <c r="X132" s="961">
        <v>5.8000000000000003E-2</v>
      </c>
      <c r="Y132" s="960">
        <f t="shared" si="41"/>
        <v>5.8000000000000003E-2</v>
      </c>
      <c r="Z132" s="960">
        <f t="shared" si="41"/>
        <v>5.8000000000000003E-2</v>
      </c>
      <c r="AA132" s="960">
        <f t="shared" si="41"/>
        <v>5.8000000000000003E-2</v>
      </c>
      <c r="AB132" s="960">
        <f t="shared" si="41"/>
        <v>5.8000000000000003E-2</v>
      </c>
      <c r="AD132" s="499">
        <v>19.130000000000003</v>
      </c>
      <c r="AE132" s="499">
        <v>16.34</v>
      </c>
      <c r="AF132" s="499">
        <v>15.293100000000001</v>
      </c>
      <c r="AG132" s="499">
        <v>16.0501</v>
      </c>
      <c r="AH132" s="499">
        <v>12.597369727672707</v>
      </c>
      <c r="AI132" s="499">
        <v>97.807000000000002</v>
      </c>
    </row>
    <row r="133" spans="1:35">
      <c r="A133" s="265" t="s">
        <v>330</v>
      </c>
      <c r="B133" t="s">
        <v>915</v>
      </c>
      <c r="C133" s="958">
        <f t="shared" si="30"/>
        <v>3.7999999999999999E-2</v>
      </c>
      <c r="D133" s="958">
        <f t="shared" si="30"/>
        <v>3.7999999999999999E-2</v>
      </c>
      <c r="E133" s="958">
        <f t="shared" si="30"/>
        <v>3.7999999999999999E-2</v>
      </c>
      <c r="F133" s="958">
        <f t="shared" si="30"/>
        <v>3.7999999999999999E-2</v>
      </c>
      <c r="G133" s="963">
        <v>3.7999999999999999E-2</v>
      </c>
      <c r="H133" s="963">
        <f t="shared" si="31"/>
        <v>3.6020000000000003E-2</v>
      </c>
      <c r="I133" s="958">
        <f t="shared" si="35"/>
        <v>3.1120000000000002E-2</v>
      </c>
      <c r="J133" s="963">
        <f t="shared" si="32"/>
        <v>2.622E-2</v>
      </c>
      <c r="K133" s="958">
        <f t="shared" si="36"/>
        <v>2.4985449999999999E-2</v>
      </c>
      <c r="L133" s="963">
        <f t="shared" si="33"/>
        <v>2.3750900000000002E-2</v>
      </c>
      <c r="M133" s="963">
        <f t="shared" si="33"/>
        <v>2.3808299999999998E-2</v>
      </c>
      <c r="N133" s="958">
        <f t="shared" si="37"/>
        <v>2.4658533498742932E-2</v>
      </c>
      <c r="O133" s="963">
        <f t="shared" si="38"/>
        <v>2.5508766997485867E-2</v>
      </c>
      <c r="P133" s="958">
        <f t="shared" si="34"/>
        <v>2.4936883498742932E-2</v>
      </c>
      <c r="Q133" s="963">
        <f t="shared" si="39"/>
        <v>2.4364999999999998E-2</v>
      </c>
      <c r="R133" s="958">
        <f t="shared" si="34"/>
        <v>2.3182499999999998E-2</v>
      </c>
      <c r="S133" s="966">
        <v>2.1999999999999999E-2</v>
      </c>
      <c r="T133" s="958">
        <f t="shared" si="40"/>
        <v>2.1999999999999999E-2</v>
      </c>
      <c r="U133" s="966">
        <v>2.1999999999999999E-2</v>
      </c>
      <c r="V133" s="860">
        <v>2.1000000000000001E-2</v>
      </c>
      <c r="W133" s="961">
        <v>2.1999999999999999E-2</v>
      </c>
      <c r="X133" s="961">
        <v>1.9E-2</v>
      </c>
      <c r="Y133" s="960">
        <f t="shared" si="41"/>
        <v>1.9E-2</v>
      </c>
      <c r="Z133" s="960">
        <f t="shared" si="41"/>
        <v>1.9E-2</v>
      </c>
      <c r="AA133" s="960">
        <f t="shared" si="41"/>
        <v>1.9E-2</v>
      </c>
      <c r="AB133" s="960">
        <f t="shared" si="41"/>
        <v>1.9E-2</v>
      </c>
      <c r="AD133" s="499">
        <v>36.020000000000003</v>
      </c>
      <c r="AE133" s="499">
        <v>26.22</v>
      </c>
      <c r="AF133" s="499">
        <v>23.750900000000001</v>
      </c>
      <c r="AG133" s="499">
        <v>23.808299999999999</v>
      </c>
      <c r="AH133" s="499">
        <v>25.508766997485868</v>
      </c>
      <c r="AI133" s="499">
        <v>24.364999999999998</v>
      </c>
    </row>
    <row r="134" spans="1:35">
      <c r="A134" s="265" t="s">
        <v>307</v>
      </c>
      <c r="B134" t="s">
        <v>916</v>
      </c>
      <c r="C134" s="958">
        <f t="shared" si="30"/>
        <v>0.10199999999999999</v>
      </c>
      <c r="D134" s="958">
        <f t="shared" si="30"/>
        <v>0.10199999999999999</v>
      </c>
      <c r="E134" s="958">
        <f t="shared" si="30"/>
        <v>0.10199999999999999</v>
      </c>
      <c r="F134" s="958">
        <f t="shared" si="30"/>
        <v>0.10199999999999999</v>
      </c>
      <c r="G134" s="963">
        <v>0.10199999999999999</v>
      </c>
      <c r="H134" s="963">
        <f t="shared" si="31"/>
        <v>0.11541</v>
      </c>
      <c r="I134" s="958">
        <f t="shared" si="35"/>
        <v>0.10295499999999999</v>
      </c>
      <c r="J134" s="963">
        <f t="shared" si="32"/>
        <v>9.0499999999999997E-2</v>
      </c>
      <c r="K134" s="958">
        <f t="shared" si="36"/>
        <v>9.3682299999999996E-2</v>
      </c>
      <c r="L134" s="963">
        <f t="shared" si="33"/>
        <v>9.6864599999999995E-2</v>
      </c>
      <c r="M134" s="963">
        <f t="shared" si="33"/>
        <v>8.1485799999999997E-2</v>
      </c>
      <c r="N134" s="958">
        <f t="shared" si="37"/>
        <v>7.9843692081517259E-2</v>
      </c>
      <c r="O134" s="963">
        <f t="shared" si="38"/>
        <v>7.8201584163034535E-2</v>
      </c>
      <c r="P134" s="958">
        <f t="shared" si="34"/>
        <v>0.10530629208151726</v>
      </c>
      <c r="Q134" s="963">
        <f t="shared" si="39"/>
        <v>0.132411</v>
      </c>
      <c r="R134" s="958">
        <f t="shared" si="34"/>
        <v>0.1292055</v>
      </c>
      <c r="S134" s="966">
        <v>0.126</v>
      </c>
      <c r="T134" s="958">
        <f t="shared" si="40"/>
        <v>0.13250000000000001</v>
      </c>
      <c r="U134" s="966">
        <v>0.13900000000000001</v>
      </c>
      <c r="V134" s="860">
        <v>0.157</v>
      </c>
      <c r="W134" s="961">
        <v>0.13800000000000001</v>
      </c>
      <c r="X134" s="961">
        <v>0.126</v>
      </c>
      <c r="Y134" s="960">
        <f t="shared" si="41"/>
        <v>0.126</v>
      </c>
      <c r="Z134" s="960">
        <f t="shared" si="41"/>
        <v>0.126</v>
      </c>
      <c r="AA134" s="960">
        <f t="shared" si="41"/>
        <v>0.126</v>
      </c>
      <c r="AB134" s="960">
        <f t="shared" si="41"/>
        <v>0.126</v>
      </c>
      <c r="AD134" s="499">
        <v>115.41</v>
      </c>
      <c r="AE134" s="499">
        <v>90.5</v>
      </c>
      <c r="AF134" s="499">
        <v>96.864599999999996</v>
      </c>
      <c r="AG134" s="499">
        <v>81.485799999999998</v>
      </c>
      <c r="AH134" s="499">
        <v>78.201584163034539</v>
      </c>
      <c r="AI134" s="499">
        <v>132.411</v>
      </c>
    </row>
    <row r="135" spans="1:35">
      <c r="A135" s="265" t="s">
        <v>309</v>
      </c>
      <c r="B135" t="s">
        <v>917</v>
      </c>
      <c r="C135" s="958">
        <f t="shared" si="30"/>
        <v>2.4E-2</v>
      </c>
      <c r="D135" s="958">
        <f t="shared" si="30"/>
        <v>2.4E-2</v>
      </c>
      <c r="E135" s="958">
        <f t="shared" si="30"/>
        <v>2.4E-2</v>
      </c>
      <c r="F135" s="958">
        <f t="shared" si="30"/>
        <v>2.4E-2</v>
      </c>
      <c r="G135" s="963">
        <v>2.4E-2</v>
      </c>
      <c r="H135" s="963">
        <f t="shared" si="31"/>
        <v>2.4819999999999998E-2</v>
      </c>
      <c r="I135" s="958">
        <f t="shared" si="35"/>
        <v>2.1115000000000002E-2</v>
      </c>
      <c r="J135" s="963">
        <f t="shared" si="32"/>
        <v>1.7410000000000002E-2</v>
      </c>
      <c r="K135" s="958">
        <f t="shared" si="36"/>
        <v>1.667445E-2</v>
      </c>
      <c r="L135" s="963">
        <f t="shared" si="33"/>
        <v>1.5938899999999999E-2</v>
      </c>
      <c r="M135" s="963">
        <f t="shared" si="33"/>
        <v>1.62974E-2</v>
      </c>
      <c r="N135" s="958">
        <f t="shared" si="37"/>
        <v>1.5945712494778413E-2</v>
      </c>
      <c r="O135" s="963">
        <f t="shared" si="38"/>
        <v>1.5594024989556825E-2</v>
      </c>
      <c r="P135" s="958">
        <f t="shared" si="34"/>
        <v>2.3140012494778414E-2</v>
      </c>
      <c r="Q135" s="963">
        <f t="shared" si="39"/>
        <v>3.0686000000000001E-2</v>
      </c>
      <c r="R135" s="958">
        <f t="shared" si="34"/>
        <v>2.5843000000000001E-2</v>
      </c>
      <c r="S135" s="966">
        <v>2.1000000000000001E-2</v>
      </c>
      <c r="T135" s="958">
        <f t="shared" si="40"/>
        <v>1.95E-2</v>
      </c>
      <c r="U135" s="966">
        <v>1.7999999999999999E-2</v>
      </c>
      <c r="V135" s="860">
        <v>1.7000000000000001E-2</v>
      </c>
      <c r="W135" s="961">
        <v>1.6E-2</v>
      </c>
      <c r="X135" s="961">
        <v>1.4999999999999999E-2</v>
      </c>
      <c r="Y135" s="960">
        <f t="shared" si="41"/>
        <v>1.4999999999999999E-2</v>
      </c>
      <c r="Z135" s="960">
        <f t="shared" si="41"/>
        <v>1.4999999999999999E-2</v>
      </c>
      <c r="AA135" s="960">
        <f t="shared" si="41"/>
        <v>1.4999999999999999E-2</v>
      </c>
      <c r="AB135" s="960">
        <f t="shared" si="41"/>
        <v>1.4999999999999999E-2</v>
      </c>
      <c r="AD135" s="499">
        <v>24.819999999999997</v>
      </c>
      <c r="AE135" s="499">
        <v>17.41</v>
      </c>
      <c r="AF135" s="499">
        <v>15.9389</v>
      </c>
      <c r="AG135" s="499">
        <v>16.2974</v>
      </c>
      <c r="AH135" s="499">
        <v>15.594024989556825</v>
      </c>
      <c r="AI135" s="499">
        <v>30.686</v>
      </c>
    </row>
    <row r="136" spans="1:35">
      <c r="A136" s="265" t="s">
        <v>311</v>
      </c>
      <c r="B136" t="s">
        <v>918</v>
      </c>
      <c r="C136" s="958">
        <f t="shared" si="30"/>
        <v>2.8000000000000001E-2</v>
      </c>
      <c r="D136" s="958">
        <f t="shared" si="30"/>
        <v>2.8000000000000001E-2</v>
      </c>
      <c r="E136" s="958">
        <f t="shared" si="30"/>
        <v>2.8000000000000001E-2</v>
      </c>
      <c r="F136" s="958">
        <f t="shared" si="30"/>
        <v>2.8000000000000001E-2</v>
      </c>
      <c r="G136" s="963">
        <v>2.8000000000000001E-2</v>
      </c>
      <c r="H136" s="963">
        <f t="shared" si="31"/>
        <v>3.0269999999999998E-2</v>
      </c>
      <c r="I136" s="958">
        <f t="shared" si="35"/>
        <v>2.8835E-2</v>
      </c>
      <c r="J136" s="963">
        <f t="shared" si="32"/>
        <v>2.7399999999999997E-2</v>
      </c>
      <c r="K136" s="958">
        <f t="shared" si="36"/>
        <v>2.7119049999999999E-2</v>
      </c>
      <c r="L136" s="963">
        <f t="shared" si="33"/>
        <v>2.68381E-2</v>
      </c>
      <c r="M136" s="963">
        <f t="shared" si="33"/>
        <v>2.7071100000000001E-2</v>
      </c>
      <c r="N136" s="958">
        <f t="shared" si="37"/>
        <v>2.6757585583216597E-2</v>
      </c>
      <c r="O136" s="963">
        <f t="shared" si="38"/>
        <v>2.6444071166433193E-2</v>
      </c>
      <c r="P136" s="958">
        <f t="shared" si="34"/>
        <v>5.0188535583216606E-2</v>
      </c>
      <c r="Q136" s="963">
        <f t="shared" si="39"/>
        <v>7.3933000000000013E-2</v>
      </c>
      <c r="R136" s="958">
        <f t="shared" si="34"/>
        <v>6.1966500000000008E-2</v>
      </c>
      <c r="S136" s="966">
        <v>0.05</v>
      </c>
      <c r="T136" s="958">
        <f t="shared" si="40"/>
        <v>5.5500000000000001E-2</v>
      </c>
      <c r="U136" s="966">
        <v>6.0999999999999999E-2</v>
      </c>
      <c r="V136" s="860">
        <v>5.2999999999999999E-2</v>
      </c>
      <c r="W136" s="961">
        <v>4.4999999999999998E-2</v>
      </c>
      <c r="X136" s="961">
        <v>4.9000000000000002E-2</v>
      </c>
      <c r="Y136" s="960">
        <f t="shared" si="41"/>
        <v>4.9000000000000002E-2</v>
      </c>
      <c r="Z136" s="960">
        <f t="shared" si="41"/>
        <v>4.9000000000000002E-2</v>
      </c>
      <c r="AA136" s="960">
        <f t="shared" si="41"/>
        <v>4.9000000000000002E-2</v>
      </c>
      <c r="AB136" s="960">
        <f t="shared" si="41"/>
        <v>4.9000000000000002E-2</v>
      </c>
      <c r="AD136" s="499">
        <v>30.27</v>
      </c>
      <c r="AE136" s="499">
        <v>27.4</v>
      </c>
      <c r="AF136" s="499">
        <v>26.838100000000001</v>
      </c>
      <c r="AG136" s="499">
        <v>27.071100000000001</v>
      </c>
      <c r="AH136" s="499">
        <v>26.444071166433194</v>
      </c>
      <c r="AI136" s="499">
        <v>73.933000000000007</v>
      </c>
    </row>
    <row r="137" spans="1:35">
      <c r="A137" s="265" t="s">
        <v>313</v>
      </c>
      <c r="B137" t="s">
        <v>919</v>
      </c>
      <c r="C137" s="958">
        <f t="shared" si="30"/>
        <v>3.5000000000000003E-2</v>
      </c>
      <c r="D137" s="958">
        <f t="shared" si="30"/>
        <v>3.5000000000000003E-2</v>
      </c>
      <c r="E137" s="958">
        <f t="shared" si="30"/>
        <v>3.5000000000000003E-2</v>
      </c>
      <c r="F137" s="958">
        <f t="shared" si="30"/>
        <v>3.5000000000000003E-2</v>
      </c>
      <c r="G137" s="963">
        <v>3.5000000000000003E-2</v>
      </c>
      <c r="H137" s="963">
        <f t="shared" si="31"/>
        <v>3.3930000000000002E-2</v>
      </c>
      <c r="I137" s="958">
        <f t="shared" si="35"/>
        <v>3.3239999999999999E-2</v>
      </c>
      <c r="J137" s="963">
        <f t="shared" si="32"/>
        <v>3.2549999999999996E-2</v>
      </c>
      <c r="K137" s="958">
        <f t="shared" si="36"/>
        <v>3.1979499999999994E-2</v>
      </c>
      <c r="L137" s="963">
        <f t="shared" si="33"/>
        <v>3.1408999999999999E-2</v>
      </c>
      <c r="M137" s="963">
        <f t="shared" si="33"/>
        <v>3.04642E-2</v>
      </c>
      <c r="N137" s="958">
        <f t="shared" si="37"/>
        <v>3.0412403034485423E-2</v>
      </c>
      <c r="O137" s="963">
        <f t="shared" si="38"/>
        <v>3.0360606068970845E-2</v>
      </c>
      <c r="P137" s="958">
        <f t="shared" si="34"/>
        <v>0.10022280303448543</v>
      </c>
      <c r="Q137" s="963">
        <f t="shared" si="39"/>
        <v>0.17008500000000001</v>
      </c>
      <c r="R137" s="958">
        <f t="shared" si="34"/>
        <v>0.11854250000000001</v>
      </c>
      <c r="S137" s="966">
        <v>6.7000000000000004E-2</v>
      </c>
      <c r="T137" s="958">
        <f t="shared" si="40"/>
        <v>9.8000000000000004E-2</v>
      </c>
      <c r="U137" s="966">
        <v>0.129</v>
      </c>
      <c r="V137" s="860">
        <v>0.114</v>
      </c>
      <c r="W137" s="961">
        <v>0.10100000000000001</v>
      </c>
      <c r="X137" s="961">
        <v>0.115</v>
      </c>
      <c r="Y137" s="960">
        <f t="shared" ref="Y137:AB146" si="42">X137</f>
        <v>0.115</v>
      </c>
      <c r="Z137" s="960">
        <f t="shared" si="42"/>
        <v>0.115</v>
      </c>
      <c r="AA137" s="960">
        <f t="shared" si="42"/>
        <v>0.115</v>
      </c>
      <c r="AB137" s="960">
        <f t="shared" si="42"/>
        <v>0.115</v>
      </c>
      <c r="AD137" s="499">
        <v>33.93</v>
      </c>
      <c r="AE137" s="499">
        <v>32.549999999999997</v>
      </c>
      <c r="AF137" s="499">
        <v>31.408999999999999</v>
      </c>
      <c r="AG137" s="499">
        <v>30.464200000000002</v>
      </c>
      <c r="AH137" s="499">
        <v>30.360606068970846</v>
      </c>
      <c r="AI137" s="499">
        <v>170.08500000000001</v>
      </c>
    </row>
    <row r="138" spans="1:35">
      <c r="A138" s="265" t="s">
        <v>315</v>
      </c>
      <c r="B138" t="s">
        <v>920</v>
      </c>
      <c r="C138" s="958">
        <f t="shared" si="30"/>
        <v>0.02</v>
      </c>
      <c r="D138" s="958">
        <f t="shared" si="30"/>
        <v>0.02</v>
      </c>
      <c r="E138" s="958">
        <f t="shared" si="30"/>
        <v>0.02</v>
      </c>
      <c r="F138" s="958">
        <f t="shared" si="30"/>
        <v>0.02</v>
      </c>
      <c r="G138" s="963">
        <v>0.02</v>
      </c>
      <c r="H138" s="963">
        <f t="shared" si="31"/>
        <v>1.823E-2</v>
      </c>
      <c r="I138" s="958">
        <f t="shared" si="35"/>
        <v>1.83E-2</v>
      </c>
      <c r="J138" s="963">
        <f t="shared" si="32"/>
        <v>1.8370000000000001E-2</v>
      </c>
      <c r="K138" s="958">
        <f t="shared" si="36"/>
        <v>1.82445E-2</v>
      </c>
      <c r="L138" s="963">
        <f t="shared" si="33"/>
        <v>1.8119E-2</v>
      </c>
      <c r="M138" s="963">
        <f t="shared" si="33"/>
        <v>1.82042E-2</v>
      </c>
      <c r="N138" s="958">
        <f t="shared" si="37"/>
        <v>1.7656518292526555E-2</v>
      </c>
      <c r="O138" s="963">
        <f t="shared" si="38"/>
        <v>1.7108836585053109E-2</v>
      </c>
      <c r="P138" s="958">
        <f t="shared" si="34"/>
        <v>8.3653918292526552E-2</v>
      </c>
      <c r="Q138" s="963">
        <f t="shared" si="39"/>
        <v>0.150199</v>
      </c>
      <c r="R138" s="958">
        <f t="shared" si="34"/>
        <v>0.12909950000000001</v>
      </c>
      <c r="S138" s="966">
        <v>0.108</v>
      </c>
      <c r="T138" s="958">
        <f t="shared" si="40"/>
        <v>0.1125</v>
      </c>
      <c r="U138" s="966">
        <v>0.11700000000000001</v>
      </c>
      <c r="V138" s="860">
        <v>9.9000000000000005E-2</v>
      </c>
      <c r="W138" s="961">
        <v>8.5999999999999993E-2</v>
      </c>
      <c r="X138" s="961">
        <v>9.5000000000000001E-2</v>
      </c>
      <c r="Y138" s="960">
        <f t="shared" si="42"/>
        <v>9.5000000000000001E-2</v>
      </c>
      <c r="Z138" s="960">
        <f t="shared" si="42"/>
        <v>9.5000000000000001E-2</v>
      </c>
      <c r="AA138" s="960">
        <f t="shared" si="42"/>
        <v>9.5000000000000001E-2</v>
      </c>
      <c r="AB138" s="960">
        <f t="shared" si="42"/>
        <v>9.5000000000000001E-2</v>
      </c>
      <c r="AD138" s="499">
        <v>18.23</v>
      </c>
      <c r="AE138" s="499">
        <v>18.37</v>
      </c>
      <c r="AF138" s="499">
        <v>18.119</v>
      </c>
      <c r="AG138" s="499">
        <v>18.2042</v>
      </c>
      <c r="AH138" s="499">
        <v>17.108836585053108</v>
      </c>
      <c r="AI138" s="499">
        <v>150.19900000000001</v>
      </c>
    </row>
    <row r="139" spans="1:35">
      <c r="A139" s="265" t="s">
        <v>317</v>
      </c>
      <c r="B139" t="s">
        <v>921</v>
      </c>
      <c r="C139" s="958">
        <f t="shared" si="30"/>
        <v>2.4E-2</v>
      </c>
      <c r="D139" s="958">
        <f t="shared" si="30"/>
        <v>2.4E-2</v>
      </c>
      <c r="E139" s="958">
        <f t="shared" si="30"/>
        <v>2.4E-2</v>
      </c>
      <c r="F139" s="958">
        <f t="shared" si="30"/>
        <v>2.4E-2</v>
      </c>
      <c r="G139" s="963">
        <v>2.4E-2</v>
      </c>
      <c r="H139" s="963">
        <f t="shared" si="31"/>
        <v>2.2880000000000001E-2</v>
      </c>
      <c r="I139" s="958">
        <f t="shared" si="35"/>
        <v>2.3254999999999998E-2</v>
      </c>
      <c r="J139" s="963">
        <f t="shared" si="32"/>
        <v>2.3629999999999998E-2</v>
      </c>
      <c r="K139" s="958">
        <f t="shared" si="36"/>
        <v>2.2939499999999998E-2</v>
      </c>
      <c r="L139" s="963">
        <f t="shared" si="33"/>
        <v>2.2248999999999998E-2</v>
      </c>
      <c r="M139" s="963">
        <f t="shared" si="33"/>
        <v>2.2659800000000001E-2</v>
      </c>
      <c r="N139" s="958">
        <f t="shared" si="37"/>
        <v>2.2158738622164512E-2</v>
      </c>
      <c r="O139" s="963">
        <f t="shared" si="38"/>
        <v>2.1657677244329022E-2</v>
      </c>
      <c r="P139" s="958">
        <f t="shared" si="34"/>
        <v>9.9907838622164499E-2</v>
      </c>
      <c r="Q139" s="963">
        <f t="shared" si="39"/>
        <v>0.17815799999999998</v>
      </c>
      <c r="R139" s="958">
        <f t="shared" si="34"/>
        <v>0.157579</v>
      </c>
      <c r="S139" s="966">
        <v>0.13700000000000001</v>
      </c>
      <c r="T139" s="958">
        <f t="shared" si="40"/>
        <v>0.13</v>
      </c>
      <c r="U139" s="966">
        <v>0.123</v>
      </c>
      <c r="V139" s="860">
        <v>0.11700000000000001</v>
      </c>
      <c r="W139" s="961">
        <v>0.10100000000000001</v>
      </c>
      <c r="X139" s="961">
        <v>0.109</v>
      </c>
      <c r="Y139" s="960">
        <f t="shared" si="42"/>
        <v>0.109</v>
      </c>
      <c r="Z139" s="960">
        <f t="shared" si="42"/>
        <v>0.109</v>
      </c>
      <c r="AA139" s="960">
        <f t="shared" si="42"/>
        <v>0.109</v>
      </c>
      <c r="AB139" s="960">
        <f t="shared" si="42"/>
        <v>0.109</v>
      </c>
      <c r="AD139" s="499">
        <v>22.880000000000003</v>
      </c>
      <c r="AE139" s="499">
        <v>23.63</v>
      </c>
      <c r="AF139" s="499">
        <v>22.248999999999999</v>
      </c>
      <c r="AG139" s="499">
        <v>22.659800000000001</v>
      </c>
      <c r="AH139" s="499">
        <v>21.657677244329022</v>
      </c>
      <c r="AI139" s="499">
        <v>178.15799999999999</v>
      </c>
    </row>
    <row r="140" spans="1:35">
      <c r="A140" s="265" t="s">
        <v>319</v>
      </c>
      <c r="B140" t="s">
        <v>922</v>
      </c>
      <c r="C140" s="958">
        <f t="shared" si="30"/>
        <v>2.4E-2</v>
      </c>
      <c r="D140" s="958">
        <f t="shared" si="30"/>
        <v>2.4E-2</v>
      </c>
      <c r="E140" s="958">
        <f t="shared" si="30"/>
        <v>2.4E-2</v>
      </c>
      <c r="F140" s="958">
        <f t="shared" si="30"/>
        <v>2.4E-2</v>
      </c>
      <c r="G140" s="967">
        <v>2.4E-2</v>
      </c>
      <c r="H140" s="963">
        <f t="shared" si="31"/>
        <v>2.3820000000000001E-2</v>
      </c>
      <c r="I140" s="958">
        <f t="shared" si="35"/>
        <v>2.2519999999999998E-2</v>
      </c>
      <c r="J140" s="963">
        <f t="shared" si="32"/>
        <v>2.1219999999999999E-2</v>
      </c>
      <c r="K140" s="958">
        <f t="shared" si="36"/>
        <v>2.1114300000000003E-2</v>
      </c>
      <c r="L140" s="963">
        <f t="shared" si="33"/>
        <v>2.1008600000000002E-2</v>
      </c>
      <c r="M140" s="963">
        <f t="shared" si="33"/>
        <v>2.0807200000000001E-2</v>
      </c>
      <c r="N140" s="958">
        <f t="shared" si="37"/>
        <v>2.0511419664915174E-2</v>
      </c>
      <c r="O140" s="963">
        <f t="shared" si="38"/>
        <v>2.0215639329830351E-2</v>
      </c>
      <c r="P140" s="958">
        <f t="shared" si="34"/>
        <v>9.7002319664915182E-2</v>
      </c>
      <c r="Q140" s="963">
        <f t="shared" si="39"/>
        <v>0.173789</v>
      </c>
      <c r="R140" s="958">
        <f t="shared" si="34"/>
        <v>0.1613945</v>
      </c>
      <c r="S140" s="966">
        <v>0.14899999999999999</v>
      </c>
      <c r="T140" s="958">
        <f t="shared" si="40"/>
        <v>0.13650000000000001</v>
      </c>
      <c r="U140" s="966">
        <v>0.124</v>
      </c>
      <c r="V140" s="860">
        <v>0.112</v>
      </c>
      <c r="W140" s="961">
        <v>0.1</v>
      </c>
      <c r="X140" s="961">
        <v>0.108</v>
      </c>
      <c r="Y140" s="960">
        <f t="shared" si="42"/>
        <v>0.108</v>
      </c>
      <c r="Z140" s="960">
        <f t="shared" si="42"/>
        <v>0.108</v>
      </c>
      <c r="AA140" s="960">
        <f t="shared" si="42"/>
        <v>0.108</v>
      </c>
      <c r="AB140" s="960">
        <f t="shared" si="42"/>
        <v>0.108</v>
      </c>
      <c r="AD140" s="500">
        <v>23.82</v>
      </c>
      <c r="AE140" s="500">
        <v>21.22</v>
      </c>
      <c r="AF140" s="500">
        <v>21.008600000000001</v>
      </c>
      <c r="AG140" s="500">
        <v>20.807200000000002</v>
      </c>
      <c r="AH140" s="500">
        <v>20.215639329830353</v>
      </c>
      <c r="AI140" s="500">
        <v>173.78899999999999</v>
      </c>
    </row>
    <row r="141" spans="1:35">
      <c r="A141" s="265" t="s">
        <v>321</v>
      </c>
      <c r="B141" t="s">
        <v>923</v>
      </c>
      <c r="C141" s="958">
        <f t="shared" si="30"/>
        <v>0.03</v>
      </c>
      <c r="D141" s="958">
        <f t="shared" si="30"/>
        <v>0.03</v>
      </c>
      <c r="E141" s="958">
        <f t="shared" si="30"/>
        <v>0.03</v>
      </c>
      <c r="F141" s="958">
        <f t="shared" si="30"/>
        <v>0.03</v>
      </c>
      <c r="G141" s="967">
        <v>0.03</v>
      </c>
      <c r="H141" s="963">
        <f t="shared" si="31"/>
        <v>2.4979999999999999E-2</v>
      </c>
      <c r="I141" s="958">
        <f t="shared" si="35"/>
        <v>2.4750000000000001E-2</v>
      </c>
      <c r="J141" s="963">
        <f t="shared" si="32"/>
        <v>2.452E-2</v>
      </c>
      <c r="K141" s="958">
        <f t="shared" si="36"/>
        <v>2.3884000000000002E-2</v>
      </c>
      <c r="L141" s="963">
        <f t="shared" si="33"/>
        <v>2.3248000000000001E-2</v>
      </c>
      <c r="M141" s="963">
        <f t="shared" si="33"/>
        <v>2.3199999999999998E-2</v>
      </c>
      <c r="N141" s="958">
        <f t="shared" si="37"/>
        <v>2.3475352482567553E-2</v>
      </c>
      <c r="O141" s="963">
        <f t="shared" si="38"/>
        <v>2.3750704965135112E-2</v>
      </c>
      <c r="P141" s="958">
        <f t="shared" si="34"/>
        <v>7.9595852482567564E-2</v>
      </c>
      <c r="Q141" s="963">
        <f t="shared" si="39"/>
        <v>0.13544100000000001</v>
      </c>
      <c r="R141" s="958">
        <f t="shared" si="34"/>
        <v>0.1152205</v>
      </c>
      <c r="S141" s="966">
        <v>9.5000000000000001E-2</v>
      </c>
      <c r="T141" s="958">
        <f t="shared" si="40"/>
        <v>9.2999999999999999E-2</v>
      </c>
      <c r="U141" s="966">
        <v>9.0999999999999998E-2</v>
      </c>
      <c r="V141" s="860">
        <v>7.0000000000000007E-2</v>
      </c>
      <c r="W141" s="961">
        <v>0.06</v>
      </c>
      <c r="X141" s="961">
        <v>0.08</v>
      </c>
      <c r="Y141" s="960">
        <f t="shared" si="42"/>
        <v>0.08</v>
      </c>
      <c r="Z141" s="960">
        <f t="shared" si="42"/>
        <v>0.08</v>
      </c>
      <c r="AA141" s="960">
        <f t="shared" si="42"/>
        <v>0.08</v>
      </c>
      <c r="AB141" s="960">
        <f t="shared" si="42"/>
        <v>0.08</v>
      </c>
      <c r="AD141" s="500">
        <v>24.98</v>
      </c>
      <c r="AE141" s="500">
        <v>24.52</v>
      </c>
      <c r="AF141" s="500">
        <v>23.248000000000001</v>
      </c>
      <c r="AG141" s="500">
        <v>23.2</v>
      </c>
      <c r="AH141" s="500">
        <v>23.75070496513511</v>
      </c>
      <c r="AI141" s="500">
        <v>135.441</v>
      </c>
    </row>
    <row r="142" spans="1:35">
      <c r="A142" s="265" t="s">
        <v>323</v>
      </c>
      <c r="B142" t="s">
        <v>924</v>
      </c>
      <c r="C142" s="958">
        <f t="shared" si="30"/>
        <v>4.2000000000000003E-2</v>
      </c>
      <c r="D142" s="958">
        <f t="shared" si="30"/>
        <v>4.2000000000000003E-2</v>
      </c>
      <c r="E142" s="958">
        <f t="shared" si="30"/>
        <v>4.2000000000000003E-2</v>
      </c>
      <c r="F142" s="958">
        <f t="shared" si="30"/>
        <v>4.2000000000000003E-2</v>
      </c>
      <c r="G142" s="967">
        <v>4.2000000000000003E-2</v>
      </c>
      <c r="H142" s="963">
        <f t="shared" si="31"/>
        <v>2.4309999999999998E-2</v>
      </c>
      <c r="I142" s="958">
        <f t="shared" si="35"/>
        <v>2.3054999999999999E-2</v>
      </c>
      <c r="J142" s="963">
        <f t="shared" si="32"/>
        <v>2.18E-2</v>
      </c>
      <c r="K142" s="958">
        <f t="shared" si="36"/>
        <v>2.0623800000000001E-2</v>
      </c>
      <c r="L142" s="963">
        <f t="shared" si="33"/>
        <v>1.9447600000000002E-2</v>
      </c>
      <c r="M142" s="963">
        <f t="shared" si="33"/>
        <v>2.0663299999999999E-2</v>
      </c>
      <c r="N142" s="958">
        <f t="shared" si="37"/>
        <v>2.0808022604885061E-2</v>
      </c>
      <c r="O142" s="963">
        <f t="shared" si="38"/>
        <v>2.095274520977012E-2</v>
      </c>
      <c r="P142" s="958">
        <f t="shared" si="34"/>
        <v>4.9788872604885057E-2</v>
      </c>
      <c r="Q142" s="963">
        <f t="shared" si="39"/>
        <v>7.8625E-2</v>
      </c>
      <c r="R142" s="958">
        <f t="shared" si="34"/>
        <v>6.4312499999999995E-2</v>
      </c>
      <c r="S142" s="966">
        <v>0.05</v>
      </c>
      <c r="T142" s="958">
        <f t="shared" si="40"/>
        <v>5.2500000000000005E-2</v>
      </c>
      <c r="U142" s="966">
        <v>5.5E-2</v>
      </c>
      <c r="V142" s="860">
        <v>4.2999999999999997E-2</v>
      </c>
      <c r="W142" s="961">
        <v>3.2000000000000001E-2</v>
      </c>
      <c r="X142" s="961">
        <v>0.04</v>
      </c>
      <c r="Y142" s="960">
        <f t="shared" si="42"/>
        <v>0.04</v>
      </c>
      <c r="Z142" s="960">
        <f t="shared" si="42"/>
        <v>0.04</v>
      </c>
      <c r="AA142" s="960">
        <f t="shared" si="42"/>
        <v>0.04</v>
      </c>
      <c r="AB142" s="960">
        <f t="shared" si="42"/>
        <v>0.04</v>
      </c>
      <c r="AD142" s="500">
        <v>24.31</v>
      </c>
      <c r="AE142" s="500">
        <v>21.8</v>
      </c>
      <c r="AF142" s="500">
        <v>19.447600000000001</v>
      </c>
      <c r="AG142" s="500">
        <v>20.6633</v>
      </c>
      <c r="AH142" s="500">
        <v>20.952745209770121</v>
      </c>
      <c r="AI142" s="500">
        <v>78.625</v>
      </c>
    </row>
    <row r="143" spans="1:35">
      <c r="A143" s="265" t="s">
        <v>325</v>
      </c>
      <c r="B143" t="s">
        <v>925</v>
      </c>
      <c r="C143" s="958">
        <f t="shared" si="30"/>
        <v>2.1000000000000001E-2</v>
      </c>
      <c r="D143" s="958">
        <f t="shared" si="30"/>
        <v>2.1000000000000001E-2</v>
      </c>
      <c r="E143" s="958">
        <f t="shared" si="30"/>
        <v>2.1000000000000001E-2</v>
      </c>
      <c r="F143" s="958">
        <f t="shared" si="30"/>
        <v>2.1000000000000001E-2</v>
      </c>
      <c r="G143" s="963">
        <v>2.1000000000000001E-2</v>
      </c>
      <c r="H143" s="963">
        <f t="shared" si="31"/>
        <v>2.1149999999999999E-2</v>
      </c>
      <c r="I143" s="958">
        <f t="shared" si="35"/>
        <v>2.086E-2</v>
      </c>
      <c r="J143" s="963">
        <f t="shared" si="32"/>
        <v>2.0570000000000001E-2</v>
      </c>
      <c r="K143" s="958">
        <f t="shared" si="36"/>
        <v>2.0070450000000004E-2</v>
      </c>
      <c r="L143" s="963">
        <f t="shared" si="33"/>
        <v>1.9570900000000002E-2</v>
      </c>
      <c r="M143" s="963">
        <f t="shared" si="33"/>
        <v>2.0483499999999998E-2</v>
      </c>
      <c r="N143" s="958">
        <f t="shared" si="37"/>
        <v>2.0032935680749209E-2</v>
      </c>
      <c r="O143" s="963">
        <f t="shared" si="38"/>
        <v>1.9582371361498423E-2</v>
      </c>
      <c r="P143" s="958">
        <f t="shared" si="34"/>
        <v>0.11421168568074921</v>
      </c>
      <c r="Q143" s="963">
        <f t="shared" si="39"/>
        <v>0.208841</v>
      </c>
      <c r="R143" s="958">
        <f t="shared" si="34"/>
        <v>0.14542050000000001</v>
      </c>
      <c r="S143" s="966">
        <v>8.2000000000000003E-2</v>
      </c>
      <c r="T143" s="958">
        <f t="shared" si="40"/>
        <v>0.13350000000000001</v>
      </c>
      <c r="U143" s="966">
        <v>0.185</v>
      </c>
      <c r="V143" s="860">
        <v>0.16900000000000001</v>
      </c>
      <c r="W143" s="961">
        <v>0.156</v>
      </c>
      <c r="X143" s="961">
        <v>0.17100000000000001</v>
      </c>
      <c r="Y143" s="960">
        <f t="shared" si="42"/>
        <v>0.17100000000000001</v>
      </c>
      <c r="Z143" s="960">
        <f t="shared" si="42"/>
        <v>0.17100000000000001</v>
      </c>
      <c r="AA143" s="960">
        <f t="shared" si="42"/>
        <v>0.17100000000000001</v>
      </c>
      <c r="AB143" s="960">
        <f t="shared" si="42"/>
        <v>0.17100000000000001</v>
      </c>
      <c r="AD143" s="499">
        <v>21.15</v>
      </c>
      <c r="AE143" s="499">
        <v>20.57</v>
      </c>
      <c r="AF143" s="499">
        <v>19.570900000000002</v>
      </c>
      <c r="AG143" s="499">
        <v>20.483499999999999</v>
      </c>
      <c r="AH143" s="499">
        <v>19.582371361498424</v>
      </c>
      <c r="AI143" s="499">
        <v>208.84100000000001</v>
      </c>
    </row>
    <row r="144" spans="1:35">
      <c r="A144" s="265" t="s">
        <v>327</v>
      </c>
      <c r="B144" t="s">
        <v>926</v>
      </c>
      <c r="C144" s="958">
        <f t="shared" si="30"/>
        <v>0.04</v>
      </c>
      <c r="D144" s="958">
        <f t="shared" si="30"/>
        <v>0.04</v>
      </c>
      <c r="E144" s="958">
        <f t="shared" si="30"/>
        <v>0.04</v>
      </c>
      <c r="F144" s="958">
        <f t="shared" si="30"/>
        <v>0.04</v>
      </c>
      <c r="G144" s="967">
        <v>0.04</v>
      </c>
      <c r="H144" s="963">
        <f t="shared" si="31"/>
        <v>2.6270000000000002E-2</v>
      </c>
      <c r="I144" s="958">
        <f t="shared" si="35"/>
        <v>2.4955000000000001E-2</v>
      </c>
      <c r="J144" s="963">
        <f t="shared" si="32"/>
        <v>2.3640000000000001E-2</v>
      </c>
      <c r="K144" s="958">
        <f t="shared" si="36"/>
        <v>2.295585E-2</v>
      </c>
      <c r="L144" s="963">
        <f t="shared" si="33"/>
        <v>2.2271699999999998E-2</v>
      </c>
      <c r="M144" s="963">
        <f t="shared" si="33"/>
        <v>2.2821500000000002E-2</v>
      </c>
      <c r="N144" s="958">
        <f t="shared" si="37"/>
        <v>2.2741426867134346E-2</v>
      </c>
      <c r="O144" s="963">
        <f t="shared" si="38"/>
        <v>2.2661353734268693E-2</v>
      </c>
      <c r="P144" s="958">
        <f t="shared" si="34"/>
        <v>6.3186676867134348E-2</v>
      </c>
      <c r="Q144" s="963">
        <f t="shared" si="39"/>
        <v>0.103712</v>
      </c>
      <c r="R144" s="958">
        <f t="shared" si="34"/>
        <v>9.5355999999999996E-2</v>
      </c>
      <c r="S144" s="966">
        <v>8.6999999999999994E-2</v>
      </c>
      <c r="T144" s="958">
        <f t="shared" si="40"/>
        <v>8.3999999999999991E-2</v>
      </c>
      <c r="U144" s="966">
        <v>8.1000000000000003E-2</v>
      </c>
      <c r="V144" s="860">
        <v>7.0999999999999994E-2</v>
      </c>
      <c r="W144" s="961">
        <v>0.06</v>
      </c>
      <c r="X144" s="961">
        <v>6.7000000000000004E-2</v>
      </c>
      <c r="Y144" s="960">
        <f t="shared" si="42"/>
        <v>6.7000000000000004E-2</v>
      </c>
      <c r="Z144" s="960">
        <f t="shared" si="42"/>
        <v>6.7000000000000004E-2</v>
      </c>
      <c r="AA144" s="960">
        <f t="shared" si="42"/>
        <v>6.7000000000000004E-2</v>
      </c>
      <c r="AB144" s="960">
        <f t="shared" si="42"/>
        <v>6.7000000000000004E-2</v>
      </c>
      <c r="AD144" s="500">
        <v>26.270000000000003</v>
      </c>
      <c r="AE144" s="500">
        <v>23.64</v>
      </c>
      <c r="AF144" s="500">
        <v>22.271699999999999</v>
      </c>
      <c r="AG144" s="500">
        <v>22.8215</v>
      </c>
      <c r="AH144" s="500">
        <v>22.661353734268694</v>
      </c>
      <c r="AI144" s="500">
        <v>103.712</v>
      </c>
    </row>
    <row r="145" spans="1:35">
      <c r="A145" s="265" t="s">
        <v>329</v>
      </c>
      <c r="B145" t="s">
        <v>927</v>
      </c>
      <c r="C145" s="958">
        <f t="shared" si="30"/>
        <v>2.3E-2</v>
      </c>
      <c r="D145" s="958">
        <f t="shared" si="30"/>
        <v>2.3E-2</v>
      </c>
      <c r="E145" s="958">
        <f t="shared" si="30"/>
        <v>2.3E-2</v>
      </c>
      <c r="F145" s="958">
        <f t="shared" si="30"/>
        <v>2.3E-2</v>
      </c>
      <c r="G145" s="967">
        <v>2.3E-2</v>
      </c>
      <c r="H145" s="963">
        <f t="shared" si="31"/>
        <v>2.0049999999999998E-2</v>
      </c>
      <c r="I145" s="958">
        <f t="shared" si="35"/>
        <v>1.9959999999999999E-2</v>
      </c>
      <c r="J145" s="963">
        <f t="shared" si="32"/>
        <v>1.9870000000000002E-2</v>
      </c>
      <c r="K145" s="958">
        <f t="shared" si="36"/>
        <v>1.85735E-2</v>
      </c>
      <c r="L145" s="963">
        <f t="shared" si="33"/>
        <v>1.7277000000000001E-2</v>
      </c>
      <c r="M145" s="963">
        <f t="shared" si="33"/>
        <v>1.7696200000000002E-2</v>
      </c>
      <c r="N145" s="958">
        <f t="shared" si="37"/>
        <v>1.7540919368329411E-2</v>
      </c>
      <c r="O145" s="963">
        <f t="shared" si="38"/>
        <v>1.7385638736658819E-2</v>
      </c>
      <c r="P145" s="958">
        <f t="shared" si="34"/>
        <v>7.8012319368329419E-2</v>
      </c>
      <c r="Q145" s="963">
        <f t="shared" si="39"/>
        <v>0.13863900000000001</v>
      </c>
      <c r="R145" s="958">
        <f t="shared" si="34"/>
        <v>0.11581950000000001</v>
      </c>
      <c r="S145" s="966">
        <v>9.2999999999999999E-2</v>
      </c>
      <c r="T145" s="958">
        <f t="shared" si="40"/>
        <v>9.5000000000000001E-2</v>
      </c>
      <c r="U145" s="966">
        <v>9.7000000000000003E-2</v>
      </c>
      <c r="V145" s="860">
        <v>8.6999999999999994E-2</v>
      </c>
      <c r="W145" s="961">
        <v>7.4999999999999997E-2</v>
      </c>
      <c r="X145" s="961">
        <v>8.6999999999999994E-2</v>
      </c>
      <c r="Y145" s="960">
        <f t="shared" si="42"/>
        <v>8.6999999999999994E-2</v>
      </c>
      <c r="Z145" s="960">
        <f t="shared" si="42"/>
        <v>8.6999999999999994E-2</v>
      </c>
      <c r="AA145" s="960">
        <f t="shared" si="42"/>
        <v>8.6999999999999994E-2</v>
      </c>
      <c r="AB145" s="960">
        <f t="shared" si="42"/>
        <v>8.6999999999999994E-2</v>
      </c>
      <c r="AD145" s="500">
        <v>20.049999999999997</v>
      </c>
      <c r="AE145" s="500">
        <v>19.87</v>
      </c>
      <c r="AF145" s="500">
        <v>17.277000000000001</v>
      </c>
      <c r="AG145" s="500">
        <v>17.696200000000001</v>
      </c>
      <c r="AH145" s="500">
        <v>17.385638736658819</v>
      </c>
      <c r="AI145" s="500">
        <v>138.63900000000001</v>
      </c>
    </row>
    <row r="146" spans="1:35">
      <c r="A146" s="265" t="s">
        <v>331</v>
      </c>
      <c r="B146" t="s">
        <v>928</v>
      </c>
      <c r="C146" s="958">
        <f t="shared" si="30"/>
        <v>2.9000000000000001E-2</v>
      </c>
      <c r="D146" s="958">
        <f t="shared" si="30"/>
        <v>2.9000000000000001E-2</v>
      </c>
      <c r="E146" s="958">
        <f t="shared" si="30"/>
        <v>2.9000000000000001E-2</v>
      </c>
      <c r="F146" s="958">
        <f t="shared" si="30"/>
        <v>2.9000000000000001E-2</v>
      </c>
      <c r="G146" s="967">
        <v>2.9000000000000001E-2</v>
      </c>
      <c r="H146" s="963">
        <f t="shared" si="31"/>
        <v>2.3769999999999999E-2</v>
      </c>
      <c r="I146" s="958">
        <f t="shared" si="35"/>
        <v>2.3015000000000001E-2</v>
      </c>
      <c r="J146" s="963">
        <f t="shared" si="32"/>
        <v>2.2260000000000002E-2</v>
      </c>
      <c r="K146" s="958">
        <f t="shared" si="36"/>
        <v>2.1885800000000004E-2</v>
      </c>
      <c r="L146" s="963">
        <f t="shared" si="33"/>
        <v>2.1511600000000002E-2</v>
      </c>
      <c r="M146" s="963">
        <f t="shared" si="33"/>
        <v>2.1691600000000002E-2</v>
      </c>
      <c r="N146" s="958">
        <f t="shared" si="37"/>
        <v>2.2819709025933013E-2</v>
      </c>
      <c r="O146" s="963">
        <f t="shared" si="38"/>
        <v>2.3947818051866021E-2</v>
      </c>
      <c r="P146" s="958">
        <f t="shared" si="34"/>
        <v>5.9835409025933012E-2</v>
      </c>
      <c r="Q146" s="963">
        <f t="shared" si="39"/>
        <v>9.5723000000000003E-2</v>
      </c>
      <c r="R146" s="958">
        <f t="shared" si="34"/>
        <v>8.1361500000000003E-2</v>
      </c>
      <c r="S146" s="966">
        <v>6.7000000000000004E-2</v>
      </c>
      <c r="T146" s="958">
        <f t="shared" si="40"/>
        <v>6.7000000000000004E-2</v>
      </c>
      <c r="U146" s="966">
        <v>6.7000000000000004E-2</v>
      </c>
      <c r="V146" s="860">
        <v>5.8000000000000003E-2</v>
      </c>
      <c r="W146" s="961">
        <v>0.05</v>
      </c>
      <c r="X146" s="961">
        <v>5.1999999999999998E-2</v>
      </c>
      <c r="Y146" s="960">
        <f t="shared" si="42"/>
        <v>5.1999999999999998E-2</v>
      </c>
      <c r="Z146" s="960">
        <f t="shared" si="42"/>
        <v>5.1999999999999998E-2</v>
      </c>
      <c r="AA146" s="960">
        <f t="shared" si="42"/>
        <v>5.1999999999999998E-2</v>
      </c>
      <c r="AB146" s="960">
        <f t="shared" si="42"/>
        <v>5.1999999999999998E-2</v>
      </c>
      <c r="AD146" s="500">
        <v>23.77</v>
      </c>
      <c r="AE146" s="500">
        <v>22.26</v>
      </c>
      <c r="AF146" s="500">
        <v>21.511600000000001</v>
      </c>
      <c r="AG146" s="500">
        <v>21.691600000000001</v>
      </c>
      <c r="AH146" s="500">
        <v>23.947818051866022</v>
      </c>
      <c r="AI146" s="500">
        <v>95.722999999999999</v>
      </c>
    </row>
    <row r="148" spans="1:35">
      <c r="C148" s="497"/>
      <c r="D148" s="497"/>
      <c r="E148" s="497"/>
      <c r="F148" s="497"/>
      <c r="G148" s="497"/>
      <c r="H148" s="497"/>
      <c r="I148" s="497"/>
      <c r="J148" s="497"/>
      <c r="K148" s="497"/>
      <c r="L148" s="497"/>
      <c r="M148" s="497"/>
      <c r="N148" s="497"/>
      <c r="O148" s="497"/>
      <c r="P148" s="497"/>
      <c r="Q148" s="497"/>
      <c r="R148" s="497"/>
      <c r="S148" s="497"/>
      <c r="T148" s="497"/>
      <c r="U148" s="497"/>
      <c r="V148" s="497"/>
      <c r="W148" s="497"/>
      <c r="X148" s="497"/>
      <c r="Y148" s="497"/>
      <c r="Z148" s="497"/>
      <c r="AA148" s="497"/>
      <c r="AB148" s="497"/>
    </row>
    <row r="149" spans="1:35" ht="16.5">
      <c r="C149" s="1" t="s">
        <v>931</v>
      </c>
      <c r="AD149" s="1" t="s">
        <v>932</v>
      </c>
    </row>
    <row r="150" spans="1:35">
      <c r="A150" s="268" t="s">
        <v>112</v>
      </c>
      <c r="B150" s="1" t="s">
        <v>902</v>
      </c>
      <c r="C150" s="860">
        <v>2000</v>
      </c>
      <c r="D150" s="860">
        <v>2001</v>
      </c>
      <c r="E150" s="860">
        <v>2002</v>
      </c>
      <c r="F150" s="860">
        <v>2003</v>
      </c>
      <c r="G150" s="860">
        <v>2004</v>
      </c>
      <c r="H150" s="860">
        <v>2005</v>
      </c>
      <c r="I150" s="860">
        <v>2006</v>
      </c>
      <c r="J150" s="860">
        <v>2007</v>
      </c>
      <c r="K150" s="860">
        <v>2008</v>
      </c>
      <c r="L150" s="860">
        <v>2009</v>
      </c>
      <c r="M150" s="860">
        <v>2010</v>
      </c>
      <c r="N150" s="860">
        <v>2011</v>
      </c>
      <c r="O150" s="860">
        <v>2012</v>
      </c>
      <c r="P150" s="860">
        <v>2013</v>
      </c>
      <c r="Q150" s="860">
        <v>2014</v>
      </c>
      <c r="R150" s="860">
        <v>2015</v>
      </c>
      <c r="S150" s="860">
        <v>2016</v>
      </c>
      <c r="T150" s="860">
        <v>2017</v>
      </c>
      <c r="U150" s="860">
        <v>2018</v>
      </c>
      <c r="V150" s="860">
        <v>2019</v>
      </c>
      <c r="W150" s="860">
        <v>2020</v>
      </c>
      <c r="X150" s="860">
        <v>2021</v>
      </c>
      <c r="Y150" s="860">
        <v>2022</v>
      </c>
      <c r="Z150" s="860">
        <v>2023</v>
      </c>
      <c r="AA150" s="860">
        <v>2024</v>
      </c>
      <c r="AB150" s="860">
        <v>2025</v>
      </c>
      <c r="AD150" s="498">
        <v>2005</v>
      </c>
      <c r="AE150" s="498">
        <v>2007</v>
      </c>
      <c r="AF150" s="498">
        <v>2009</v>
      </c>
      <c r="AG150" s="498">
        <v>2010</v>
      </c>
      <c r="AH150" s="498">
        <v>2012</v>
      </c>
      <c r="AI150" s="498">
        <v>2014</v>
      </c>
    </row>
    <row r="151" spans="1:35">
      <c r="A151" s="265" t="s">
        <v>115</v>
      </c>
      <c r="B151" t="s">
        <v>903</v>
      </c>
      <c r="C151" s="958">
        <f t="shared" ref="C151:F176" si="43">D151</f>
        <v>6.4000000000000003E-3</v>
      </c>
      <c r="D151" s="958">
        <f t="shared" si="43"/>
        <v>6.4000000000000003E-3</v>
      </c>
      <c r="E151" s="958">
        <f t="shared" si="43"/>
        <v>6.4000000000000003E-3</v>
      </c>
      <c r="F151" s="958">
        <f t="shared" si="43"/>
        <v>6.4000000000000003E-3</v>
      </c>
      <c r="G151" s="963">
        <v>6.4000000000000003E-3</v>
      </c>
      <c r="H151" s="963">
        <f t="shared" ref="H151:H176" si="44">AD151/1000</f>
        <v>6.5100000000000002E-3</v>
      </c>
      <c r="I151" s="958">
        <f>(H151+J151)/2</f>
        <v>6.9750000000000003E-3</v>
      </c>
      <c r="J151" s="963">
        <f t="shared" ref="J151:J176" si="45">AE151/1000</f>
        <v>7.4400000000000004E-3</v>
      </c>
      <c r="K151" s="958">
        <f>(J151+L151)/2</f>
        <v>7.5638500000000004E-3</v>
      </c>
      <c r="L151" s="963">
        <f t="shared" ref="L151:L176" si="46">AF151/1000</f>
        <v>7.6877000000000004E-3</v>
      </c>
      <c r="M151" s="963">
        <f>AG151/1000</f>
        <v>7.1792000000000002E-3</v>
      </c>
      <c r="N151" s="958">
        <f>(M151+O151)/2</f>
        <v>7.3869822439804837E-3</v>
      </c>
      <c r="O151" s="963">
        <f>AH151/1000</f>
        <v>7.594764487960968E-3</v>
      </c>
      <c r="P151" s="958">
        <f t="shared" ref="P151:R176" si="47">(O151+Q151)/2</f>
        <v>7.3778822439804839E-3</v>
      </c>
      <c r="Q151" s="963">
        <f t="shared" ref="Q151:Q176" si="48">AI151/1000</f>
        <v>7.1609999999999998E-3</v>
      </c>
      <c r="R151" s="958">
        <f t="shared" si="47"/>
        <v>9.0805E-3</v>
      </c>
      <c r="S151" s="966">
        <v>1.0999999999999999E-2</v>
      </c>
      <c r="T151" s="958">
        <f>(S151+U151)/2</f>
        <v>1.0999999999999999E-2</v>
      </c>
      <c r="U151" s="966">
        <v>1.0999999999999999E-2</v>
      </c>
      <c r="V151" s="860">
        <v>1.2999999999999999E-2</v>
      </c>
      <c r="W151" s="961">
        <v>1.4E-2</v>
      </c>
      <c r="X151" s="961">
        <v>1.2E-2</v>
      </c>
      <c r="Y151" s="960">
        <f>X151</f>
        <v>1.2E-2</v>
      </c>
      <c r="Z151" s="960">
        <f>Y151</f>
        <v>1.2E-2</v>
      </c>
      <c r="AA151" s="960">
        <f>Z151</f>
        <v>1.2E-2</v>
      </c>
      <c r="AB151" s="960">
        <f>AA151</f>
        <v>1.2E-2</v>
      </c>
      <c r="AD151" s="499">
        <v>6.51</v>
      </c>
      <c r="AE151" s="499">
        <v>7.44</v>
      </c>
      <c r="AF151" s="499">
        <v>7.6877000000000004</v>
      </c>
      <c r="AG151" s="499">
        <v>7.1791999999999998</v>
      </c>
      <c r="AH151" s="499">
        <v>7.5947644879609681</v>
      </c>
      <c r="AI151" s="499">
        <v>7.1609999999999996</v>
      </c>
    </row>
    <row r="152" spans="1:35">
      <c r="A152" s="265" t="s">
        <v>308</v>
      </c>
      <c r="B152" t="s">
        <v>904</v>
      </c>
      <c r="C152" s="958">
        <f t="shared" si="43"/>
        <v>4.4000000000000003E-3</v>
      </c>
      <c r="D152" s="958">
        <f t="shared" si="43"/>
        <v>4.4000000000000003E-3</v>
      </c>
      <c r="E152" s="958">
        <f t="shared" si="43"/>
        <v>4.4000000000000003E-3</v>
      </c>
      <c r="F152" s="958">
        <f t="shared" si="43"/>
        <v>4.4000000000000003E-3</v>
      </c>
      <c r="G152" s="963">
        <v>4.4000000000000003E-3</v>
      </c>
      <c r="H152" s="963">
        <f t="shared" si="44"/>
        <v>4.0800000000000003E-3</v>
      </c>
      <c r="I152" s="958">
        <f t="shared" ref="I152:I176" si="49">(H152+J152)/2</f>
        <v>4.2800000000000008E-3</v>
      </c>
      <c r="J152" s="963">
        <f t="shared" si="45"/>
        <v>4.4800000000000005E-3</v>
      </c>
      <c r="K152" s="958">
        <f t="shared" ref="K152:K176" si="50">(J152+L152)/2</f>
        <v>4.3806999999999995E-3</v>
      </c>
      <c r="L152" s="963">
        <f t="shared" si="46"/>
        <v>4.2813999999999994E-3</v>
      </c>
      <c r="M152" s="963">
        <f t="shared" ref="M152:M176" si="51">AG152/1000</f>
        <v>3.6806E-3</v>
      </c>
      <c r="N152" s="958">
        <f t="shared" ref="N152:N176" si="52">(M152+O152)/2</f>
        <v>3.6144130769321346E-3</v>
      </c>
      <c r="O152" s="963">
        <f t="shared" ref="O152:O176" si="53">AH152/1000</f>
        <v>3.5482261538642692E-3</v>
      </c>
      <c r="P152" s="958">
        <f t="shared" si="47"/>
        <v>4.773113076932135E-3</v>
      </c>
      <c r="Q152" s="963">
        <f t="shared" si="48"/>
        <v>5.9979999999999999E-3</v>
      </c>
      <c r="R152" s="958">
        <f t="shared" si="47"/>
        <v>4.999E-3</v>
      </c>
      <c r="S152" s="966">
        <v>4.0000000000000001E-3</v>
      </c>
      <c r="T152" s="958">
        <f t="shared" ref="T152:T176" si="54">(S152+U152)/2</f>
        <v>4.0000000000000001E-3</v>
      </c>
      <c r="U152" s="966">
        <v>4.0000000000000001E-3</v>
      </c>
      <c r="V152" s="860">
        <v>4.0000000000000001E-3</v>
      </c>
      <c r="W152" s="961">
        <v>5.0000000000000001E-3</v>
      </c>
      <c r="X152" s="961">
        <v>4.0000000000000001E-3</v>
      </c>
      <c r="Y152" s="960">
        <f t="shared" ref="Y152:AB166" si="55">X152</f>
        <v>4.0000000000000001E-3</v>
      </c>
      <c r="Z152" s="960">
        <f t="shared" si="55"/>
        <v>4.0000000000000001E-3</v>
      </c>
      <c r="AA152" s="960">
        <f t="shared" si="55"/>
        <v>4.0000000000000001E-3</v>
      </c>
      <c r="AB152" s="960">
        <f t="shared" si="55"/>
        <v>4.0000000000000001E-3</v>
      </c>
      <c r="AD152" s="499">
        <v>4.08</v>
      </c>
      <c r="AE152" s="499">
        <v>4.4800000000000004</v>
      </c>
      <c r="AF152" s="499">
        <v>4.2813999999999997</v>
      </c>
      <c r="AG152" s="499">
        <v>3.6806000000000001</v>
      </c>
      <c r="AH152" s="499">
        <v>3.5482261538642694</v>
      </c>
      <c r="AI152" s="499">
        <v>5.9980000000000002</v>
      </c>
    </row>
    <row r="153" spans="1:35">
      <c r="A153" s="265" t="s">
        <v>310</v>
      </c>
      <c r="B153" t="s">
        <v>905</v>
      </c>
      <c r="C153" s="958">
        <f t="shared" si="43"/>
        <v>1.4999999999999999E-2</v>
      </c>
      <c r="D153" s="958">
        <f t="shared" si="43"/>
        <v>1.4999999999999999E-2</v>
      </c>
      <c r="E153" s="958">
        <f t="shared" si="43"/>
        <v>1.4999999999999999E-2</v>
      </c>
      <c r="F153" s="958">
        <f t="shared" si="43"/>
        <v>1.4999999999999999E-2</v>
      </c>
      <c r="G153" s="963">
        <v>1.4999999999999999E-2</v>
      </c>
      <c r="H153" s="963">
        <f t="shared" si="44"/>
        <v>1.7940000000000001E-2</v>
      </c>
      <c r="I153" s="958">
        <f t="shared" si="49"/>
        <v>1.7255E-2</v>
      </c>
      <c r="J153" s="963">
        <f t="shared" si="45"/>
        <v>1.6570000000000001E-2</v>
      </c>
      <c r="K153" s="958">
        <f t="shared" si="50"/>
        <v>1.6075900000000001E-2</v>
      </c>
      <c r="L153" s="963">
        <f t="shared" si="46"/>
        <v>1.55818E-2</v>
      </c>
      <c r="M153" s="963">
        <f t="shared" si="51"/>
        <v>1.57231E-2</v>
      </c>
      <c r="N153" s="958">
        <f t="shared" si="52"/>
        <v>1.5414622605812261E-2</v>
      </c>
      <c r="O153" s="963">
        <f t="shared" si="53"/>
        <v>1.5106145211624523E-2</v>
      </c>
      <c r="P153" s="958">
        <f t="shared" si="47"/>
        <v>1.2209572605812262E-2</v>
      </c>
      <c r="Q153" s="963">
        <f t="shared" si="48"/>
        <v>9.3130000000000001E-3</v>
      </c>
      <c r="R153" s="958">
        <f t="shared" si="47"/>
        <v>1.0656499999999999E-2</v>
      </c>
      <c r="S153" s="966">
        <v>1.2E-2</v>
      </c>
      <c r="T153" s="958">
        <f t="shared" si="54"/>
        <v>1.15E-2</v>
      </c>
      <c r="U153" s="966">
        <v>1.0999999999999999E-2</v>
      </c>
      <c r="V153" s="860">
        <v>0.01</v>
      </c>
      <c r="W153" s="961">
        <v>7.0000000000000001E-3</v>
      </c>
      <c r="X153" s="961">
        <v>7.0000000000000001E-3</v>
      </c>
      <c r="Y153" s="960">
        <f t="shared" si="55"/>
        <v>7.0000000000000001E-3</v>
      </c>
      <c r="Z153" s="960">
        <f t="shared" si="55"/>
        <v>7.0000000000000001E-3</v>
      </c>
      <c r="AA153" s="960">
        <f t="shared" si="55"/>
        <v>7.0000000000000001E-3</v>
      </c>
      <c r="AB153" s="960">
        <f t="shared" si="55"/>
        <v>7.0000000000000001E-3</v>
      </c>
      <c r="AD153" s="499">
        <v>17.940000000000001</v>
      </c>
      <c r="AE153" s="499">
        <v>16.57</v>
      </c>
      <c r="AF153" s="499">
        <v>15.581799999999999</v>
      </c>
      <c r="AG153" s="499">
        <v>15.723100000000001</v>
      </c>
      <c r="AH153" s="499">
        <v>15.106145211624524</v>
      </c>
      <c r="AI153" s="499">
        <v>9.3130000000000006</v>
      </c>
    </row>
    <row r="154" spans="1:35">
      <c r="A154" s="265" t="s">
        <v>312</v>
      </c>
      <c r="B154" t="s">
        <v>906</v>
      </c>
      <c r="C154" s="958">
        <f t="shared" si="43"/>
        <v>8.0800000000000004E-3</v>
      </c>
      <c r="D154" s="958">
        <f t="shared" si="43"/>
        <v>8.0800000000000004E-3</v>
      </c>
      <c r="E154" s="958">
        <f t="shared" si="43"/>
        <v>8.0800000000000004E-3</v>
      </c>
      <c r="F154" s="958">
        <f t="shared" si="43"/>
        <v>8.0800000000000004E-3</v>
      </c>
      <c r="G154" s="958">
        <f>H154</f>
        <v>8.0800000000000004E-3</v>
      </c>
      <c r="H154" s="963">
        <f t="shared" si="44"/>
        <v>8.0800000000000004E-3</v>
      </c>
      <c r="I154" s="958">
        <f t="shared" si="49"/>
        <v>7.1549999999999999E-3</v>
      </c>
      <c r="J154" s="963">
        <f t="shared" si="45"/>
        <v>6.2300000000000003E-3</v>
      </c>
      <c r="K154" s="958">
        <f t="shared" si="50"/>
        <v>6.1976500000000007E-3</v>
      </c>
      <c r="L154" s="963">
        <f t="shared" si="46"/>
        <v>6.1653000000000003E-3</v>
      </c>
      <c r="M154" s="963">
        <f t="shared" si="51"/>
        <v>6.0270999999999996E-3</v>
      </c>
      <c r="N154" s="958">
        <f t="shared" si="52"/>
        <v>5.8505476319126934E-3</v>
      </c>
      <c r="O154" s="963">
        <f t="shared" si="53"/>
        <v>5.6739952638253863E-3</v>
      </c>
      <c r="P154" s="958">
        <f t="shared" si="47"/>
        <v>4.854997631912693E-3</v>
      </c>
      <c r="Q154" s="963">
        <f t="shared" si="48"/>
        <v>4.0359999999999997E-3</v>
      </c>
      <c r="R154" s="958">
        <f t="shared" si="47"/>
        <v>4.0179999999999999E-3</v>
      </c>
      <c r="S154" s="966">
        <v>4.0000000000000001E-3</v>
      </c>
      <c r="T154" s="958">
        <f t="shared" si="54"/>
        <v>4.0000000000000001E-3</v>
      </c>
      <c r="U154" s="966">
        <v>4.0000000000000001E-3</v>
      </c>
      <c r="V154" s="860">
        <v>4.0000000000000001E-3</v>
      </c>
      <c r="W154" s="961">
        <v>4.0000000000000001E-3</v>
      </c>
      <c r="X154" s="961">
        <v>4.0000000000000001E-3</v>
      </c>
      <c r="Y154" s="960">
        <f t="shared" si="55"/>
        <v>4.0000000000000001E-3</v>
      </c>
      <c r="Z154" s="960">
        <f t="shared" si="55"/>
        <v>4.0000000000000001E-3</v>
      </c>
      <c r="AA154" s="960">
        <f t="shared" si="55"/>
        <v>4.0000000000000001E-3</v>
      </c>
      <c r="AB154" s="960">
        <f t="shared" si="55"/>
        <v>4.0000000000000001E-3</v>
      </c>
      <c r="AD154" s="499">
        <v>8.08</v>
      </c>
      <c r="AE154" s="499">
        <v>6.23</v>
      </c>
      <c r="AF154" s="499">
        <v>6.1653000000000002</v>
      </c>
      <c r="AG154" s="499">
        <v>6.0270999999999999</v>
      </c>
      <c r="AH154" s="499">
        <v>5.6739952638253861</v>
      </c>
      <c r="AI154" s="499">
        <v>4.0359999999999996</v>
      </c>
    </row>
    <row r="155" spans="1:35">
      <c r="A155" s="265" t="s">
        <v>314</v>
      </c>
      <c r="B155" t="s">
        <v>907</v>
      </c>
      <c r="C155" s="958">
        <f t="shared" si="43"/>
        <v>1.4999999999999999E-2</v>
      </c>
      <c r="D155" s="958">
        <f t="shared" si="43"/>
        <v>1.4999999999999999E-2</v>
      </c>
      <c r="E155" s="958">
        <f t="shared" si="43"/>
        <v>1.4999999999999999E-2</v>
      </c>
      <c r="F155" s="958">
        <f t="shared" si="43"/>
        <v>1.4999999999999999E-2</v>
      </c>
      <c r="G155" s="963">
        <v>1.4999999999999999E-2</v>
      </c>
      <c r="H155" s="963">
        <f t="shared" si="44"/>
        <v>1.511E-2</v>
      </c>
      <c r="I155" s="958">
        <f t="shared" si="49"/>
        <v>1.455E-2</v>
      </c>
      <c r="J155" s="963">
        <f t="shared" si="45"/>
        <v>1.3990000000000001E-2</v>
      </c>
      <c r="K155" s="958">
        <f t="shared" si="50"/>
        <v>1.354675E-2</v>
      </c>
      <c r="L155" s="963">
        <f t="shared" si="46"/>
        <v>1.3103500000000001E-2</v>
      </c>
      <c r="M155" s="963">
        <f t="shared" si="51"/>
        <v>1.4071E-2</v>
      </c>
      <c r="N155" s="958">
        <f t="shared" si="52"/>
        <v>1.3202864722870161E-2</v>
      </c>
      <c r="O155" s="963">
        <f t="shared" si="53"/>
        <v>1.2334729445740322E-2</v>
      </c>
      <c r="P155" s="958">
        <f t="shared" si="47"/>
        <v>1.195486472287016E-2</v>
      </c>
      <c r="Q155" s="963">
        <f t="shared" si="48"/>
        <v>1.1574999999999998E-2</v>
      </c>
      <c r="R155" s="958">
        <f t="shared" si="47"/>
        <v>1.1287499999999999E-2</v>
      </c>
      <c r="S155" s="966">
        <v>1.0999999999999999E-2</v>
      </c>
      <c r="T155" s="958">
        <f t="shared" si="54"/>
        <v>9.9999999999999985E-3</v>
      </c>
      <c r="U155" s="966">
        <v>8.9999999999999993E-3</v>
      </c>
      <c r="V155" s="860">
        <v>8.0000000000000002E-3</v>
      </c>
      <c r="W155" s="961">
        <v>7.0000000000000001E-3</v>
      </c>
      <c r="X155" s="961">
        <v>8.0000000000000002E-3</v>
      </c>
      <c r="Y155" s="960">
        <f t="shared" si="55"/>
        <v>8.0000000000000002E-3</v>
      </c>
      <c r="Z155" s="960">
        <f t="shared" si="55"/>
        <v>8.0000000000000002E-3</v>
      </c>
      <c r="AA155" s="960">
        <f t="shared" si="55"/>
        <v>8.0000000000000002E-3</v>
      </c>
      <c r="AB155" s="960">
        <f t="shared" si="55"/>
        <v>8.0000000000000002E-3</v>
      </c>
      <c r="AD155" s="499">
        <v>15.11</v>
      </c>
      <c r="AE155" s="499">
        <v>13.99</v>
      </c>
      <c r="AF155" s="499">
        <v>13.1035</v>
      </c>
      <c r="AG155" s="499">
        <v>14.071</v>
      </c>
      <c r="AH155" s="499">
        <v>12.334729445740322</v>
      </c>
      <c r="AI155" s="499">
        <v>11.574999999999999</v>
      </c>
    </row>
    <row r="156" spans="1:35">
      <c r="A156" s="265" t="s">
        <v>316</v>
      </c>
      <c r="B156" t="s">
        <v>908</v>
      </c>
      <c r="C156" s="958">
        <f t="shared" si="43"/>
        <v>1.6E-2</v>
      </c>
      <c r="D156" s="958">
        <f t="shared" si="43"/>
        <v>1.6E-2</v>
      </c>
      <c r="E156" s="958">
        <f t="shared" si="43"/>
        <v>1.6E-2</v>
      </c>
      <c r="F156" s="958">
        <f t="shared" si="43"/>
        <v>1.6E-2</v>
      </c>
      <c r="G156" s="963">
        <v>1.6E-2</v>
      </c>
      <c r="H156" s="963">
        <f t="shared" si="44"/>
        <v>1.694E-2</v>
      </c>
      <c r="I156" s="958">
        <f t="shared" si="49"/>
        <v>1.6094999999999998E-2</v>
      </c>
      <c r="J156" s="963">
        <f t="shared" si="45"/>
        <v>1.525E-2</v>
      </c>
      <c r="K156" s="958">
        <f t="shared" si="50"/>
        <v>1.439145E-2</v>
      </c>
      <c r="L156" s="963">
        <f t="shared" si="46"/>
        <v>1.35329E-2</v>
      </c>
      <c r="M156" s="963">
        <f t="shared" si="51"/>
        <v>1.3746399999999999E-2</v>
      </c>
      <c r="N156" s="958">
        <f t="shared" si="52"/>
        <v>1.2799569095500313E-2</v>
      </c>
      <c r="O156" s="963">
        <f t="shared" si="53"/>
        <v>1.1852738191000627E-2</v>
      </c>
      <c r="P156" s="958">
        <f t="shared" si="47"/>
        <v>1.1951869095500313E-2</v>
      </c>
      <c r="Q156" s="963">
        <f t="shared" si="48"/>
        <v>1.2051000000000001E-2</v>
      </c>
      <c r="R156" s="958">
        <f t="shared" si="47"/>
        <v>1.1025500000000001E-2</v>
      </c>
      <c r="S156" s="966">
        <v>0.01</v>
      </c>
      <c r="T156" s="958">
        <f t="shared" si="54"/>
        <v>9.4999999999999998E-3</v>
      </c>
      <c r="U156" s="966">
        <v>8.9999999999999993E-3</v>
      </c>
      <c r="V156" s="860">
        <v>7.0000000000000001E-3</v>
      </c>
      <c r="W156" s="961">
        <v>6.0000000000000001E-3</v>
      </c>
      <c r="X156" s="961">
        <v>7.0000000000000001E-3</v>
      </c>
      <c r="Y156" s="960">
        <f t="shared" si="55"/>
        <v>7.0000000000000001E-3</v>
      </c>
      <c r="Z156" s="960">
        <f t="shared" si="55"/>
        <v>7.0000000000000001E-3</v>
      </c>
      <c r="AA156" s="960">
        <f t="shared" si="55"/>
        <v>7.0000000000000001E-3</v>
      </c>
      <c r="AB156" s="960">
        <f t="shared" si="55"/>
        <v>7.0000000000000001E-3</v>
      </c>
      <c r="AD156" s="499">
        <v>16.940000000000001</v>
      </c>
      <c r="AE156" s="499">
        <v>15.25</v>
      </c>
      <c r="AF156" s="499">
        <v>13.5329</v>
      </c>
      <c r="AG156" s="499">
        <v>13.7464</v>
      </c>
      <c r="AH156" s="499">
        <v>11.852738191000627</v>
      </c>
      <c r="AI156" s="499">
        <v>12.051</v>
      </c>
    </row>
    <row r="157" spans="1:35">
      <c r="A157" s="265" t="s">
        <v>318</v>
      </c>
      <c r="B157" t="s">
        <v>909</v>
      </c>
      <c r="C157" s="958">
        <f t="shared" si="43"/>
        <v>1.7999999999999999E-2</v>
      </c>
      <c r="D157" s="958">
        <f t="shared" si="43"/>
        <v>1.7999999999999999E-2</v>
      </c>
      <c r="E157" s="958">
        <f t="shared" si="43"/>
        <v>1.7999999999999999E-2</v>
      </c>
      <c r="F157" s="958">
        <f t="shared" si="43"/>
        <v>1.7999999999999999E-2</v>
      </c>
      <c r="G157" s="963">
        <v>1.7999999999999999E-2</v>
      </c>
      <c r="H157" s="963">
        <f t="shared" si="44"/>
        <v>4.6879999999999998E-2</v>
      </c>
      <c r="I157" s="958">
        <f t="shared" si="49"/>
        <v>3.4294999999999999E-2</v>
      </c>
      <c r="J157" s="963">
        <f t="shared" si="45"/>
        <v>2.171E-2</v>
      </c>
      <c r="K157" s="958">
        <f t="shared" si="50"/>
        <v>1.775705E-2</v>
      </c>
      <c r="L157" s="963">
        <f t="shared" si="46"/>
        <v>1.38041E-2</v>
      </c>
      <c r="M157" s="963">
        <f t="shared" si="51"/>
        <v>1.38818E-2</v>
      </c>
      <c r="N157" s="958">
        <f t="shared" si="52"/>
        <v>1.3282558658356177E-2</v>
      </c>
      <c r="O157" s="963">
        <f t="shared" si="53"/>
        <v>1.2683317316712354E-2</v>
      </c>
      <c r="P157" s="958">
        <f t="shared" si="47"/>
        <v>1.3951658658356177E-2</v>
      </c>
      <c r="Q157" s="963">
        <f t="shared" si="48"/>
        <v>1.5220000000000001E-2</v>
      </c>
      <c r="R157" s="958">
        <f t="shared" si="47"/>
        <v>1.511E-2</v>
      </c>
      <c r="S157" s="966">
        <v>1.4999999999999999E-2</v>
      </c>
      <c r="T157" s="958">
        <f t="shared" si="54"/>
        <v>1.6500000000000001E-2</v>
      </c>
      <c r="U157" s="966">
        <v>1.7999999999999999E-2</v>
      </c>
      <c r="V157" s="860">
        <v>2.1999999999999999E-2</v>
      </c>
      <c r="W157" s="961">
        <v>1.7000000000000001E-2</v>
      </c>
      <c r="X157" s="961">
        <v>2.1000000000000001E-2</v>
      </c>
      <c r="Y157" s="960">
        <f t="shared" si="55"/>
        <v>2.1000000000000001E-2</v>
      </c>
      <c r="Z157" s="960">
        <f t="shared" si="55"/>
        <v>2.1000000000000001E-2</v>
      </c>
      <c r="AA157" s="960">
        <f t="shared" si="55"/>
        <v>2.1000000000000001E-2</v>
      </c>
      <c r="AB157" s="960">
        <f t="shared" si="55"/>
        <v>2.1000000000000001E-2</v>
      </c>
      <c r="AD157" s="499">
        <v>46.879999999999995</v>
      </c>
      <c r="AE157" s="499">
        <v>21.71</v>
      </c>
      <c r="AF157" s="499">
        <v>13.8041</v>
      </c>
      <c r="AG157" s="499">
        <v>13.8818</v>
      </c>
      <c r="AH157" s="499">
        <v>12.683317316712353</v>
      </c>
      <c r="AI157" s="499">
        <v>15.22</v>
      </c>
    </row>
    <row r="158" spans="1:35">
      <c r="A158" s="265" t="s">
        <v>320</v>
      </c>
      <c r="B158" t="s">
        <v>910</v>
      </c>
      <c r="C158" s="958">
        <f t="shared" si="43"/>
        <v>2.12E-2</v>
      </c>
      <c r="D158" s="958">
        <f t="shared" si="43"/>
        <v>2.12E-2</v>
      </c>
      <c r="E158" s="958">
        <f t="shared" si="43"/>
        <v>2.12E-2</v>
      </c>
      <c r="F158" s="958">
        <f t="shared" si="43"/>
        <v>2.12E-2</v>
      </c>
      <c r="G158" s="963">
        <v>2.12E-2</v>
      </c>
      <c r="H158" s="963">
        <f t="shared" si="44"/>
        <v>2.3619999999999999E-2</v>
      </c>
      <c r="I158" s="958">
        <f t="shared" si="49"/>
        <v>2.2254999999999997E-2</v>
      </c>
      <c r="J158" s="963">
        <f t="shared" si="45"/>
        <v>2.0889999999999999E-2</v>
      </c>
      <c r="K158" s="958">
        <f t="shared" si="50"/>
        <v>2.1435249999999999E-2</v>
      </c>
      <c r="L158" s="963">
        <f t="shared" si="46"/>
        <v>2.19805E-2</v>
      </c>
      <c r="M158" s="963">
        <f t="shared" si="51"/>
        <v>2.2411199999999999E-2</v>
      </c>
      <c r="N158" s="958">
        <f t="shared" si="52"/>
        <v>2.1980722652640623E-2</v>
      </c>
      <c r="O158" s="963">
        <f t="shared" si="53"/>
        <v>2.1550245305281247E-2</v>
      </c>
      <c r="P158" s="958">
        <f t="shared" si="47"/>
        <v>2.3005122652640625E-2</v>
      </c>
      <c r="Q158" s="963">
        <f t="shared" si="48"/>
        <v>2.4460000000000003E-2</v>
      </c>
      <c r="R158" s="958">
        <f t="shared" si="47"/>
        <v>2.6230000000000003E-2</v>
      </c>
      <c r="S158" s="966">
        <v>2.8000000000000001E-2</v>
      </c>
      <c r="T158" s="958">
        <f t="shared" si="54"/>
        <v>2.75E-2</v>
      </c>
      <c r="U158" s="966">
        <v>2.7E-2</v>
      </c>
      <c r="V158" s="860">
        <v>2.8000000000000001E-2</v>
      </c>
      <c r="W158" s="961">
        <v>2.7E-2</v>
      </c>
      <c r="X158" s="961">
        <v>2.7E-2</v>
      </c>
      <c r="Y158" s="960">
        <f t="shared" si="55"/>
        <v>2.7E-2</v>
      </c>
      <c r="Z158" s="960">
        <f t="shared" si="55"/>
        <v>2.7E-2</v>
      </c>
      <c r="AA158" s="960">
        <f t="shared" si="55"/>
        <v>2.7E-2</v>
      </c>
      <c r="AB158" s="960">
        <f t="shared" si="55"/>
        <v>2.7E-2</v>
      </c>
      <c r="AD158" s="499">
        <v>23.619999999999997</v>
      </c>
      <c r="AE158" s="499">
        <v>20.89</v>
      </c>
      <c r="AF158" s="499">
        <v>21.980499999999999</v>
      </c>
      <c r="AG158" s="499">
        <v>22.411200000000001</v>
      </c>
      <c r="AH158" s="499">
        <v>21.550245305281248</v>
      </c>
      <c r="AI158" s="499">
        <v>24.46</v>
      </c>
    </row>
    <row r="159" spans="1:35">
      <c r="A159" s="265" t="s">
        <v>322</v>
      </c>
      <c r="B159" t="s">
        <v>911</v>
      </c>
      <c r="C159" s="958">
        <f t="shared" si="43"/>
        <v>0.03</v>
      </c>
      <c r="D159" s="958">
        <f t="shared" si="43"/>
        <v>0.03</v>
      </c>
      <c r="E159" s="958">
        <f t="shared" si="43"/>
        <v>0.03</v>
      </c>
      <c r="F159" s="958">
        <f t="shared" si="43"/>
        <v>0.03</v>
      </c>
      <c r="G159" s="963">
        <v>0.03</v>
      </c>
      <c r="H159" s="963">
        <f t="shared" si="44"/>
        <v>3.0360000000000002E-2</v>
      </c>
      <c r="I159" s="958">
        <f t="shared" si="49"/>
        <v>2.9705000000000002E-2</v>
      </c>
      <c r="J159" s="963">
        <f t="shared" si="45"/>
        <v>2.9049999999999999E-2</v>
      </c>
      <c r="K159" s="958">
        <f t="shared" si="50"/>
        <v>2.8045649999999998E-2</v>
      </c>
      <c r="L159" s="963">
        <f t="shared" si="46"/>
        <v>2.7041300000000001E-2</v>
      </c>
      <c r="M159" s="963">
        <f t="shared" si="51"/>
        <v>2.75216E-2</v>
      </c>
      <c r="N159" s="958">
        <f t="shared" si="52"/>
        <v>2.6538148479555185E-2</v>
      </c>
      <c r="O159" s="963">
        <f t="shared" si="53"/>
        <v>2.5554696959110369E-2</v>
      </c>
      <c r="P159" s="958">
        <f t="shared" si="47"/>
        <v>2.6866348479555185E-2</v>
      </c>
      <c r="Q159" s="963">
        <f t="shared" si="48"/>
        <v>2.8178000000000002E-2</v>
      </c>
      <c r="R159" s="958">
        <f t="shared" si="47"/>
        <v>2.7089000000000002E-2</v>
      </c>
      <c r="S159" s="966">
        <v>2.5999999999999999E-2</v>
      </c>
      <c r="T159" s="958">
        <f t="shared" si="54"/>
        <v>2.5500000000000002E-2</v>
      </c>
      <c r="U159" s="966">
        <v>2.5000000000000001E-2</v>
      </c>
      <c r="V159" s="860">
        <v>2.1999999999999999E-2</v>
      </c>
      <c r="W159" s="961">
        <v>0.02</v>
      </c>
      <c r="X159" s="961">
        <v>2.1999999999999999E-2</v>
      </c>
      <c r="Y159" s="960">
        <f t="shared" si="55"/>
        <v>2.1999999999999999E-2</v>
      </c>
      <c r="Z159" s="960">
        <f t="shared" si="55"/>
        <v>2.1999999999999999E-2</v>
      </c>
      <c r="AA159" s="960">
        <f t="shared" si="55"/>
        <v>2.1999999999999999E-2</v>
      </c>
      <c r="AB159" s="960">
        <f t="shared" si="55"/>
        <v>2.1999999999999999E-2</v>
      </c>
      <c r="AD159" s="499">
        <v>30.360000000000003</v>
      </c>
      <c r="AE159" s="499">
        <v>29.05</v>
      </c>
      <c r="AF159" s="499">
        <v>27.0413</v>
      </c>
      <c r="AG159" s="499">
        <v>27.521599999999999</v>
      </c>
      <c r="AH159" s="499">
        <v>25.55469695911037</v>
      </c>
      <c r="AI159" s="499">
        <v>28.178000000000001</v>
      </c>
    </row>
    <row r="160" spans="1:35">
      <c r="A160" s="265" t="s">
        <v>324</v>
      </c>
      <c r="B160" t="s">
        <v>912</v>
      </c>
      <c r="C160" s="958">
        <f t="shared" si="43"/>
        <v>2.9000000000000001E-2</v>
      </c>
      <c r="D160" s="958">
        <f t="shared" si="43"/>
        <v>2.9000000000000001E-2</v>
      </c>
      <c r="E160" s="958">
        <f t="shared" si="43"/>
        <v>2.9000000000000001E-2</v>
      </c>
      <c r="F160" s="958">
        <f t="shared" si="43"/>
        <v>2.9000000000000001E-2</v>
      </c>
      <c r="G160" s="963">
        <v>2.9000000000000001E-2</v>
      </c>
      <c r="H160" s="963">
        <f t="shared" si="44"/>
        <v>3.0710000000000001E-2</v>
      </c>
      <c r="I160" s="958">
        <f t="shared" si="49"/>
        <v>2.9950000000000001E-2</v>
      </c>
      <c r="J160" s="963">
        <f t="shared" si="45"/>
        <v>2.9190000000000001E-2</v>
      </c>
      <c r="K160" s="958">
        <f t="shared" si="50"/>
        <v>2.8490099999999997E-2</v>
      </c>
      <c r="L160" s="963">
        <f t="shared" si="46"/>
        <v>2.7790199999999998E-2</v>
      </c>
      <c r="M160" s="963">
        <f t="shared" si="51"/>
        <v>2.6291100000000001E-2</v>
      </c>
      <c r="N160" s="958">
        <f t="shared" si="52"/>
        <v>2.5276079994984622E-2</v>
      </c>
      <c r="O160" s="963">
        <f t="shared" si="53"/>
        <v>2.4261059989969243E-2</v>
      </c>
      <c r="P160" s="958">
        <f t="shared" si="47"/>
        <v>2.380402999498462E-2</v>
      </c>
      <c r="Q160" s="963">
        <f t="shared" si="48"/>
        <v>2.3347E-2</v>
      </c>
      <c r="R160" s="958">
        <f t="shared" si="47"/>
        <v>2.1673499999999998E-2</v>
      </c>
      <c r="S160" s="966">
        <v>0.02</v>
      </c>
      <c r="T160" s="958">
        <f t="shared" si="54"/>
        <v>0.02</v>
      </c>
      <c r="U160" s="966">
        <v>0.02</v>
      </c>
      <c r="V160" s="860">
        <v>1.7000000000000001E-2</v>
      </c>
      <c r="W160" s="961">
        <v>1.4999999999999999E-2</v>
      </c>
      <c r="X160" s="961">
        <v>1.4999999999999999E-2</v>
      </c>
      <c r="Y160" s="960">
        <f t="shared" si="55"/>
        <v>1.4999999999999999E-2</v>
      </c>
      <c r="Z160" s="960">
        <f t="shared" si="55"/>
        <v>1.4999999999999999E-2</v>
      </c>
      <c r="AA160" s="960">
        <f t="shared" si="55"/>
        <v>1.4999999999999999E-2</v>
      </c>
      <c r="AB160" s="960">
        <f t="shared" si="55"/>
        <v>1.4999999999999999E-2</v>
      </c>
      <c r="AD160" s="499">
        <v>30.71</v>
      </c>
      <c r="AE160" s="499">
        <v>29.19</v>
      </c>
      <c r="AF160" s="499">
        <v>27.790199999999999</v>
      </c>
      <c r="AG160" s="499">
        <v>26.2911</v>
      </c>
      <c r="AH160" s="499">
        <v>24.261059989969244</v>
      </c>
      <c r="AI160" s="499">
        <v>23.347000000000001</v>
      </c>
    </row>
    <row r="161" spans="1:35">
      <c r="A161" s="265" t="s">
        <v>326</v>
      </c>
      <c r="B161" t="s">
        <v>913</v>
      </c>
      <c r="C161" s="958">
        <f t="shared" si="43"/>
        <v>1.4999999999999999E-2</v>
      </c>
      <c r="D161" s="958">
        <f t="shared" si="43"/>
        <v>1.4999999999999999E-2</v>
      </c>
      <c r="E161" s="958">
        <f t="shared" si="43"/>
        <v>1.4999999999999999E-2</v>
      </c>
      <c r="F161" s="958">
        <f t="shared" si="43"/>
        <v>1.4999999999999999E-2</v>
      </c>
      <c r="G161" s="963">
        <v>1.4999999999999999E-2</v>
      </c>
      <c r="H161" s="963">
        <f t="shared" si="44"/>
        <v>1.7010000000000001E-2</v>
      </c>
      <c r="I161" s="958">
        <f t="shared" si="49"/>
        <v>1.6105000000000001E-2</v>
      </c>
      <c r="J161" s="963">
        <f t="shared" si="45"/>
        <v>1.52E-2</v>
      </c>
      <c r="K161" s="958">
        <f t="shared" si="50"/>
        <v>1.45275E-2</v>
      </c>
      <c r="L161" s="963">
        <f t="shared" si="46"/>
        <v>1.3855000000000001E-2</v>
      </c>
      <c r="M161" s="963">
        <f t="shared" si="51"/>
        <v>1.2976100000000001E-2</v>
      </c>
      <c r="N161" s="958">
        <f t="shared" si="52"/>
        <v>1.1841893503815662E-2</v>
      </c>
      <c r="O161" s="963">
        <f t="shared" si="53"/>
        <v>1.0707687007631321E-2</v>
      </c>
      <c r="P161" s="958">
        <f t="shared" si="47"/>
        <v>1.177534350381566E-2</v>
      </c>
      <c r="Q161" s="963">
        <f t="shared" si="48"/>
        <v>1.2843E-2</v>
      </c>
      <c r="R161" s="958">
        <f t="shared" si="47"/>
        <v>1.24215E-2</v>
      </c>
      <c r="S161" s="966">
        <v>1.2E-2</v>
      </c>
      <c r="T161" s="958">
        <f t="shared" si="54"/>
        <v>1.15E-2</v>
      </c>
      <c r="U161" s="966">
        <v>1.0999999999999999E-2</v>
      </c>
      <c r="V161" s="860">
        <v>0.01</v>
      </c>
      <c r="W161" s="961">
        <v>0.01</v>
      </c>
      <c r="X161" s="961">
        <v>8.9999999999999993E-3</v>
      </c>
      <c r="Y161" s="960">
        <f t="shared" si="55"/>
        <v>8.9999999999999993E-3</v>
      </c>
      <c r="Z161" s="960">
        <f t="shared" si="55"/>
        <v>8.9999999999999993E-3</v>
      </c>
      <c r="AA161" s="960">
        <f t="shared" si="55"/>
        <v>8.9999999999999993E-3</v>
      </c>
      <c r="AB161" s="960">
        <f t="shared" si="55"/>
        <v>8.9999999999999993E-3</v>
      </c>
      <c r="AD161" s="499">
        <v>17.010000000000002</v>
      </c>
      <c r="AE161" s="499">
        <v>15.2</v>
      </c>
      <c r="AF161" s="499">
        <v>13.855</v>
      </c>
      <c r="AG161" s="499">
        <v>12.976100000000001</v>
      </c>
      <c r="AH161" s="499">
        <v>10.707687007631321</v>
      </c>
      <c r="AI161" s="499">
        <v>12.843</v>
      </c>
    </row>
    <row r="162" spans="1:35">
      <c r="A162" s="265" t="s">
        <v>328</v>
      </c>
      <c r="B162" t="s">
        <v>914</v>
      </c>
      <c r="C162" s="958">
        <f t="shared" si="43"/>
        <v>1.4E-2</v>
      </c>
      <c r="D162" s="958">
        <f t="shared" si="43"/>
        <v>1.4E-2</v>
      </c>
      <c r="E162" s="958">
        <f t="shared" si="43"/>
        <v>1.4E-2</v>
      </c>
      <c r="F162" s="958">
        <f t="shared" si="43"/>
        <v>1.4E-2</v>
      </c>
      <c r="G162" s="963">
        <v>1.4E-2</v>
      </c>
      <c r="H162" s="963">
        <f t="shared" si="44"/>
        <v>1.49E-2</v>
      </c>
      <c r="I162" s="958">
        <f t="shared" si="49"/>
        <v>1.4270000000000001E-2</v>
      </c>
      <c r="J162" s="963">
        <f t="shared" si="45"/>
        <v>1.3640000000000001E-2</v>
      </c>
      <c r="K162" s="958">
        <f t="shared" si="50"/>
        <v>1.3070200000000001E-2</v>
      </c>
      <c r="L162" s="963">
        <f t="shared" si="46"/>
        <v>1.25004E-2</v>
      </c>
      <c r="M162" s="963">
        <f t="shared" si="51"/>
        <v>1.30724E-2</v>
      </c>
      <c r="N162" s="958">
        <f t="shared" si="52"/>
        <v>1.17237088458019E-2</v>
      </c>
      <c r="O162" s="963">
        <f t="shared" si="53"/>
        <v>1.0375017691603799E-2</v>
      </c>
      <c r="P162" s="958">
        <f t="shared" si="47"/>
        <v>1.22995088458019E-2</v>
      </c>
      <c r="Q162" s="963">
        <f t="shared" si="48"/>
        <v>1.4224000000000001E-2</v>
      </c>
      <c r="R162" s="958">
        <f t="shared" si="47"/>
        <v>1.1612000000000001E-2</v>
      </c>
      <c r="S162" s="966">
        <v>8.9999999999999993E-3</v>
      </c>
      <c r="T162" s="958">
        <f t="shared" si="54"/>
        <v>8.9999999999999993E-3</v>
      </c>
      <c r="U162" s="966">
        <v>8.9999999999999993E-3</v>
      </c>
      <c r="V162" s="860">
        <v>0.01</v>
      </c>
      <c r="W162" s="961">
        <v>8.0000000000000002E-3</v>
      </c>
      <c r="X162" s="961">
        <v>8.0000000000000002E-3</v>
      </c>
      <c r="Y162" s="960">
        <f t="shared" si="55"/>
        <v>8.0000000000000002E-3</v>
      </c>
      <c r="Z162" s="960">
        <f t="shared" si="55"/>
        <v>8.0000000000000002E-3</v>
      </c>
      <c r="AA162" s="960">
        <f t="shared" si="55"/>
        <v>8.0000000000000002E-3</v>
      </c>
      <c r="AB162" s="960">
        <f t="shared" si="55"/>
        <v>8.0000000000000002E-3</v>
      </c>
      <c r="AD162" s="499">
        <v>14.9</v>
      </c>
      <c r="AE162" s="499">
        <v>13.64</v>
      </c>
      <c r="AF162" s="499">
        <v>12.500400000000001</v>
      </c>
      <c r="AG162" s="499">
        <v>13.0724</v>
      </c>
      <c r="AH162" s="499">
        <v>10.375017691603798</v>
      </c>
      <c r="AI162" s="499">
        <v>14.224</v>
      </c>
    </row>
    <row r="163" spans="1:35">
      <c r="A163" s="265" t="s">
        <v>330</v>
      </c>
      <c r="B163" t="s">
        <v>915</v>
      </c>
      <c r="C163" s="958">
        <f t="shared" si="43"/>
        <v>6.0000000000000001E-3</v>
      </c>
      <c r="D163" s="958">
        <f t="shared" si="43"/>
        <v>6.0000000000000001E-3</v>
      </c>
      <c r="E163" s="958">
        <f t="shared" si="43"/>
        <v>6.0000000000000001E-3</v>
      </c>
      <c r="F163" s="958">
        <f t="shared" si="43"/>
        <v>6.0000000000000001E-3</v>
      </c>
      <c r="G163" s="963">
        <v>6.0000000000000001E-3</v>
      </c>
      <c r="H163" s="963">
        <f t="shared" si="44"/>
        <v>5.4599999999999996E-3</v>
      </c>
      <c r="I163" s="958">
        <f t="shared" si="49"/>
        <v>4.4050000000000001E-3</v>
      </c>
      <c r="J163" s="963">
        <f t="shared" si="45"/>
        <v>3.3500000000000001E-3</v>
      </c>
      <c r="K163" s="958">
        <f t="shared" si="50"/>
        <v>3.0782500000000003E-3</v>
      </c>
      <c r="L163" s="963">
        <f t="shared" si="46"/>
        <v>2.8065000000000004E-3</v>
      </c>
      <c r="M163" s="963">
        <f t="shared" si="51"/>
        <v>2.8003999999999998E-3</v>
      </c>
      <c r="N163" s="958">
        <f t="shared" si="52"/>
        <v>2.8663434387654835E-3</v>
      </c>
      <c r="O163" s="963">
        <f t="shared" si="53"/>
        <v>2.9322868775309668E-3</v>
      </c>
      <c r="P163" s="958">
        <f t="shared" si="47"/>
        <v>2.9516434387654835E-3</v>
      </c>
      <c r="Q163" s="963">
        <f t="shared" si="48"/>
        <v>2.9710000000000001E-3</v>
      </c>
      <c r="R163" s="958">
        <f t="shared" si="47"/>
        <v>2.9855000000000003E-3</v>
      </c>
      <c r="S163" s="966">
        <v>3.0000000000000001E-3</v>
      </c>
      <c r="T163" s="958">
        <f t="shared" si="54"/>
        <v>3.0000000000000001E-3</v>
      </c>
      <c r="U163" s="966">
        <v>3.0000000000000001E-3</v>
      </c>
      <c r="V163" s="860">
        <v>2E-3</v>
      </c>
      <c r="W163" s="961">
        <v>3.0000000000000001E-3</v>
      </c>
      <c r="X163" s="961">
        <v>2E-3</v>
      </c>
      <c r="Y163" s="960">
        <f t="shared" si="55"/>
        <v>2E-3</v>
      </c>
      <c r="Z163" s="960">
        <f t="shared" si="55"/>
        <v>2E-3</v>
      </c>
      <c r="AA163" s="960">
        <f t="shared" si="55"/>
        <v>2E-3</v>
      </c>
      <c r="AB163" s="960">
        <f t="shared" si="55"/>
        <v>2E-3</v>
      </c>
      <c r="AD163" s="499">
        <v>5.46</v>
      </c>
      <c r="AE163" s="499">
        <v>3.35</v>
      </c>
      <c r="AF163" s="499">
        <v>2.8065000000000002</v>
      </c>
      <c r="AG163" s="499">
        <v>2.8003999999999998</v>
      </c>
      <c r="AH163" s="499">
        <v>2.932286877530967</v>
      </c>
      <c r="AI163" s="499">
        <v>2.9710000000000001</v>
      </c>
    </row>
    <row r="164" spans="1:35">
      <c r="A164" s="265" t="s">
        <v>307</v>
      </c>
      <c r="B164" t="s">
        <v>916</v>
      </c>
      <c r="C164" s="958">
        <f t="shared" si="43"/>
        <v>1.6E-2</v>
      </c>
      <c r="D164" s="958">
        <f t="shared" si="43"/>
        <v>1.6E-2</v>
      </c>
      <c r="E164" s="958">
        <f t="shared" si="43"/>
        <v>1.6E-2</v>
      </c>
      <c r="F164" s="958">
        <f t="shared" si="43"/>
        <v>1.6E-2</v>
      </c>
      <c r="G164" s="963">
        <v>1.6E-2</v>
      </c>
      <c r="H164" s="963">
        <f t="shared" si="44"/>
        <v>1.8089999999999998E-2</v>
      </c>
      <c r="I164" s="958">
        <f t="shared" si="49"/>
        <v>1.5594999999999998E-2</v>
      </c>
      <c r="J164" s="963">
        <f t="shared" si="45"/>
        <v>1.3099999999999999E-2</v>
      </c>
      <c r="K164" s="958">
        <f t="shared" si="50"/>
        <v>1.2736649999999999E-2</v>
      </c>
      <c r="L164" s="963">
        <f t="shared" si="46"/>
        <v>1.23733E-2</v>
      </c>
      <c r="M164" s="963">
        <f t="shared" si="51"/>
        <v>1.0284700000000001E-2</v>
      </c>
      <c r="N164" s="958">
        <f t="shared" si="52"/>
        <v>1.007644798520228E-2</v>
      </c>
      <c r="O164" s="963">
        <f t="shared" si="53"/>
        <v>9.8681959704045568E-3</v>
      </c>
      <c r="P164" s="958">
        <f t="shared" si="47"/>
        <v>1.3531097985202276E-2</v>
      </c>
      <c r="Q164" s="963">
        <f t="shared" si="48"/>
        <v>1.7193999999999997E-2</v>
      </c>
      <c r="R164" s="958">
        <f t="shared" si="47"/>
        <v>1.6597000000000001E-2</v>
      </c>
      <c r="S164" s="966">
        <v>1.6E-2</v>
      </c>
      <c r="T164" s="958">
        <f t="shared" si="54"/>
        <v>1.7000000000000001E-2</v>
      </c>
      <c r="U164" s="966">
        <v>1.7999999999999999E-2</v>
      </c>
      <c r="V164" s="860">
        <v>0.02</v>
      </c>
      <c r="W164" s="961">
        <v>1.7999999999999999E-2</v>
      </c>
      <c r="X164" s="961">
        <v>1.6E-2</v>
      </c>
      <c r="Y164" s="960">
        <f t="shared" si="55"/>
        <v>1.6E-2</v>
      </c>
      <c r="Z164" s="960">
        <f t="shared" si="55"/>
        <v>1.6E-2</v>
      </c>
      <c r="AA164" s="960">
        <f t="shared" si="55"/>
        <v>1.6E-2</v>
      </c>
      <c r="AB164" s="960">
        <f t="shared" si="55"/>
        <v>1.6E-2</v>
      </c>
      <c r="AD164" s="499">
        <v>18.09</v>
      </c>
      <c r="AE164" s="499">
        <v>13.1</v>
      </c>
      <c r="AF164" s="499">
        <v>12.3733</v>
      </c>
      <c r="AG164" s="499">
        <v>10.284700000000001</v>
      </c>
      <c r="AH164" s="499">
        <v>9.8681959704045568</v>
      </c>
      <c r="AI164" s="499">
        <v>17.193999999999999</v>
      </c>
    </row>
    <row r="165" spans="1:35">
      <c r="A165" s="265" t="s">
        <v>309</v>
      </c>
      <c r="B165" t="s">
        <v>917</v>
      </c>
      <c r="C165" s="958">
        <f t="shared" si="43"/>
        <v>1.0999999999999999E-2</v>
      </c>
      <c r="D165" s="958">
        <f t="shared" si="43"/>
        <v>1.0999999999999999E-2</v>
      </c>
      <c r="E165" s="958">
        <f t="shared" si="43"/>
        <v>1.0999999999999999E-2</v>
      </c>
      <c r="F165" s="958">
        <f t="shared" si="43"/>
        <v>1.0999999999999999E-2</v>
      </c>
      <c r="G165" s="963">
        <v>1.0999999999999999E-2</v>
      </c>
      <c r="H165" s="963">
        <f t="shared" si="44"/>
        <v>1.119E-2</v>
      </c>
      <c r="I165" s="958">
        <f t="shared" si="49"/>
        <v>1.0545000000000001E-2</v>
      </c>
      <c r="J165" s="963">
        <f t="shared" si="45"/>
        <v>9.9000000000000008E-3</v>
      </c>
      <c r="K165" s="958">
        <f t="shared" si="50"/>
        <v>8.3327499999999999E-3</v>
      </c>
      <c r="L165" s="963">
        <f t="shared" si="46"/>
        <v>6.7655000000000007E-3</v>
      </c>
      <c r="M165" s="963">
        <f t="shared" si="51"/>
        <v>7.2418999999999999E-3</v>
      </c>
      <c r="N165" s="958">
        <f t="shared" si="52"/>
        <v>5.534399130768526E-3</v>
      </c>
      <c r="O165" s="963">
        <f t="shared" si="53"/>
        <v>3.8268982615370525E-3</v>
      </c>
      <c r="P165" s="958">
        <f t="shared" si="47"/>
        <v>3.9824491307685261E-3</v>
      </c>
      <c r="Q165" s="963">
        <f t="shared" si="48"/>
        <v>4.1380000000000002E-3</v>
      </c>
      <c r="R165" s="958">
        <f t="shared" si="47"/>
        <v>3.5690000000000001E-3</v>
      </c>
      <c r="S165" s="966">
        <v>3.0000000000000001E-3</v>
      </c>
      <c r="T165" s="958">
        <f t="shared" si="54"/>
        <v>2.5000000000000001E-3</v>
      </c>
      <c r="U165" s="966">
        <v>2E-3</v>
      </c>
      <c r="V165" s="860">
        <v>2E-3</v>
      </c>
      <c r="W165" s="961">
        <v>2E-3</v>
      </c>
      <c r="X165" s="961">
        <v>2E-3</v>
      </c>
      <c r="Y165" s="960">
        <f t="shared" si="55"/>
        <v>2E-3</v>
      </c>
      <c r="Z165" s="960">
        <f t="shared" si="55"/>
        <v>2E-3</v>
      </c>
      <c r="AA165" s="960">
        <f t="shared" si="55"/>
        <v>2E-3</v>
      </c>
      <c r="AB165" s="960">
        <f t="shared" si="55"/>
        <v>2E-3</v>
      </c>
      <c r="AD165" s="499">
        <v>11.19</v>
      </c>
      <c r="AE165" s="499">
        <v>9.9</v>
      </c>
      <c r="AF165" s="499">
        <v>6.7655000000000003</v>
      </c>
      <c r="AG165" s="499">
        <v>7.2419000000000002</v>
      </c>
      <c r="AH165" s="499">
        <v>3.8268982615370524</v>
      </c>
      <c r="AI165" s="499">
        <v>4.1379999999999999</v>
      </c>
    </row>
    <row r="166" spans="1:35">
      <c r="A166" s="265" t="s">
        <v>311</v>
      </c>
      <c r="B166" t="s">
        <v>918</v>
      </c>
      <c r="C166" s="958">
        <f t="shared" si="43"/>
        <v>1.7000000000000001E-2</v>
      </c>
      <c r="D166" s="958">
        <f t="shared" si="43"/>
        <v>1.7000000000000001E-2</v>
      </c>
      <c r="E166" s="958">
        <f t="shared" si="43"/>
        <v>1.7000000000000001E-2</v>
      </c>
      <c r="F166" s="958">
        <f t="shared" si="43"/>
        <v>1.7000000000000001E-2</v>
      </c>
      <c r="G166" s="963">
        <v>1.7000000000000001E-2</v>
      </c>
      <c r="H166" s="963">
        <f t="shared" si="44"/>
        <v>1.8710000000000001E-2</v>
      </c>
      <c r="I166" s="958">
        <f t="shared" si="49"/>
        <v>1.787E-2</v>
      </c>
      <c r="J166" s="963">
        <f t="shared" si="45"/>
        <v>1.703E-2</v>
      </c>
      <c r="K166" s="958">
        <f t="shared" si="50"/>
        <v>1.5996200000000002E-2</v>
      </c>
      <c r="L166" s="963">
        <f t="shared" si="46"/>
        <v>1.4962400000000001E-2</v>
      </c>
      <c r="M166" s="963">
        <f t="shared" si="51"/>
        <v>1.5329800000000001E-2</v>
      </c>
      <c r="N166" s="958">
        <f t="shared" si="52"/>
        <v>1.3408549029163618E-2</v>
      </c>
      <c r="O166" s="963">
        <f t="shared" si="53"/>
        <v>1.1487298058327234E-2</v>
      </c>
      <c r="P166" s="958">
        <f t="shared" si="47"/>
        <v>1.1356649029163618E-2</v>
      </c>
      <c r="Q166" s="963">
        <f t="shared" si="48"/>
        <v>1.1226000000000002E-2</v>
      </c>
      <c r="R166" s="958">
        <f t="shared" si="47"/>
        <v>1.0113E-2</v>
      </c>
      <c r="S166" s="966">
        <v>8.9999999999999993E-3</v>
      </c>
      <c r="T166" s="958">
        <f t="shared" si="54"/>
        <v>8.5000000000000006E-3</v>
      </c>
      <c r="U166" s="966">
        <v>8.0000000000000002E-3</v>
      </c>
      <c r="V166" s="860">
        <v>7.0000000000000001E-3</v>
      </c>
      <c r="W166" s="961">
        <v>6.0000000000000001E-3</v>
      </c>
      <c r="X166" s="961">
        <v>7.0000000000000001E-3</v>
      </c>
      <c r="Y166" s="960">
        <f t="shared" si="55"/>
        <v>7.0000000000000001E-3</v>
      </c>
      <c r="Z166" s="960">
        <f t="shared" si="55"/>
        <v>7.0000000000000001E-3</v>
      </c>
      <c r="AA166" s="960">
        <f t="shared" si="55"/>
        <v>7.0000000000000001E-3</v>
      </c>
      <c r="AB166" s="960">
        <f t="shared" si="55"/>
        <v>7.0000000000000001E-3</v>
      </c>
      <c r="AD166" s="499">
        <v>18.71</v>
      </c>
      <c r="AE166" s="499">
        <v>17.03</v>
      </c>
      <c r="AF166" s="499">
        <v>14.962400000000001</v>
      </c>
      <c r="AG166" s="499">
        <v>15.329800000000001</v>
      </c>
      <c r="AH166" s="499">
        <v>11.487298058327234</v>
      </c>
      <c r="AI166" s="499">
        <v>11.226000000000001</v>
      </c>
    </row>
    <row r="167" spans="1:35">
      <c r="A167" s="265" t="s">
        <v>313</v>
      </c>
      <c r="B167" t="s">
        <v>919</v>
      </c>
      <c r="C167" s="958">
        <f t="shared" si="43"/>
        <v>2.5000000000000001E-2</v>
      </c>
      <c r="D167" s="958">
        <f t="shared" si="43"/>
        <v>2.5000000000000001E-2</v>
      </c>
      <c r="E167" s="958">
        <f t="shared" si="43"/>
        <v>2.5000000000000001E-2</v>
      </c>
      <c r="F167" s="958">
        <f t="shared" si="43"/>
        <v>2.5000000000000001E-2</v>
      </c>
      <c r="G167" s="963">
        <v>2.5000000000000001E-2</v>
      </c>
      <c r="H167" s="963">
        <f t="shared" si="44"/>
        <v>2.717E-2</v>
      </c>
      <c r="I167" s="958">
        <f t="shared" si="49"/>
        <v>2.7479999999999997E-2</v>
      </c>
      <c r="J167" s="963">
        <f t="shared" si="45"/>
        <v>2.7789999999999999E-2</v>
      </c>
      <c r="K167" s="958">
        <f t="shared" si="50"/>
        <v>2.7839200000000001E-2</v>
      </c>
      <c r="L167" s="963">
        <f t="shared" si="46"/>
        <v>2.7888400000000001E-2</v>
      </c>
      <c r="M167" s="963">
        <f t="shared" si="51"/>
        <v>2.6840800000000001E-2</v>
      </c>
      <c r="N167" s="958">
        <f t="shared" si="52"/>
        <v>2.5478167700607124E-2</v>
      </c>
      <c r="O167" s="963">
        <f t="shared" si="53"/>
        <v>2.4115535401214243E-2</v>
      </c>
      <c r="P167" s="958">
        <f t="shared" si="47"/>
        <v>2.4288267700607123E-2</v>
      </c>
      <c r="Q167" s="963">
        <f t="shared" si="48"/>
        <v>2.4461E-2</v>
      </c>
      <c r="R167" s="958">
        <f t="shared" si="47"/>
        <v>2.1230499999999999E-2</v>
      </c>
      <c r="S167" s="966">
        <v>1.7999999999999999E-2</v>
      </c>
      <c r="T167" s="958">
        <f t="shared" si="54"/>
        <v>1.7999999999999999E-2</v>
      </c>
      <c r="U167" s="966">
        <v>1.7999999999999999E-2</v>
      </c>
      <c r="V167" s="860">
        <v>1.6E-2</v>
      </c>
      <c r="W167" s="961">
        <v>1.4E-2</v>
      </c>
      <c r="X167" s="961">
        <v>1.6E-2</v>
      </c>
      <c r="Y167" s="960">
        <f t="shared" ref="Y167:AB176" si="56">X167</f>
        <v>1.6E-2</v>
      </c>
      <c r="Z167" s="960">
        <f t="shared" si="56"/>
        <v>1.6E-2</v>
      </c>
      <c r="AA167" s="960">
        <f t="shared" si="56"/>
        <v>1.6E-2</v>
      </c>
      <c r="AB167" s="960">
        <f t="shared" si="56"/>
        <v>1.6E-2</v>
      </c>
      <c r="AD167" s="499">
        <v>27.169999999999998</v>
      </c>
      <c r="AE167" s="499">
        <v>27.79</v>
      </c>
      <c r="AF167" s="499">
        <v>27.888400000000001</v>
      </c>
      <c r="AG167" s="499">
        <v>26.840800000000002</v>
      </c>
      <c r="AH167" s="499">
        <v>24.115535401214242</v>
      </c>
      <c r="AI167" s="499">
        <v>24.460999999999999</v>
      </c>
    </row>
    <row r="168" spans="1:35">
      <c r="A168" s="265" t="s">
        <v>315</v>
      </c>
      <c r="B168" t="s">
        <v>920</v>
      </c>
      <c r="C168" s="958">
        <f t="shared" si="43"/>
        <v>2.4E-2</v>
      </c>
      <c r="D168" s="958">
        <f t="shared" si="43"/>
        <v>2.4E-2</v>
      </c>
      <c r="E168" s="958">
        <f t="shared" si="43"/>
        <v>2.4E-2</v>
      </c>
      <c r="F168" s="958">
        <f t="shared" si="43"/>
        <v>2.4E-2</v>
      </c>
      <c r="G168" s="963">
        <v>2.4E-2</v>
      </c>
      <c r="H168" s="963">
        <f t="shared" si="44"/>
        <v>2.571E-2</v>
      </c>
      <c r="I168" s="958">
        <f t="shared" si="49"/>
        <v>2.5819999999999999E-2</v>
      </c>
      <c r="J168" s="963">
        <f t="shared" si="45"/>
        <v>2.5929999999999998E-2</v>
      </c>
      <c r="K168" s="958">
        <f t="shared" si="50"/>
        <v>2.5531699999999997E-2</v>
      </c>
      <c r="L168" s="963">
        <f t="shared" si="46"/>
        <v>2.51334E-2</v>
      </c>
      <c r="M168" s="963">
        <f t="shared" si="51"/>
        <v>2.4746899999999999E-2</v>
      </c>
      <c r="N168" s="958">
        <f t="shared" si="52"/>
        <v>2.3206694340935557E-2</v>
      </c>
      <c r="O168" s="963">
        <f t="shared" si="53"/>
        <v>2.1666488681871116E-2</v>
      </c>
      <c r="P168" s="958">
        <f t="shared" si="47"/>
        <v>2.1850244340935555E-2</v>
      </c>
      <c r="Q168" s="963">
        <f t="shared" si="48"/>
        <v>2.2033999999999998E-2</v>
      </c>
      <c r="R168" s="958">
        <f t="shared" si="47"/>
        <v>2.0517000000000001E-2</v>
      </c>
      <c r="S168" s="966">
        <v>1.9E-2</v>
      </c>
      <c r="T168" s="958">
        <f t="shared" si="54"/>
        <v>1.8000000000000002E-2</v>
      </c>
      <c r="U168" s="966">
        <v>1.7000000000000001E-2</v>
      </c>
      <c r="V168" s="860">
        <v>1.4E-2</v>
      </c>
      <c r="W168" s="961">
        <v>1.2E-2</v>
      </c>
      <c r="X168" s="961">
        <v>1.4E-2</v>
      </c>
      <c r="Y168" s="960">
        <f t="shared" si="56"/>
        <v>1.4E-2</v>
      </c>
      <c r="Z168" s="960">
        <f t="shared" si="56"/>
        <v>1.4E-2</v>
      </c>
      <c r="AA168" s="960">
        <f t="shared" si="56"/>
        <v>1.4E-2</v>
      </c>
      <c r="AB168" s="960">
        <f t="shared" si="56"/>
        <v>1.4E-2</v>
      </c>
      <c r="AD168" s="499">
        <v>25.71</v>
      </c>
      <c r="AE168" s="499">
        <v>25.93</v>
      </c>
      <c r="AF168" s="499">
        <v>25.133400000000002</v>
      </c>
      <c r="AG168" s="499">
        <v>24.7469</v>
      </c>
      <c r="AH168" s="499">
        <v>21.666488681871115</v>
      </c>
      <c r="AI168" s="499">
        <v>22.033999999999999</v>
      </c>
    </row>
    <row r="169" spans="1:35">
      <c r="A169" s="265" t="s">
        <v>317</v>
      </c>
      <c r="B169" t="s">
        <v>921</v>
      </c>
      <c r="C169" s="958">
        <f t="shared" si="43"/>
        <v>0.03</v>
      </c>
      <c r="D169" s="958">
        <f t="shared" si="43"/>
        <v>0.03</v>
      </c>
      <c r="E169" s="958">
        <f t="shared" si="43"/>
        <v>0.03</v>
      </c>
      <c r="F169" s="958">
        <f t="shared" si="43"/>
        <v>0.03</v>
      </c>
      <c r="G169" s="963">
        <v>0.03</v>
      </c>
      <c r="H169" s="963">
        <f t="shared" si="44"/>
        <v>2.8750000000000001E-2</v>
      </c>
      <c r="I169" s="958">
        <f t="shared" si="49"/>
        <v>2.8819999999999998E-2</v>
      </c>
      <c r="J169" s="963">
        <f t="shared" si="45"/>
        <v>2.8889999999999999E-2</v>
      </c>
      <c r="K169" s="958">
        <f t="shared" si="50"/>
        <v>2.804015E-2</v>
      </c>
      <c r="L169" s="963">
        <f t="shared" si="46"/>
        <v>2.7190300000000001E-2</v>
      </c>
      <c r="M169" s="963">
        <f t="shared" si="51"/>
        <v>2.9206600000000003E-2</v>
      </c>
      <c r="N169" s="958">
        <f t="shared" si="52"/>
        <v>2.8668048950247764E-2</v>
      </c>
      <c r="O169" s="963">
        <f t="shared" si="53"/>
        <v>2.8129497900495522E-2</v>
      </c>
      <c r="P169" s="958">
        <f t="shared" si="47"/>
        <v>2.6950248950247762E-2</v>
      </c>
      <c r="Q169" s="963">
        <f t="shared" si="48"/>
        <v>2.5771000000000002E-2</v>
      </c>
      <c r="R169" s="958">
        <f t="shared" si="47"/>
        <v>2.2885500000000003E-2</v>
      </c>
      <c r="S169" s="966">
        <v>0.02</v>
      </c>
      <c r="T169" s="958">
        <f t="shared" si="54"/>
        <v>1.9E-2</v>
      </c>
      <c r="U169" s="966">
        <v>1.7999999999999999E-2</v>
      </c>
      <c r="V169" s="860">
        <v>1.7000000000000001E-2</v>
      </c>
      <c r="W169" s="961">
        <v>1.4E-2</v>
      </c>
      <c r="X169" s="961">
        <v>1.6E-2</v>
      </c>
      <c r="Y169" s="960">
        <f t="shared" si="56"/>
        <v>1.6E-2</v>
      </c>
      <c r="Z169" s="960">
        <f t="shared" si="56"/>
        <v>1.6E-2</v>
      </c>
      <c r="AA169" s="960">
        <f t="shared" si="56"/>
        <v>1.6E-2</v>
      </c>
      <c r="AB169" s="960">
        <f t="shared" si="56"/>
        <v>1.6E-2</v>
      </c>
      <c r="AD169" s="499">
        <v>28.75</v>
      </c>
      <c r="AE169" s="499">
        <v>28.89</v>
      </c>
      <c r="AF169" s="499">
        <v>27.190300000000001</v>
      </c>
      <c r="AG169" s="499">
        <v>29.206600000000002</v>
      </c>
      <c r="AH169" s="499">
        <v>28.129497900495522</v>
      </c>
      <c r="AI169" s="499">
        <v>25.771000000000001</v>
      </c>
    </row>
    <row r="170" spans="1:35">
      <c r="A170" s="265" t="s">
        <v>319</v>
      </c>
      <c r="B170" t="s">
        <v>922</v>
      </c>
      <c r="C170" s="958">
        <f t="shared" si="43"/>
        <v>0.03</v>
      </c>
      <c r="D170" s="958">
        <f t="shared" si="43"/>
        <v>0.03</v>
      </c>
      <c r="E170" s="958">
        <f t="shared" si="43"/>
        <v>0.03</v>
      </c>
      <c r="F170" s="958">
        <f t="shared" si="43"/>
        <v>0.03</v>
      </c>
      <c r="G170" s="963">
        <v>0.03</v>
      </c>
      <c r="H170" s="963">
        <f t="shared" si="44"/>
        <v>3.209E-2</v>
      </c>
      <c r="I170" s="958">
        <f t="shared" si="49"/>
        <v>3.0644999999999999E-2</v>
      </c>
      <c r="J170" s="963">
        <f t="shared" si="45"/>
        <v>2.92E-2</v>
      </c>
      <c r="K170" s="958">
        <f t="shared" si="50"/>
        <v>2.9045499999999998E-2</v>
      </c>
      <c r="L170" s="963">
        <f t="shared" si="46"/>
        <v>2.8890999999999997E-2</v>
      </c>
      <c r="M170" s="963">
        <f t="shared" si="51"/>
        <v>2.86235E-2</v>
      </c>
      <c r="N170" s="958">
        <f t="shared" si="52"/>
        <v>2.7883756524214581E-2</v>
      </c>
      <c r="O170" s="963">
        <f t="shared" si="53"/>
        <v>2.7144013048429162E-2</v>
      </c>
      <c r="P170" s="958">
        <f t="shared" si="47"/>
        <v>2.6180506524214581E-2</v>
      </c>
      <c r="Q170" s="963">
        <f t="shared" si="48"/>
        <v>2.5217E-2</v>
      </c>
      <c r="R170" s="958">
        <f t="shared" si="47"/>
        <v>2.3608499999999998E-2</v>
      </c>
      <c r="S170" s="966">
        <v>2.1999999999999999E-2</v>
      </c>
      <c r="T170" s="958">
        <f t="shared" si="54"/>
        <v>1.9999999999999997E-2</v>
      </c>
      <c r="U170" s="966">
        <v>1.7999999999999999E-2</v>
      </c>
      <c r="V170" s="860">
        <v>1.6E-2</v>
      </c>
      <c r="W170" s="961">
        <v>1.4E-2</v>
      </c>
      <c r="X170" s="961">
        <v>1.6E-2</v>
      </c>
      <c r="Y170" s="960">
        <f t="shared" si="56"/>
        <v>1.6E-2</v>
      </c>
      <c r="Z170" s="960">
        <f t="shared" si="56"/>
        <v>1.6E-2</v>
      </c>
      <c r="AA170" s="960">
        <f t="shared" si="56"/>
        <v>1.6E-2</v>
      </c>
      <c r="AB170" s="960">
        <f t="shared" si="56"/>
        <v>1.6E-2</v>
      </c>
      <c r="AD170" s="499">
        <v>32.090000000000003</v>
      </c>
      <c r="AE170" s="500">
        <v>29.2</v>
      </c>
      <c r="AF170" s="500">
        <v>28.890999999999998</v>
      </c>
      <c r="AG170" s="500">
        <v>28.6235</v>
      </c>
      <c r="AH170" s="500">
        <v>27.144013048429162</v>
      </c>
      <c r="AI170" s="500">
        <v>25.216999999999999</v>
      </c>
    </row>
    <row r="171" spans="1:35">
      <c r="A171" s="265" t="s">
        <v>321</v>
      </c>
      <c r="B171" t="s">
        <v>923</v>
      </c>
      <c r="C171" s="958">
        <f t="shared" si="43"/>
        <v>2.3E-2</v>
      </c>
      <c r="D171" s="958">
        <f t="shared" si="43"/>
        <v>2.3E-2</v>
      </c>
      <c r="E171" s="958">
        <f t="shared" si="43"/>
        <v>2.3E-2</v>
      </c>
      <c r="F171" s="958">
        <f t="shared" si="43"/>
        <v>2.3E-2</v>
      </c>
      <c r="G171" s="968">
        <v>2.3E-2</v>
      </c>
      <c r="H171" s="963">
        <f t="shared" si="44"/>
        <v>2.2610000000000002E-2</v>
      </c>
      <c r="I171" s="958">
        <f t="shared" si="49"/>
        <v>2.2515E-2</v>
      </c>
      <c r="J171" s="963">
        <f t="shared" si="45"/>
        <v>2.2420000000000002E-2</v>
      </c>
      <c r="K171" s="958">
        <f t="shared" si="50"/>
        <v>2.2103750000000002E-2</v>
      </c>
      <c r="L171" s="963">
        <f t="shared" si="46"/>
        <v>2.1787500000000001E-2</v>
      </c>
      <c r="M171" s="963">
        <f t="shared" si="51"/>
        <v>2.0850999999999998E-2</v>
      </c>
      <c r="N171" s="958">
        <f t="shared" si="52"/>
        <v>2.0413003435335413E-2</v>
      </c>
      <c r="O171" s="963">
        <f t="shared" si="53"/>
        <v>1.9975006870670831E-2</v>
      </c>
      <c r="P171" s="958">
        <f t="shared" si="47"/>
        <v>1.9832503435335415E-2</v>
      </c>
      <c r="Q171" s="963">
        <f t="shared" si="48"/>
        <v>1.9690000000000003E-2</v>
      </c>
      <c r="R171" s="958">
        <f t="shared" si="47"/>
        <v>1.7344999999999999E-2</v>
      </c>
      <c r="S171" s="966">
        <v>1.4999999999999999E-2</v>
      </c>
      <c r="T171" s="958">
        <f t="shared" si="54"/>
        <v>1.3999999999999999E-2</v>
      </c>
      <c r="U171" s="966">
        <v>1.2999999999999999E-2</v>
      </c>
      <c r="V171" s="860">
        <v>0.01</v>
      </c>
      <c r="W171" s="961">
        <v>8.9999999999999993E-3</v>
      </c>
      <c r="X171" s="961">
        <v>1.2E-2</v>
      </c>
      <c r="Y171" s="960">
        <f t="shared" si="56"/>
        <v>1.2E-2</v>
      </c>
      <c r="Z171" s="960">
        <f t="shared" si="56"/>
        <v>1.2E-2</v>
      </c>
      <c r="AA171" s="960">
        <f t="shared" si="56"/>
        <v>1.2E-2</v>
      </c>
      <c r="AB171" s="960">
        <f t="shared" si="56"/>
        <v>1.2E-2</v>
      </c>
      <c r="AD171" s="499">
        <v>22.610000000000003</v>
      </c>
      <c r="AE171" s="500">
        <v>22.42</v>
      </c>
      <c r="AF171" s="500">
        <v>21.787500000000001</v>
      </c>
      <c r="AG171" s="500">
        <v>20.850999999999999</v>
      </c>
      <c r="AH171" s="500">
        <v>19.975006870670832</v>
      </c>
      <c r="AI171" s="500">
        <v>19.690000000000001</v>
      </c>
    </row>
    <row r="172" spans="1:35">
      <c r="A172" s="265" t="s">
        <v>323</v>
      </c>
      <c r="B172" t="s">
        <v>924</v>
      </c>
      <c r="C172" s="958">
        <f t="shared" si="43"/>
        <v>1.2999999999999999E-2</v>
      </c>
      <c r="D172" s="958">
        <f t="shared" si="43"/>
        <v>1.2999999999999999E-2</v>
      </c>
      <c r="E172" s="958">
        <f t="shared" si="43"/>
        <v>1.2999999999999999E-2</v>
      </c>
      <c r="F172" s="958">
        <f t="shared" si="43"/>
        <v>1.2999999999999999E-2</v>
      </c>
      <c r="G172" s="968">
        <v>1.2999999999999999E-2</v>
      </c>
      <c r="H172" s="963">
        <f t="shared" si="44"/>
        <v>1.171E-2</v>
      </c>
      <c r="I172" s="958">
        <f t="shared" si="49"/>
        <v>1.1429999999999999E-2</v>
      </c>
      <c r="J172" s="963">
        <f t="shared" si="45"/>
        <v>1.115E-2</v>
      </c>
      <c r="K172" s="958">
        <f t="shared" si="50"/>
        <v>1.0902200000000001E-2</v>
      </c>
      <c r="L172" s="963">
        <f t="shared" si="46"/>
        <v>1.0654400000000001E-2</v>
      </c>
      <c r="M172" s="963">
        <f t="shared" si="51"/>
        <v>1.0755800000000001E-2</v>
      </c>
      <c r="N172" s="958">
        <f t="shared" si="52"/>
        <v>1.0681444183638693E-2</v>
      </c>
      <c r="O172" s="963">
        <f t="shared" si="53"/>
        <v>1.0607088367277383E-2</v>
      </c>
      <c r="P172" s="958">
        <f t="shared" si="47"/>
        <v>1.0927044183638691E-2</v>
      </c>
      <c r="Q172" s="963">
        <f t="shared" si="48"/>
        <v>1.1247E-2</v>
      </c>
      <c r="R172" s="958">
        <f t="shared" si="47"/>
        <v>9.1234999999999997E-3</v>
      </c>
      <c r="S172" s="966">
        <v>7.0000000000000001E-3</v>
      </c>
      <c r="T172" s="958">
        <f t="shared" si="54"/>
        <v>7.4999999999999997E-3</v>
      </c>
      <c r="U172" s="966">
        <v>8.0000000000000002E-3</v>
      </c>
      <c r="V172" s="860">
        <v>6.0000000000000001E-3</v>
      </c>
      <c r="W172" s="961">
        <v>4.0000000000000001E-3</v>
      </c>
      <c r="X172" s="961">
        <v>6.0000000000000001E-3</v>
      </c>
      <c r="Y172" s="960">
        <f t="shared" si="56"/>
        <v>6.0000000000000001E-3</v>
      </c>
      <c r="Z172" s="960">
        <f t="shared" si="56"/>
        <v>6.0000000000000001E-3</v>
      </c>
      <c r="AA172" s="960">
        <f t="shared" si="56"/>
        <v>6.0000000000000001E-3</v>
      </c>
      <c r="AB172" s="960">
        <f t="shared" si="56"/>
        <v>6.0000000000000001E-3</v>
      </c>
      <c r="AD172" s="499">
        <v>11.709999999999999</v>
      </c>
      <c r="AE172" s="500">
        <v>11.15</v>
      </c>
      <c r="AF172" s="500">
        <v>10.654400000000001</v>
      </c>
      <c r="AG172" s="500">
        <v>10.755800000000001</v>
      </c>
      <c r="AH172" s="500">
        <v>10.607088367277383</v>
      </c>
      <c r="AI172" s="500">
        <v>11.247</v>
      </c>
    </row>
    <row r="173" spans="1:35">
      <c r="A173" s="265" t="s">
        <v>325</v>
      </c>
      <c r="B173" t="s">
        <v>925</v>
      </c>
      <c r="C173" s="958">
        <f t="shared" si="43"/>
        <v>2.9000000000000001E-2</v>
      </c>
      <c r="D173" s="958">
        <f t="shared" si="43"/>
        <v>2.9000000000000001E-2</v>
      </c>
      <c r="E173" s="958">
        <f t="shared" si="43"/>
        <v>2.9000000000000001E-2</v>
      </c>
      <c r="F173" s="958">
        <f t="shared" si="43"/>
        <v>2.9000000000000001E-2</v>
      </c>
      <c r="G173" s="968">
        <v>2.9000000000000001E-2</v>
      </c>
      <c r="H173" s="963">
        <f t="shared" si="44"/>
        <v>3.0499999999999999E-2</v>
      </c>
      <c r="I173" s="958">
        <f t="shared" si="49"/>
        <v>3.005E-2</v>
      </c>
      <c r="J173" s="963">
        <f t="shared" si="45"/>
        <v>2.9600000000000001E-2</v>
      </c>
      <c r="K173" s="958">
        <f t="shared" si="50"/>
        <v>2.9291250000000001E-2</v>
      </c>
      <c r="L173" s="963">
        <f t="shared" si="46"/>
        <v>2.8982500000000001E-2</v>
      </c>
      <c r="M173" s="963">
        <f t="shared" si="51"/>
        <v>2.9574300000000001E-2</v>
      </c>
      <c r="N173" s="958">
        <f t="shared" si="52"/>
        <v>2.8536707230141387E-2</v>
      </c>
      <c r="O173" s="963">
        <f t="shared" si="53"/>
        <v>2.7499114460282772E-2</v>
      </c>
      <c r="P173" s="958">
        <f t="shared" si="47"/>
        <v>2.8935057230141385E-2</v>
      </c>
      <c r="Q173" s="963">
        <f t="shared" si="48"/>
        <v>3.0370999999999999E-2</v>
      </c>
      <c r="R173" s="958">
        <f t="shared" si="47"/>
        <v>2.8185499999999999E-2</v>
      </c>
      <c r="S173" s="966">
        <v>2.5999999999999999E-2</v>
      </c>
      <c r="T173" s="958">
        <f t="shared" si="54"/>
        <v>2.6499999999999999E-2</v>
      </c>
      <c r="U173" s="966">
        <v>2.7E-2</v>
      </c>
      <c r="V173" s="860">
        <v>2.5000000000000001E-2</v>
      </c>
      <c r="W173" s="961">
        <v>2.3E-2</v>
      </c>
      <c r="X173" s="961">
        <v>2.5000000000000001E-2</v>
      </c>
      <c r="Y173" s="960">
        <f t="shared" si="56"/>
        <v>2.5000000000000001E-2</v>
      </c>
      <c r="Z173" s="960">
        <f t="shared" si="56"/>
        <v>2.5000000000000001E-2</v>
      </c>
      <c r="AA173" s="960">
        <f t="shared" si="56"/>
        <v>2.5000000000000001E-2</v>
      </c>
      <c r="AB173" s="960">
        <f t="shared" si="56"/>
        <v>2.5000000000000001E-2</v>
      </c>
      <c r="AD173" s="499">
        <v>30.5</v>
      </c>
      <c r="AE173" s="499">
        <v>29.6</v>
      </c>
      <c r="AF173" s="499">
        <v>28.982500000000002</v>
      </c>
      <c r="AG173" s="499">
        <v>29.574300000000001</v>
      </c>
      <c r="AH173" s="499">
        <v>27.499114460282772</v>
      </c>
      <c r="AI173" s="499">
        <v>30.370999999999999</v>
      </c>
    </row>
    <row r="174" spans="1:35">
      <c r="A174" s="265" t="s">
        <v>327</v>
      </c>
      <c r="B174" t="s">
        <v>926</v>
      </c>
      <c r="C174" s="958">
        <f t="shared" si="43"/>
        <v>2.5000000000000001E-2</v>
      </c>
      <c r="D174" s="958">
        <f t="shared" si="43"/>
        <v>2.5000000000000001E-2</v>
      </c>
      <c r="E174" s="958">
        <f t="shared" si="43"/>
        <v>2.5000000000000001E-2</v>
      </c>
      <c r="F174" s="958">
        <f t="shared" si="43"/>
        <v>2.5000000000000001E-2</v>
      </c>
      <c r="G174" s="963">
        <v>2.5000000000000001E-2</v>
      </c>
      <c r="H174" s="963">
        <f t="shared" si="44"/>
        <v>2.547E-2</v>
      </c>
      <c r="I174" s="958">
        <f t="shared" si="49"/>
        <v>2.5020000000000001E-2</v>
      </c>
      <c r="J174" s="963">
        <f t="shared" si="45"/>
        <v>2.4570000000000002E-2</v>
      </c>
      <c r="K174" s="958">
        <f t="shared" si="50"/>
        <v>2.2672750000000002E-2</v>
      </c>
      <c r="L174" s="963">
        <f t="shared" si="46"/>
        <v>2.0775500000000002E-2</v>
      </c>
      <c r="M174" s="963">
        <f t="shared" si="51"/>
        <v>2.0887899999999997E-2</v>
      </c>
      <c r="N174" s="958">
        <f t="shared" si="52"/>
        <v>1.8187855309150097E-2</v>
      </c>
      <c r="O174" s="963">
        <f t="shared" si="53"/>
        <v>1.5487810618300199E-2</v>
      </c>
      <c r="P174" s="958">
        <f t="shared" si="47"/>
        <v>1.5406405309150099E-2</v>
      </c>
      <c r="Q174" s="963">
        <f t="shared" si="48"/>
        <v>1.5325E-2</v>
      </c>
      <c r="R174" s="958">
        <f t="shared" si="47"/>
        <v>1.41625E-2</v>
      </c>
      <c r="S174" s="966">
        <v>1.2999999999999999E-2</v>
      </c>
      <c r="T174" s="958">
        <f t="shared" si="54"/>
        <v>1.2500000000000001E-2</v>
      </c>
      <c r="U174" s="966">
        <v>1.2E-2</v>
      </c>
      <c r="V174" s="860">
        <v>0.01</v>
      </c>
      <c r="W174" s="961">
        <v>8.9999999999999993E-3</v>
      </c>
      <c r="X174" s="961">
        <v>0.01</v>
      </c>
      <c r="Y174" s="960">
        <f t="shared" si="56"/>
        <v>0.01</v>
      </c>
      <c r="Z174" s="960">
        <f t="shared" si="56"/>
        <v>0.01</v>
      </c>
      <c r="AA174" s="960">
        <f t="shared" si="56"/>
        <v>0.01</v>
      </c>
      <c r="AB174" s="960">
        <f t="shared" si="56"/>
        <v>0.01</v>
      </c>
      <c r="AD174" s="499">
        <v>25.47</v>
      </c>
      <c r="AE174" s="500">
        <v>24.57</v>
      </c>
      <c r="AF174" s="500">
        <v>20.775500000000001</v>
      </c>
      <c r="AG174" s="500">
        <v>20.887899999999998</v>
      </c>
      <c r="AH174" s="500">
        <v>15.487810618300198</v>
      </c>
      <c r="AI174" s="500">
        <v>15.324999999999999</v>
      </c>
    </row>
    <row r="175" spans="1:35">
      <c r="A175" s="265" t="s">
        <v>329</v>
      </c>
      <c r="B175" t="s">
        <v>927</v>
      </c>
      <c r="C175" s="958">
        <f t="shared" si="43"/>
        <v>2.4E-2</v>
      </c>
      <c r="D175" s="958">
        <f t="shared" si="43"/>
        <v>2.4E-2</v>
      </c>
      <c r="E175" s="958">
        <f t="shared" si="43"/>
        <v>2.4E-2</v>
      </c>
      <c r="F175" s="958">
        <f t="shared" si="43"/>
        <v>2.4E-2</v>
      </c>
      <c r="G175" s="968">
        <v>2.4E-2</v>
      </c>
      <c r="H175" s="963">
        <f t="shared" si="44"/>
        <v>2.564E-2</v>
      </c>
      <c r="I175" s="958">
        <f t="shared" si="49"/>
        <v>2.5559999999999999E-2</v>
      </c>
      <c r="J175" s="963">
        <f t="shared" si="45"/>
        <v>2.5479999999999999E-2</v>
      </c>
      <c r="K175" s="958">
        <f t="shared" si="50"/>
        <v>2.3783200000000001E-2</v>
      </c>
      <c r="L175" s="963">
        <f t="shared" si="46"/>
        <v>2.2086400000000003E-2</v>
      </c>
      <c r="M175" s="963">
        <f t="shared" si="51"/>
        <v>2.24122E-2</v>
      </c>
      <c r="N175" s="958">
        <f t="shared" si="52"/>
        <v>2.1598133054585439E-2</v>
      </c>
      <c r="O175" s="963">
        <f t="shared" si="53"/>
        <v>2.0784066109170881E-2</v>
      </c>
      <c r="P175" s="958">
        <f t="shared" si="47"/>
        <v>2.0489033054585441E-2</v>
      </c>
      <c r="Q175" s="963">
        <f t="shared" si="48"/>
        <v>2.0194E-2</v>
      </c>
      <c r="R175" s="958">
        <f t="shared" si="47"/>
        <v>1.8597000000000002E-2</v>
      </c>
      <c r="S175" s="966">
        <v>1.7000000000000001E-2</v>
      </c>
      <c r="T175" s="958">
        <f t="shared" si="54"/>
        <v>1.55E-2</v>
      </c>
      <c r="U175" s="966">
        <v>1.4E-2</v>
      </c>
      <c r="V175" s="860">
        <v>1.2999999999999999E-2</v>
      </c>
      <c r="W175" s="961">
        <v>1.0999999999999999E-2</v>
      </c>
      <c r="X175" s="961">
        <v>1.2999999999999999E-2</v>
      </c>
      <c r="Y175" s="960">
        <f t="shared" si="56"/>
        <v>1.2999999999999999E-2</v>
      </c>
      <c r="Z175" s="960">
        <f t="shared" si="56"/>
        <v>1.2999999999999999E-2</v>
      </c>
      <c r="AA175" s="960">
        <f t="shared" si="56"/>
        <v>1.2999999999999999E-2</v>
      </c>
      <c r="AB175" s="960">
        <f t="shared" si="56"/>
        <v>1.2999999999999999E-2</v>
      </c>
      <c r="AD175" s="499">
        <v>25.64</v>
      </c>
      <c r="AE175" s="500">
        <v>25.48</v>
      </c>
      <c r="AF175" s="500">
        <v>22.086400000000001</v>
      </c>
      <c r="AG175" s="500">
        <v>22.412199999999999</v>
      </c>
      <c r="AH175" s="500">
        <v>20.78406610917088</v>
      </c>
      <c r="AI175" s="500">
        <v>20.193999999999999</v>
      </c>
    </row>
    <row r="176" spans="1:35">
      <c r="A176" s="265" t="s">
        <v>331</v>
      </c>
      <c r="B176" t="s">
        <v>928</v>
      </c>
      <c r="C176" s="958">
        <f t="shared" si="43"/>
        <v>1.9E-2</v>
      </c>
      <c r="D176" s="958">
        <f t="shared" si="43"/>
        <v>1.9E-2</v>
      </c>
      <c r="E176" s="958">
        <f t="shared" si="43"/>
        <v>1.9E-2</v>
      </c>
      <c r="F176" s="958">
        <f t="shared" si="43"/>
        <v>1.9E-2</v>
      </c>
      <c r="G176" s="968">
        <v>1.9E-2</v>
      </c>
      <c r="H176" s="963">
        <f t="shared" si="44"/>
        <v>1.9789999999999999E-2</v>
      </c>
      <c r="I176" s="958">
        <f t="shared" si="49"/>
        <v>1.9435000000000001E-2</v>
      </c>
      <c r="J176" s="963">
        <f t="shared" si="45"/>
        <v>1.908E-2</v>
      </c>
      <c r="K176" s="958">
        <f t="shared" si="50"/>
        <v>1.8263399999999999E-2</v>
      </c>
      <c r="L176" s="963">
        <f t="shared" si="46"/>
        <v>1.7446799999999998E-2</v>
      </c>
      <c r="M176" s="963">
        <f t="shared" si="51"/>
        <v>1.7640400000000001E-2</v>
      </c>
      <c r="N176" s="958">
        <f t="shared" si="52"/>
        <v>1.6119917559908766E-2</v>
      </c>
      <c r="O176" s="963">
        <f t="shared" si="53"/>
        <v>1.4599435119817534E-2</v>
      </c>
      <c r="P176" s="958">
        <f t="shared" si="47"/>
        <v>1.4188217559908766E-2</v>
      </c>
      <c r="Q176" s="963">
        <f t="shared" si="48"/>
        <v>1.3776999999999999E-2</v>
      </c>
      <c r="R176" s="958">
        <f t="shared" si="47"/>
        <v>1.23885E-2</v>
      </c>
      <c r="S176" s="966">
        <v>1.0999999999999999E-2</v>
      </c>
      <c r="T176" s="958">
        <f t="shared" si="54"/>
        <v>9.9999999999999985E-3</v>
      </c>
      <c r="U176" s="966">
        <v>8.9999999999999993E-3</v>
      </c>
      <c r="V176" s="860">
        <v>8.0000000000000002E-3</v>
      </c>
      <c r="W176" s="961">
        <v>7.0000000000000001E-3</v>
      </c>
      <c r="X176" s="961">
        <v>7.0000000000000001E-3</v>
      </c>
      <c r="Y176" s="960">
        <f t="shared" si="56"/>
        <v>7.0000000000000001E-3</v>
      </c>
      <c r="Z176" s="960">
        <f t="shared" si="56"/>
        <v>7.0000000000000001E-3</v>
      </c>
      <c r="AA176" s="960">
        <f t="shared" si="56"/>
        <v>7.0000000000000001E-3</v>
      </c>
      <c r="AB176" s="960">
        <f t="shared" si="56"/>
        <v>7.0000000000000001E-3</v>
      </c>
      <c r="AD176" s="499">
        <v>19.79</v>
      </c>
      <c r="AE176" s="500">
        <v>19.079999999999998</v>
      </c>
      <c r="AF176" s="500">
        <v>17.4468</v>
      </c>
      <c r="AG176" s="500">
        <v>17.6404</v>
      </c>
      <c r="AH176" s="500">
        <v>14.599435119817533</v>
      </c>
      <c r="AI176" s="500">
        <v>13.776999999999999</v>
      </c>
    </row>
    <row r="177" spans="1:22">
      <c r="B177" s="443"/>
      <c r="C177" s="443"/>
      <c r="D177" s="443"/>
      <c r="E177" s="443"/>
      <c r="F177" s="443"/>
      <c r="G177" s="443"/>
      <c r="H177" s="443"/>
      <c r="I177" s="443"/>
      <c r="J177" s="443"/>
      <c r="K177" s="443"/>
      <c r="L177" s="443"/>
      <c r="M177" s="443"/>
      <c r="N177" s="443"/>
      <c r="O177" s="443"/>
      <c r="P177" s="443"/>
      <c r="Q177" s="443"/>
      <c r="R177" s="443"/>
      <c r="S177" s="443"/>
      <c r="T177" s="443"/>
      <c r="U177" s="443"/>
      <c r="V177" s="443"/>
    </row>
    <row r="178" spans="1:22">
      <c r="A178" s="286" t="s">
        <v>933</v>
      </c>
      <c r="B178" s="443"/>
      <c r="C178" s="443"/>
      <c r="D178" s="443"/>
      <c r="E178" s="443"/>
      <c r="F178" s="443"/>
      <c r="G178" s="443"/>
      <c r="H178" s="443"/>
      <c r="I178" s="443"/>
      <c r="J178" s="443"/>
      <c r="K178" s="443"/>
      <c r="L178" s="443"/>
      <c r="M178" s="443"/>
      <c r="N178" s="443"/>
      <c r="O178" s="443"/>
      <c r="P178" s="443"/>
      <c r="Q178" s="443"/>
      <c r="R178" s="443"/>
      <c r="S178" s="443"/>
      <c r="T178" s="443"/>
      <c r="U178" s="443"/>
      <c r="V178" s="443"/>
    </row>
    <row r="179" spans="1:22">
      <c r="A179" s="1116" t="s">
        <v>934</v>
      </c>
      <c r="B179" s="1036"/>
      <c r="C179" s="1036"/>
      <c r="D179" s="1036"/>
      <c r="E179" s="1036"/>
      <c r="F179" s="1036"/>
      <c r="G179" s="1036"/>
      <c r="H179" s="1036"/>
      <c r="I179" s="1036"/>
      <c r="J179" s="1036"/>
      <c r="K179" s="1036"/>
      <c r="L179" s="1036"/>
      <c r="M179" s="1036"/>
      <c r="N179" s="1036"/>
      <c r="O179" s="1036"/>
      <c r="P179" s="1036"/>
      <c r="Q179" s="443"/>
      <c r="R179" s="443"/>
      <c r="S179" s="443"/>
      <c r="T179" s="443"/>
      <c r="U179" s="443"/>
      <c r="V179" s="443"/>
    </row>
    <row r="180" spans="1:22">
      <c r="A180" s="286" t="s">
        <v>935</v>
      </c>
      <c r="B180" s="443"/>
      <c r="C180" s="443"/>
      <c r="D180" s="443"/>
      <c r="E180" s="443"/>
      <c r="F180" s="443"/>
      <c r="G180" s="443"/>
      <c r="H180" s="443"/>
      <c r="I180" s="443"/>
      <c r="J180" s="443"/>
      <c r="K180" s="443"/>
      <c r="L180" s="443"/>
      <c r="M180" s="443"/>
      <c r="N180" s="443"/>
      <c r="O180" s="443"/>
      <c r="P180" s="443"/>
      <c r="Q180" s="443"/>
      <c r="R180" s="443"/>
      <c r="S180" s="443"/>
      <c r="T180" s="443"/>
      <c r="U180" s="443"/>
      <c r="V180" s="443"/>
    </row>
    <row r="182" spans="1:22" s="11" customFormat="1">
      <c r="A182" s="267" t="s">
        <v>936</v>
      </c>
    </row>
    <row r="184" spans="1:22" ht="16.5">
      <c r="A184" s="436" t="s">
        <v>937</v>
      </c>
    </row>
    <row r="186" spans="1:22" ht="16.5">
      <c r="B186" s="501" t="s">
        <v>938</v>
      </c>
      <c r="C186" s="5"/>
      <c r="D186" s="5"/>
      <c r="E186" s="5"/>
      <c r="F186" s="5"/>
    </row>
    <row r="187" spans="1:22" ht="29">
      <c r="A187" s="502" t="s">
        <v>939</v>
      </c>
      <c r="B187" s="969" t="s">
        <v>253</v>
      </c>
      <c r="C187" s="969" t="s">
        <v>940</v>
      </c>
      <c r="D187" s="969" t="s">
        <v>941</v>
      </c>
      <c r="E187" s="969" t="s">
        <v>942</v>
      </c>
    </row>
    <row r="188" spans="1:22">
      <c r="A188" s="503" t="s">
        <v>175</v>
      </c>
      <c r="B188" s="970">
        <f>C188+D188</f>
        <v>8.7799999999999994</v>
      </c>
      <c r="C188" s="971"/>
      <c r="D188" s="971">
        <v>8.7799999999999994</v>
      </c>
      <c r="E188" s="942">
        <f>5.25/42</f>
        <v>0.125</v>
      </c>
    </row>
    <row r="189" spans="1:22">
      <c r="A189" s="503" t="s">
        <v>172</v>
      </c>
      <c r="B189" s="970">
        <f t="shared" ref="B189:B201" si="57">C189+D189</f>
        <v>10.210000000000001</v>
      </c>
      <c r="C189" s="971"/>
      <c r="D189" s="971">
        <v>10.210000000000001</v>
      </c>
      <c r="E189" s="942">
        <f>5.8/42</f>
        <v>0.1380952380952381</v>
      </c>
    </row>
    <row r="190" spans="1:22">
      <c r="A190" s="503" t="s">
        <v>377</v>
      </c>
      <c r="B190" s="970">
        <f t="shared" si="57"/>
        <v>10.172000000000001</v>
      </c>
      <c r="C190" s="972">
        <f>0.05*C192</f>
        <v>0.47249999999999998</v>
      </c>
      <c r="D190" s="972">
        <f>0.95*D189</f>
        <v>9.6995000000000005</v>
      </c>
      <c r="E190" s="972">
        <f>0.05*$E$192+0.95*$E$189</f>
        <v>0.1375952380952381</v>
      </c>
    </row>
    <row r="191" spans="1:22">
      <c r="A191" s="503" t="s">
        <v>378</v>
      </c>
      <c r="B191" s="970">
        <f t="shared" si="57"/>
        <v>10.058000000000002</v>
      </c>
      <c r="C191" s="972">
        <f>0.2*C192</f>
        <v>1.89</v>
      </c>
      <c r="D191" s="972">
        <f>0.8*D189</f>
        <v>8.168000000000001</v>
      </c>
      <c r="E191" s="972">
        <f>0.2*$E$192+0.8*$E$189</f>
        <v>0.1360952380952381</v>
      </c>
    </row>
    <row r="192" spans="1:22">
      <c r="A192" s="503" t="s">
        <v>943</v>
      </c>
      <c r="B192" s="970">
        <f t="shared" si="57"/>
        <v>9.4499999999999993</v>
      </c>
      <c r="C192" s="971">
        <v>9.4499999999999993</v>
      </c>
      <c r="D192" s="971"/>
      <c r="E192" s="942">
        <f>5.38/42</f>
        <v>0.1280952380952381</v>
      </c>
    </row>
    <row r="193" spans="1:5">
      <c r="A193" s="503" t="s">
        <v>408</v>
      </c>
      <c r="B193" s="970">
        <f t="shared" si="57"/>
        <v>6.2045000000000003</v>
      </c>
      <c r="C193" s="972">
        <f>0.85*C194</f>
        <v>4.8875000000000002</v>
      </c>
      <c r="D193" s="972">
        <f>0.15*D188</f>
        <v>1.3169999999999999</v>
      </c>
      <c r="E193" s="972">
        <f>0.85*$E$194+(1-0.85)*$E$188</f>
        <v>9.0190476190476182E-2</v>
      </c>
    </row>
    <row r="194" spans="1:5">
      <c r="A194" s="503" t="s">
        <v>944</v>
      </c>
      <c r="B194" s="970">
        <f t="shared" si="57"/>
        <v>5.75</v>
      </c>
      <c r="C194" s="971">
        <v>5.75</v>
      </c>
      <c r="D194" s="971"/>
      <c r="E194" s="942">
        <f>3.53/42</f>
        <v>8.4047619047619038E-2</v>
      </c>
    </row>
    <row r="195" spans="1:5">
      <c r="A195" s="503" t="s">
        <v>380</v>
      </c>
      <c r="B195" s="970">
        <f t="shared" si="57"/>
        <v>6.8401800000000001</v>
      </c>
      <c r="C195" s="972"/>
      <c r="D195" s="972">
        <v>6.8401800000000001</v>
      </c>
      <c r="E195" s="972">
        <f>$E$188</f>
        <v>0.125</v>
      </c>
    </row>
    <row r="196" spans="1:5">
      <c r="A196" s="269" t="s">
        <v>383</v>
      </c>
      <c r="B196" s="972">
        <f t="shared" si="57"/>
        <v>4.46</v>
      </c>
      <c r="C196" s="971"/>
      <c r="D196" s="971">
        <v>4.46</v>
      </c>
      <c r="E196" s="942">
        <f>75000*10^-6</f>
        <v>7.4999999999999997E-2</v>
      </c>
    </row>
    <row r="197" spans="1:5">
      <c r="A197" s="269" t="s">
        <v>174</v>
      </c>
      <c r="B197" s="972">
        <f t="shared" si="57"/>
        <v>5.79</v>
      </c>
      <c r="C197" s="971"/>
      <c r="D197" s="971">
        <v>5.79</v>
      </c>
      <c r="E197" s="942">
        <f>3.86/42</f>
        <v>9.1904761904761906E-2</v>
      </c>
    </row>
    <row r="198" spans="1:5">
      <c r="A198" s="269" t="s">
        <v>945</v>
      </c>
      <c r="B198" s="972">
        <f t="shared" si="57"/>
        <v>4.0999999999999996</v>
      </c>
      <c r="C198" s="971"/>
      <c r="D198" s="971">
        <v>4.0999999999999996</v>
      </c>
      <c r="E198" s="942"/>
    </row>
    <row r="199" spans="1:5">
      <c r="A199" s="269" t="s">
        <v>391</v>
      </c>
      <c r="B199" s="972">
        <f t="shared" si="57"/>
        <v>11.8</v>
      </c>
      <c r="C199" s="971"/>
      <c r="D199" s="971">
        <v>11.8</v>
      </c>
      <c r="E199" s="942">
        <f>6.29/42</f>
        <v>0.14976190476190476</v>
      </c>
    </row>
    <row r="200" spans="1:5">
      <c r="A200" s="269" t="s">
        <v>180</v>
      </c>
      <c r="B200" s="972">
        <f t="shared" si="57"/>
        <v>9.57</v>
      </c>
      <c r="C200" s="971"/>
      <c r="D200" s="971">
        <v>9.57</v>
      </c>
      <c r="E200" s="942">
        <f>5.67/42</f>
        <v>0.13500000000000001</v>
      </c>
    </row>
    <row r="201" spans="1:5">
      <c r="A201" s="269" t="s">
        <v>389</v>
      </c>
      <c r="B201" s="972">
        <f t="shared" si="57"/>
        <v>8.31</v>
      </c>
      <c r="C201" s="971"/>
      <c r="D201" s="971">
        <v>8.31</v>
      </c>
      <c r="E201" s="942">
        <f>5.04/42</f>
        <v>0.12</v>
      </c>
    </row>
    <row r="202" spans="1:5">
      <c r="A202" s="269"/>
      <c r="B202" s="802"/>
      <c r="C202" s="803"/>
      <c r="D202" s="803"/>
      <c r="E202" s="211"/>
    </row>
    <row r="203" spans="1:5">
      <c r="A203" s="269"/>
      <c r="B203" s="802"/>
      <c r="C203" s="803"/>
      <c r="D203" s="803"/>
      <c r="E203" s="211"/>
    </row>
    <row r="204" spans="1:5">
      <c r="A204" s="269"/>
      <c r="B204" s="802"/>
      <c r="C204" s="803"/>
      <c r="D204" s="803"/>
      <c r="E204" s="211"/>
    </row>
    <row r="205" spans="1:5">
      <c r="A205" s="269"/>
      <c r="B205" s="802"/>
      <c r="C205" s="803"/>
      <c r="D205" s="803"/>
      <c r="E205" s="211"/>
    </row>
    <row r="207" spans="1:5" s="14" customFormat="1" ht="16.5">
      <c r="A207" s="444" t="s">
        <v>946</v>
      </c>
    </row>
    <row r="208" spans="1:5" s="14" customFormat="1">
      <c r="A208" s="270"/>
    </row>
    <row r="209" spans="1:37" s="14" customFormat="1" ht="30">
      <c r="A209" s="270"/>
      <c r="B209" s="973" t="s">
        <v>947</v>
      </c>
      <c r="C209" s="25" t="s">
        <v>948</v>
      </c>
      <c r="D209" s="26"/>
      <c r="E209" s="26"/>
      <c r="F209" s="26"/>
      <c r="G209" s="26"/>
      <c r="H209" s="446"/>
      <c r="J209" s="15" t="s">
        <v>947</v>
      </c>
      <c r="K209" s="25" t="s">
        <v>949</v>
      </c>
      <c r="L209" s="26"/>
      <c r="M209" s="26"/>
      <c r="N209" s="26"/>
      <c r="O209" s="26"/>
      <c r="P209" s="446"/>
    </row>
    <row r="210" spans="1:37" s="14" customFormat="1">
      <c r="A210" s="270"/>
      <c r="B210" s="16"/>
      <c r="C210" s="880" t="s">
        <v>175</v>
      </c>
      <c r="D210" s="880" t="s">
        <v>175</v>
      </c>
      <c r="E210" s="880" t="s">
        <v>175</v>
      </c>
      <c r="F210" s="880" t="s">
        <v>172</v>
      </c>
      <c r="G210" s="880" t="s">
        <v>172</v>
      </c>
      <c r="H210" s="880" t="s">
        <v>172</v>
      </c>
      <c r="J210" s="16"/>
      <c r="K210" s="880" t="s">
        <v>175</v>
      </c>
      <c r="L210" s="880" t="s">
        <v>175</v>
      </c>
      <c r="M210" s="880" t="s">
        <v>175</v>
      </c>
      <c r="N210" s="880" t="s">
        <v>172</v>
      </c>
      <c r="O210" s="880" t="s">
        <v>172</v>
      </c>
      <c r="P210" s="880" t="s">
        <v>172</v>
      </c>
    </row>
    <row r="211" spans="1:37" s="17" customFormat="1" ht="78">
      <c r="A211" s="447"/>
      <c r="B211" s="448"/>
      <c r="C211" s="875" t="s">
        <v>347</v>
      </c>
      <c r="D211" s="875" t="s">
        <v>364</v>
      </c>
      <c r="E211" s="875" t="s">
        <v>351</v>
      </c>
      <c r="F211" s="875" t="s">
        <v>347</v>
      </c>
      <c r="G211" s="875" t="s">
        <v>364</v>
      </c>
      <c r="H211" s="875" t="s">
        <v>351</v>
      </c>
      <c r="I211" s="18"/>
      <c r="J211" s="19"/>
      <c r="K211" s="875" t="s">
        <v>347</v>
      </c>
      <c r="L211" s="875" t="s">
        <v>364</v>
      </c>
      <c r="M211" s="875" t="s">
        <v>351</v>
      </c>
      <c r="N211" s="875" t="s">
        <v>347</v>
      </c>
      <c r="O211" s="875" t="s">
        <v>364</v>
      </c>
      <c r="P211" s="875" t="s">
        <v>351</v>
      </c>
      <c r="AH211" s="14"/>
      <c r="AI211" s="14"/>
      <c r="AJ211" s="14"/>
      <c r="AK211" s="14"/>
    </row>
    <row r="212" spans="1:37" s="17" customFormat="1" ht="25.5" hidden="1" customHeight="1">
      <c r="A212" s="447"/>
      <c r="B212" s="974"/>
      <c r="C212" s="975" t="str">
        <f t="shared" ref="C212:H212" si="58">C210&amp;C211</f>
        <v>GasolinePassenger Car</v>
      </c>
      <c r="D212" s="975" t="str">
        <f t="shared" si="58"/>
        <v>GasolineLight Truck (Vans, Pickup Trucks, SUVs)</v>
      </c>
      <c r="E212" s="975" t="str">
        <f t="shared" si="58"/>
        <v>GasolineHeavy-Duty Vehicle</v>
      </c>
      <c r="F212" s="975" t="str">
        <f t="shared" si="58"/>
        <v>DieselPassenger Car</v>
      </c>
      <c r="G212" s="975" t="str">
        <f t="shared" si="58"/>
        <v>DieselLight Truck (Vans, Pickup Trucks, SUVs)</v>
      </c>
      <c r="H212" s="975" t="str">
        <f t="shared" si="58"/>
        <v>DieselHeavy-Duty Vehicle</v>
      </c>
      <c r="I212" s="20"/>
      <c r="J212" s="21"/>
      <c r="K212" s="445" t="str">
        <f t="shared" ref="K212:P212" si="59">K210&amp;K211</f>
        <v>GasolinePassenger Car</v>
      </c>
      <c r="L212" s="445" t="str">
        <f t="shared" si="59"/>
        <v>GasolineLight Truck (Vans, Pickup Trucks, SUVs)</v>
      </c>
      <c r="M212" s="445" t="str">
        <f t="shared" si="59"/>
        <v>GasolineHeavy-Duty Vehicle</v>
      </c>
      <c r="N212" s="445" t="str">
        <f t="shared" si="59"/>
        <v>DieselPassenger Car</v>
      </c>
      <c r="O212" s="445" t="str">
        <f t="shared" si="59"/>
        <v>DieselLight Truck (Vans, Pickup Trucks, SUVs)</v>
      </c>
      <c r="P212" s="445" t="str">
        <f t="shared" si="59"/>
        <v>DieselHeavy-Duty Vehicle</v>
      </c>
      <c r="AH212" s="14"/>
      <c r="AI212" s="14"/>
      <c r="AJ212" s="14"/>
      <c r="AK212" s="14"/>
    </row>
    <row r="213" spans="1:37" s="14" customFormat="1">
      <c r="A213" s="270"/>
      <c r="B213" s="876">
        <v>1980</v>
      </c>
      <c r="C213" s="976">
        <v>0.1326</v>
      </c>
      <c r="D213" s="976">
        <v>0.15939999999999999</v>
      </c>
      <c r="E213" s="976">
        <v>0.46039999999999998</v>
      </c>
      <c r="F213" s="976">
        <v>5.9999999999999995E-4</v>
      </c>
      <c r="G213" s="976">
        <v>1.1000000000000001E-3</v>
      </c>
      <c r="H213" s="976">
        <v>5.1000000000000004E-3</v>
      </c>
      <c r="J213" s="876">
        <v>1980</v>
      </c>
      <c r="K213" s="976">
        <v>4.99E-2</v>
      </c>
      <c r="L213" s="976">
        <v>5.5500000000000001E-2</v>
      </c>
      <c r="M213" s="976">
        <v>4.9700000000000001E-2</v>
      </c>
      <c r="N213" s="976">
        <v>1.1999999999999999E-3</v>
      </c>
      <c r="O213" s="976">
        <v>1.6999999999999999E-3</v>
      </c>
      <c r="P213" s="976">
        <v>4.7999999999999996E-3</v>
      </c>
    </row>
    <row r="214" spans="1:37" s="14" customFormat="1">
      <c r="A214" s="270"/>
      <c r="B214" s="876">
        <v>1981</v>
      </c>
      <c r="C214" s="976">
        <v>8.0199999999999994E-2</v>
      </c>
      <c r="D214" s="976">
        <v>0.1479</v>
      </c>
      <c r="E214" s="976">
        <v>0.44919999999999999</v>
      </c>
      <c r="F214" s="976">
        <v>5.9999999999999995E-4</v>
      </c>
      <c r="G214" s="976">
        <v>1.1000000000000001E-3</v>
      </c>
      <c r="H214" s="976">
        <v>5.1000000000000004E-3</v>
      </c>
      <c r="J214" s="876">
        <v>1981</v>
      </c>
      <c r="K214" s="976">
        <v>6.2600000000000003E-2</v>
      </c>
      <c r="L214" s="976">
        <v>6.6000000000000003E-2</v>
      </c>
      <c r="M214" s="976">
        <v>5.3800000000000001E-2</v>
      </c>
      <c r="N214" s="976">
        <v>1.1999999999999999E-3</v>
      </c>
      <c r="O214" s="976">
        <v>1.6999999999999999E-3</v>
      </c>
      <c r="P214" s="976">
        <v>4.7999999999999996E-3</v>
      </c>
    </row>
    <row r="215" spans="1:37" s="14" customFormat="1">
      <c r="A215" s="270"/>
      <c r="B215" s="876">
        <v>1982</v>
      </c>
      <c r="C215" s="976">
        <v>7.9500000000000001E-2</v>
      </c>
      <c r="D215" s="976">
        <v>0.14419999999999999</v>
      </c>
      <c r="E215" s="976">
        <v>0.44919999999999999</v>
      </c>
      <c r="F215" s="976">
        <v>5.9999999999999995E-4</v>
      </c>
      <c r="G215" s="976">
        <v>1.1000000000000001E-3</v>
      </c>
      <c r="H215" s="976">
        <v>5.1000000000000004E-3</v>
      </c>
      <c r="J215" s="876">
        <v>1982</v>
      </c>
      <c r="K215" s="976">
        <v>6.2700000000000006E-2</v>
      </c>
      <c r="L215" s="976">
        <v>6.8099999999999994E-2</v>
      </c>
      <c r="M215" s="976">
        <v>5.3800000000000001E-2</v>
      </c>
      <c r="N215" s="976">
        <v>1.1999999999999999E-3</v>
      </c>
      <c r="O215" s="976">
        <v>1.6999999999999999E-3</v>
      </c>
      <c r="P215" s="976">
        <v>4.7999999999999996E-3</v>
      </c>
    </row>
    <row r="216" spans="1:37" s="14" customFormat="1">
      <c r="A216" s="270"/>
      <c r="B216" s="876">
        <v>1983</v>
      </c>
      <c r="C216" s="976">
        <v>7.8200000000000006E-2</v>
      </c>
      <c r="D216" s="976">
        <v>0.1368</v>
      </c>
      <c r="E216" s="976">
        <v>0.44919999999999999</v>
      </c>
      <c r="F216" s="976">
        <v>5.0000000000000001E-4</v>
      </c>
      <c r="G216" s="976">
        <v>8.9999999999999998E-4</v>
      </c>
      <c r="H216" s="976">
        <v>5.1000000000000004E-3</v>
      </c>
      <c r="J216" s="876">
        <v>1983</v>
      </c>
      <c r="K216" s="976">
        <v>6.3E-2</v>
      </c>
      <c r="L216" s="976">
        <v>7.22E-2</v>
      </c>
      <c r="M216" s="976">
        <v>5.3800000000000001E-2</v>
      </c>
      <c r="N216" s="976">
        <v>1E-3</v>
      </c>
      <c r="O216" s="976">
        <v>1.4E-3</v>
      </c>
      <c r="P216" s="976">
        <v>4.7999999999999996E-3</v>
      </c>
    </row>
    <row r="217" spans="1:37" s="14" customFormat="1">
      <c r="A217" s="270"/>
      <c r="B217" s="876">
        <v>1984</v>
      </c>
      <c r="C217" s="976">
        <v>7.0400000000000004E-2</v>
      </c>
      <c r="D217" s="976">
        <v>0.12939999999999999</v>
      </c>
      <c r="E217" s="976">
        <v>0.44919999999999999</v>
      </c>
      <c r="F217" s="976">
        <v>5.0000000000000001E-4</v>
      </c>
      <c r="G217" s="976">
        <v>8.9999999999999998E-4</v>
      </c>
      <c r="H217" s="976">
        <v>5.1000000000000004E-3</v>
      </c>
      <c r="J217" s="876">
        <v>1984</v>
      </c>
      <c r="K217" s="976">
        <v>6.4699999999999994E-2</v>
      </c>
      <c r="L217" s="976">
        <v>7.6399999999999996E-2</v>
      </c>
      <c r="M217" s="976">
        <v>5.3800000000000001E-2</v>
      </c>
      <c r="N217" s="976">
        <v>1E-3</v>
      </c>
      <c r="O217" s="976">
        <v>1.4E-3</v>
      </c>
      <c r="P217" s="976">
        <v>4.7999999999999996E-3</v>
      </c>
    </row>
    <row r="218" spans="1:37" s="14" customFormat="1">
      <c r="A218" s="270"/>
      <c r="B218" s="876">
        <v>1985</v>
      </c>
      <c r="C218" s="976">
        <v>7.0400000000000004E-2</v>
      </c>
      <c r="D218" s="976">
        <v>0.122</v>
      </c>
      <c r="E218" s="976">
        <v>0.40899999999999997</v>
      </c>
      <c r="F218" s="976">
        <v>5.0000000000000001E-4</v>
      </c>
      <c r="G218" s="976">
        <v>8.9999999999999998E-4</v>
      </c>
      <c r="H218" s="976">
        <v>5.1000000000000004E-3</v>
      </c>
      <c r="J218" s="876">
        <v>1985</v>
      </c>
      <c r="K218" s="976">
        <v>6.4699999999999994E-2</v>
      </c>
      <c r="L218" s="976">
        <v>8.0600000000000005E-2</v>
      </c>
      <c r="M218" s="976">
        <v>5.1499999999999997E-2</v>
      </c>
      <c r="N218" s="976">
        <v>1E-3</v>
      </c>
      <c r="O218" s="976">
        <v>1.4E-3</v>
      </c>
      <c r="P218" s="976">
        <v>4.7999999999999996E-3</v>
      </c>
    </row>
    <row r="219" spans="1:37" s="14" customFormat="1">
      <c r="A219" s="270"/>
      <c r="B219" s="876">
        <v>1986</v>
      </c>
      <c r="C219" s="976">
        <v>7.0400000000000004E-2</v>
      </c>
      <c r="D219" s="976">
        <v>0.11459999999999999</v>
      </c>
      <c r="E219" s="976">
        <v>0.40899999999999997</v>
      </c>
      <c r="F219" s="976">
        <v>5.0000000000000001E-4</v>
      </c>
      <c r="G219" s="976">
        <v>8.9999999999999998E-4</v>
      </c>
      <c r="H219" s="976">
        <v>5.1000000000000004E-3</v>
      </c>
      <c r="J219" s="876">
        <v>1986</v>
      </c>
      <c r="K219" s="976">
        <v>6.4699999999999994E-2</v>
      </c>
      <c r="L219" s="976">
        <v>8.48E-2</v>
      </c>
      <c r="M219" s="976">
        <v>5.1499999999999997E-2</v>
      </c>
      <c r="N219" s="976">
        <v>1E-3</v>
      </c>
      <c r="O219" s="976">
        <v>1.4E-3</v>
      </c>
      <c r="P219" s="976">
        <v>4.7999999999999996E-3</v>
      </c>
    </row>
    <row r="220" spans="1:37" s="14" customFormat="1">
      <c r="A220" s="270"/>
      <c r="B220" s="876">
        <v>1987</v>
      </c>
      <c r="C220" s="976">
        <v>7.0400000000000004E-2</v>
      </c>
      <c r="D220" s="976">
        <v>8.1299999999999997E-2</v>
      </c>
      <c r="E220" s="976">
        <v>0.36749999999999999</v>
      </c>
      <c r="F220" s="976">
        <v>5.0000000000000001E-4</v>
      </c>
      <c r="G220" s="976">
        <v>8.9999999999999998E-4</v>
      </c>
      <c r="H220" s="976">
        <v>5.1000000000000004E-3</v>
      </c>
      <c r="J220" s="876">
        <v>1987</v>
      </c>
      <c r="K220" s="976">
        <v>6.4699999999999994E-2</v>
      </c>
      <c r="L220" s="976">
        <v>0.10349999999999999</v>
      </c>
      <c r="M220" s="976">
        <v>8.4900000000000003E-2</v>
      </c>
      <c r="N220" s="976">
        <v>1E-3</v>
      </c>
      <c r="O220" s="976">
        <v>1.4E-3</v>
      </c>
      <c r="P220" s="976">
        <v>4.7999999999999996E-3</v>
      </c>
    </row>
    <row r="221" spans="1:37" s="14" customFormat="1">
      <c r="A221" s="270"/>
      <c r="B221" s="876">
        <v>1988</v>
      </c>
      <c r="C221" s="976">
        <v>7.0400000000000004E-2</v>
      </c>
      <c r="D221" s="976">
        <v>8.1299999999999997E-2</v>
      </c>
      <c r="E221" s="976">
        <v>0.34920000000000001</v>
      </c>
      <c r="F221" s="976">
        <v>5.0000000000000001E-4</v>
      </c>
      <c r="G221" s="976">
        <v>8.9999999999999998E-4</v>
      </c>
      <c r="H221" s="976">
        <v>5.1000000000000004E-3</v>
      </c>
      <c r="J221" s="876">
        <v>1988</v>
      </c>
      <c r="K221" s="976">
        <v>6.4699999999999994E-2</v>
      </c>
      <c r="L221" s="976">
        <v>0.10349999999999999</v>
      </c>
      <c r="M221" s="976">
        <v>9.3299999999999994E-2</v>
      </c>
      <c r="N221" s="976">
        <v>1E-3</v>
      </c>
      <c r="O221" s="976">
        <v>1.4E-3</v>
      </c>
      <c r="P221" s="976">
        <v>4.7999999999999996E-3</v>
      </c>
    </row>
    <row r="222" spans="1:37" s="14" customFormat="1">
      <c r="A222" s="270"/>
      <c r="B222" s="876">
        <v>1989</v>
      </c>
      <c r="C222" s="976">
        <v>7.0400000000000004E-2</v>
      </c>
      <c r="D222" s="976">
        <v>8.1299999999999997E-2</v>
      </c>
      <c r="E222" s="976">
        <v>0.34920000000000001</v>
      </c>
      <c r="F222" s="976">
        <v>5.0000000000000001E-4</v>
      </c>
      <c r="G222" s="976">
        <v>8.9999999999999998E-4</v>
      </c>
      <c r="H222" s="976">
        <v>5.1000000000000004E-3</v>
      </c>
      <c r="J222" s="876">
        <v>1989</v>
      </c>
      <c r="K222" s="976">
        <v>6.4699999999999994E-2</v>
      </c>
      <c r="L222" s="976">
        <v>0.10349999999999999</v>
      </c>
      <c r="M222" s="976">
        <v>9.3299999999999994E-2</v>
      </c>
      <c r="N222" s="976">
        <v>1E-3</v>
      </c>
      <c r="O222" s="976">
        <v>1.4E-3</v>
      </c>
      <c r="P222" s="976">
        <v>4.7999999999999996E-3</v>
      </c>
    </row>
    <row r="223" spans="1:37" s="14" customFormat="1">
      <c r="A223" s="270"/>
      <c r="B223" s="876">
        <v>1990</v>
      </c>
      <c r="C223" s="976">
        <v>7.0400000000000004E-2</v>
      </c>
      <c r="D223" s="976">
        <v>8.1299999999999997E-2</v>
      </c>
      <c r="E223" s="976">
        <v>0.3246</v>
      </c>
      <c r="F223" s="976">
        <v>5.0000000000000001E-4</v>
      </c>
      <c r="G223" s="976">
        <v>8.9999999999999998E-4</v>
      </c>
      <c r="H223" s="976">
        <v>5.1000000000000004E-3</v>
      </c>
      <c r="J223" s="876">
        <v>1990</v>
      </c>
      <c r="K223" s="976">
        <v>6.4699999999999994E-2</v>
      </c>
      <c r="L223" s="976">
        <v>0.10349999999999999</v>
      </c>
      <c r="M223" s="976">
        <v>0.1142</v>
      </c>
      <c r="N223" s="976">
        <v>1E-3</v>
      </c>
      <c r="O223" s="976">
        <v>1.4E-3</v>
      </c>
      <c r="P223" s="976">
        <v>4.7999999999999996E-3</v>
      </c>
    </row>
    <row r="224" spans="1:37" s="14" customFormat="1">
      <c r="A224" s="270"/>
      <c r="B224" s="876">
        <v>1991</v>
      </c>
      <c r="C224" s="976">
        <v>7.0400000000000004E-2</v>
      </c>
      <c r="D224" s="976">
        <v>8.1299999999999997E-2</v>
      </c>
      <c r="E224" s="976">
        <v>0.3246</v>
      </c>
      <c r="F224" s="976">
        <v>5.0000000000000001E-4</v>
      </c>
      <c r="G224" s="976">
        <v>8.9999999999999998E-4</v>
      </c>
      <c r="H224" s="976">
        <v>5.1000000000000004E-3</v>
      </c>
      <c r="J224" s="876">
        <v>1991</v>
      </c>
      <c r="K224" s="976">
        <v>6.4699999999999994E-2</v>
      </c>
      <c r="L224" s="976">
        <v>0.10349999999999999</v>
      </c>
      <c r="M224" s="976">
        <v>0.1142</v>
      </c>
      <c r="N224" s="976">
        <v>1E-3</v>
      </c>
      <c r="O224" s="976">
        <v>1.4E-3</v>
      </c>
      <c r="P224" s="976">
        <v>4.7999999999999996E-3</v>
      </c>
    </row>
    <row r="225" spans="1:16" s="14" customFormat="1">
      <c r="A225" s="270"/>
      <c r="B225" s="876">
        <v>1992</v>
      </c>
      <c r="C225" s="976">
        <v>7.0400000000000004E-2</v>
      </c>
      <c r="D225" s="976">
        <v>8.1299999999999997E-2</v>
      </c>
      <c r="E225" s="976">
        <v>0.3246</v>
      </c>
      <c r="F225" s="976">
        <v>5.0000000000000001E-4</v>
      </c>
      <c r="G225" s="976">
        <v>8.9999999999999998E-4</v>
      </c>
      <c r="H225" s="976">
        <v>5.1000000000000004E-3</v>
      </c>
      <c r="J225" s="876">
        <v>1992</v>
      </c>
      <c r="K225" s="976">
        <v>6.4699999999999994E-2</v>
      </c>
      <c r="L225" s="976">
        <v>0.10349999999999999</v>
      </c>
      <c r="M225" s="976">
        <v>0.1142</v>
      </c>
      <c r="N225" s="976">
        <v>1E-3</v>
      </c>
      <c r="O225" s="976">
        <v>1.4E-3</v>
      </c>
      <c r="P225" s="976">
        <v>4.7999999999999996E-3</v>
      </c>
    </row>
    <row r="226" spans="1:16" s="14" customFormat="1">
      <c r="A226" s="270"/>
      <c r="B226" s="876">
        <v>1993</v>
      </c>
      <c r="C226" s="976">
        <v>7.0400000000000004E-2</v>
      </c>
      <c r="D226" s="976">
        <v>8.1299999999999997E-2</v>
      </c>
      <c r="E226" s="976">
        <v>0.3246</v>
      </c>
      <c r="F226" s="976">
        <v>5.0000000000000001E-4</v>
      </c>
      <c r="G226" s="976">
        <v>8.9999999999999998E-4</v>
      </c>
      <c r="H226" s="976">
        <v>5.1000000000000004E-3</v>
      </c>
      <c r="J226" s="876">
        <v>1993</v>
      </c>
      <c r="K226" s="976">
        <v>6.4699999999999994E-2</v>
      </c>
      <c r="L226" s="976">
        <v>0.10349999999999999</v>
      </c>
      <c r="M226" s="976">
        <v>0.1142</v>
      </c>
      <c r="N226" s="976">
        <v>1E-3</v>
      </c>
      <c r="O226" s="976">
        <v>1.4E-3</v>
      </c>
      <c r="P226" s="976">
        <v>4.7999999999999996E-3</v>
      </c>
    </row>
    <row r="227" spans="1:16" s="14" customFormat="1">
      <c r="A227" s="270"/>
      <c r="B227" s="876">
        <v>1994</v>
      </c>
      <c r="C227" s="976">
        <v>6.1699999999999998E-2</v>
      </c>
      <c r="D227" s="976">
        <v>6.4600000000000005E-2</v>
      </c>
      <c r="E227" s="976">
        <v>0.3246</v>
      </c>
      <c r="F227" s="976">
        <v>5.0000000000000001E-4</v>
      </c>
      <c r="G227" s="976">
        <v>8.9999999999999998E-4</v>
      </c>
      <c r="H227" s="976">
        <v>5.1000000000000004E-3</v>
      </c>
      <c r="J227" s="876">
        <v>1994</v>
      </c>
      <c r="K227" s="976">
        <v>6.0299999999999999E-2</v>
      </c>
      <c r="L227" s="976">
        <v>6.4600000000000005E-2</v>
      </c>
      <c r="M227" s="976">
        <v>0.1142</v>
      </c>
      <c r="N227" s="976">
        <v>1E-3</v>
      </c>
      <c r="O227" s="976">
        <v>1.4E-3</v>
      </c>
      <c r="P227" s="976">
        <v>4.7999999999999996E-3</v>
      </c>
    </row>
    <row r="228" spans="1:16" s="14" customFormat="1">
      <c r="A228" s="270"/>
      <c r="B228" s="876">
        <v>1995</v>
      </c>
      <c r="C228" s="976">
        <v>5.3100000000000001E-2</v>
      </c>
      <c r="D228" s="976">
        <v>5.1700000000000003E-2</v>
      </c>
      <c r="E228" s="976">
        <v>0.3246</v>
      </c>
      <c r="F228" s="976">
        <v>5.0000000000000001E-4</v>
      </c>
      <c r="G228" s="976">
        <v>8.9999999999999998E-4</v>
      </c>
      <c r="H228" s="976">
        <v>5.1000000000000004E-3</v>
      </c>
      <c r="J228" s="876">
        <v>1995</v>
      </c>
      <c r="K228" s="976">
        <v>5.6000000000000001E-2</v>
      </c>
      <c r="L228" s="976">
        <v>5.1700000000000003E-2</v>
      </c>
      <c r="M228" s="976">
        <v>0.1142</v>
      </c>
      <c r="N228" s="976">
        <v>1E-3</v>
      </c>
      <c r="O228" s="976">
        <v>1.4E-3</v>
      </c>
      <c r="P228" s="976">
        <v>4.7999999999999996E-3</v>
      </c>
    </row>
    <row r="229" spans="1:16" s="14" customFormat="1">
      <c r="A229" s="270"/>
      <c r="B229" s="876">
        <v>1996</v>
      </c>
      <c r="C229" s="976">
        <v>4.3400000000000001E-2</v>
      </c>
      <c r="D229" s="976">
        <v>4.5199999999999997E-2</v>
      </c>
      <c r="E229" s="976">
        <v>0.1278</v>
      </c>
      <c r="F229" s="976">
        <v>5.0000000000000001E-4</v>
      </c>
      <c r="G229" s="976">
        <v>8.9999999999999998E-4</v>
      </c>
      <c r="H229" s="976">
        <v>5.1000000000000004E-3</v>
      </c>
      <c r="J229" s="876">
        <v>1996</v>
      </c>
      <c r="K229" s="976">
        <v>5.0299999999999997E-2</v>
      </c>
      <c r="L229" s="976">
        <v>4.5199999999999997E-2</v>
      </c>
      <c r="M229" s="876">
        <v>0.16800000000000001</v>
      </c>
      <c r="N229" s="976">
        <v>1E-3</v>
      </c>
      <c r="O229" s="976">
        <v>1.4E-3</v>
      </c>
      <c r="P229" s="976">
        <v>4.7999999999999996E-3</v>
      </c>
    </row>
    <row r="230" spans="1:16" s="14" customFormat="1">
      <c r="A230" s="270"/>
      <c r="B230" s="876">
        <v>1997</v>
      </c>
      <c r="C230" s="976">
        <v>3.3700000000000001E-2</v>
      </c>
      <c r="D230" s="976">
        <v>4.5199999999999997E-2</v>
      </c>
      <c r="E230" s="976">
        <v>9.2399999999999996E-2</v>
      </c>
      <c r="F230" s="976">
        <v>5.0000000000000001E-4</v>
      </c>
      <c r="G230" s="976">
        <v>8.9999999999999998E-4</v>
      </c>
      <c r="H230" s="976">
        <v>5.1000000000000004E-3</v>
      </c>
      <c r="J230" s="876">
        <v>1997</v>
      </c>
      <c r="K230" s="976">
        <v>4.4600000000000001E-2</v>
      </c>
      <c r="L230" s="976">
        <v>4.5199999999999997E-2</v>
      </c>
      <c r="M230" s="876">
        <v>0.1726</v>
      </c>
      <c r="N230" s="976">
        <v>1E-3</v>
      </c>
      <c r="O230" s="976">
        <v>1.4E-3</v>
      </c>
      <c r="P230" s="976">
        <v>4.7999999999999996E-3</v>
      </c>
    </row>
    <row r="231" spans="1:16" s="14" customFormat="1">
      <c r="A231" s="270"/>
      <c r="B231" s="876">
        <v>1998</v>
      </c>
      <c r="C231" s="976">
        <v>2.4E-2</v>
      </c>
      <c r="D231" s="976">
        <v>4.1200000000000001E-2</v>
      </c>
      <c r="E231" s="976">
        <v>6.5500000000000003E-2</v>
      </c>
      <c r="F231" s="976">
        <v>5.0000000000000001E-4</v>
      </c>
      <c r="G231" s="976">
        <v>8.9999999999999998E-4</v>
      </c>
      <c r="H231" s="976">
        <v>5.1000000000000004E-3</v>
      </c>
      <c r="J231" s="876">
        <v>1998</v>
      </c>
      <c r="K231" s="976">
        <v>3.8899999999999997E-2</v>
      </c>
      <c r="L231" s="976">
        <v>4.1200000000000001E-2</v>
      </c>
      <c r="M231" s="876">
        <v>0.17499999999999999</v>
      </c>
      <c r="N231" s="976">
        <v>1E-3</v>
      </c>
      <c r="O231" s="976">
        <v>1.4E-3</v>
      </c>
      <c r="P231" s="976">
        <v>4.7999999999999996E-3</v>
      </c>
    </row>
    <row r="232" spans="1:16" s="14" customFormat="1">
      <c r="A232" s="270"/>
      <c r="B232" s="876">
        <v>1999</v>
      </c>
      <c r="C232" s="976">
        <v>2.1499999999999998E-2</v>
      </c>
      <c r="D232" s="976">
        <v>3.3300000000000003E-2</v>
      </c>
      <c r="E232" s="976">
        <v>6.4799999999999996E-2</v>
      </c>
      <c r="F232" s="976">
        <v>5.0000000000000001E-4</v>
      </c>
      <c r="G232" s="976">
        <v>8.9999999999999998E-4</v>
      </c>
      <c r="H232" s="976">
        <v>5.1000000000000004E-3</v>
      </c>
      <c r="J232" s="876">
        <v>1999</v>
      </c>
      <c r="K232" s="976">
        <v>3.5499999999999997E-2</v>
      </c>
      <c r="L232" s="976">
        <v>3.3300000000000003E-2</v>
      </c>
      <c r="M232" s="876">
        <v>0.1724</v>
      </c>
      <c r="N232" s="976">
        <v>1E-3</v>
      </c>
      <c r="O232" s="976">
        <v>1.4E-3</v>
      </c>
      <c r="P232" s="976">
        <v>4.7999999999999996E-3</v>
      </c>
    </row>
    <row r="233" spans="1:16" s="14" customFormat="1">
      <c r="A233" s="270"/>
      <c r="B233" s="876">
        <v>2000</v>
      </c>
      <c r="C233" s="976">
        <v>1.7500000000000002E-2</v>
      </c>
      <c r="D233" s="976">
        <v>3.4000000000000002E-2</v>
      </c>
      <c r="E233" s="976">
        <v>6.3E-2</v>
      </c>
      <c r="F233" s="976">
        <v>5.0000000000000001E-4</v>
      </c>
      <c r="G233" s="976">
        <v>8.9999999999999998E-4</v>
      </c>
      <c r="H233" s="976">
        <v>5.1000000000000004E-3</v>
      </c>
      <c r="J233" s="876">
        <v>2000</v>
      </c>
      <c r="K233" s="976">
        <v>3.04E-2</v>
      </c>
      <c r="L233" s="976">
        <v>3.4000000000000002E-2</v>
      </c>
      <c r="M233" s="876">
        <v>0.16600000000000001</v>
      </c>
      <c r="N233" s="976">
        <v>1E-3</v>
      </c>
      <c r="O233" s="976">
        <v>1.4E-3</v>
      </c>
      <c r="P233" s="976">
        <v>4.7999999999999996E-3</v>
      </c>
    </row>
    <row r="234" spans="1:16" s="14" customFormat="1">
      <c r="A234" s="270"/>
      <c r="B234" s="876">
        <v>2001</v>
      </c>
      <c r="C234" s="976">
        <v>1.0500000000000001E-2</v>
      </c>
      <c r="D234" s="976">
        <v>2.2100000000000002E-2</v>
      </c>
      <c r="E234" s="976">
        <v>5.7700000000000001E-2</v>
      </c>
      <c r="F234" s="976">
        <v>5.0000000000000001E-4</v>
      </c>
      <c r="G234" s="976">
        <v>8.9999999999999998E-4</v>
      </c>
      <c r="H234" s="976">
        <v>5.1000000000000004E-3</v>
      </c>
      <c r="J234" s="876">
        <v>2001</v>
      </c>
      <c r="K234" s="976">
        <v>2.12E-2</v>
      </c>
      <c r="L234" s="976">
        <v>2.2100000000000002E-2</v>
      </c>
      <c r="M234" s="876">
        <v>0.14680000000000001</v>
      </c>
      <c r="N234" s="976">
        <v>1E-3</v>
      </c>
      <c r="O234" s="976">
        <v>1.4E-3</v>
      </c>
      <c r="P234" s="976">
        <v>4.7999999999999996E-3</v>
      </c>
    </row>
    <row r="235" spans="1:16" s="14" customFormat="1">
      <c r="A235" s="270"/>
      <c r="B235" s="876">
        <v>2002</v>
      </c>
      <c r="C235" s="976">
        <v>1.0200000000000001E-2</v>
      </c>
      <c r="D235" s="976">
        <v>2.4199999999999999E-2</v>
      </c>
      <c r="E235" s="976">
        <v>6.3399999999999998E-2</v>
      </c>
      <c r="F235" s="976">
        <v>5.0000000000000001E-4</v>
      </c>
      <c r="G235" s="976">
        <v>8.9999999999999998E-4</v>
      </c>
      <c r="H235" s="976">
        <v>5.1000000000000004E-3</v>
      </c>
      <c r="J235" s="876">
        <v>2002</v>
      </c>
      <c r="K235" s="976">
        <v>2.07E-2</v>
      </c>
      <c r="L235" s="976">
        <v>2.4199999999999999E-2</v>
      </c>
      <c r="M235" s="876">
        <v>0.1673</v>
      </c>
      <c r="N235" s="976">
        <v>1E-3</v>
      </c>
      <c r="O235" s="976">
        <v>1.4E-3</v>
      </c>
      <c r="P235" s="976">
        <v>4.7999999999999996E-3</v>
      </c>
    </row>
    <row r="236" spans="1:16" s="14" customFormat="1">
      <c r="A236" s="270"/>
      <c r="B236" s="876">
        <v>2003</v>
      </c>
      <c r="C236" s="976">
        <v>9.4999999999999998E-3</v>
      </c>
      <c r="D236" s="976">
        <v>2.2100000000000002E-2</v>
      </c>
      <c r="E236" s="976">
        <v>6.0199999999999997E-2</v>
      </c>
      <c r="F236" s="976">
        <v>5.0000000000000001E-4</v>
      </c>
      <c r="G236" s="976">
        <v>8.9999999999999998E-4</v>
      </c>
      <c r="H236" s="976">
        <v>5.1000000000000004E-3</v>
      </c>
      <c r="J236" s="876">
        <v>2003</v>
      </c>
      <c r="K236" s="976">
        <v>1.8100000000000002E-2</v>
      </c>
      <c r="L236" s="976">
        <v>2.2100000000000002E-2</v>
      </c>
      <c r="M236" s="876">
        <v>0.15529999999999999</v>
      </c>
      <c r="N236" s="976">
        <v>1E-3</v>
      </c>
      <c r="O236" s="976">
        <v>1.4E-3</v>
      </c>
      <c r="P236" s="976">
        <v>4.7999999999999996E-3</v>
      </c>
    </row>
    <row r="237" spans="1:16" s="14" customFormat="1">
      <c r="A237" s="270"/>
      <c r="B237" s="876">
        <v>2004</v>
      </c>
      <c r="C237" s="976">
        <v>7.7999999999999996E-3</v>
      </c>
      <c r="D237" s="976">
        <v>1.15E-2</v>
      </c>
      <c r="E237" s="976">
        <v>2.98E-2</v>
      </c>
      <c r="F237" s="976">
        <v>5.0000000000000001E-4</v>
      </c>
      <c r="G237" s="976">
        <v>8.9999999999999998E-4</v>
      </c>
      <c r="H237" s="976">
        <v>5.1000000000000004E-3</v>
      </c>
      <c r="J237" s="876">
        <v>2004</v>
      </c>
      <c r="K237" s="976">
        <v>8.5000000000000006E-3</v>
      </c>
      <c r="L237" s="976">
        <v>1.15E-2</v>
      </c>
      <c r="M237" s="876">
        <v>1.6400000000000001E-2</v>
      </c>
      <c r="N237" s="976">
        <v>1E-3</v>
      </c>
      <c r="O237" s="976">
        <v>1.4E-3</v>
      </c>
      <c r="P237" s="976">
        <v>4.7999999999999996E-3</v>
      </c>
    </row>
    <row r="238" spans="1:16" s="14" customFormat="1">
      <c r="A238" s="270"/>
      <c r="B238" s="876">
        <v>2005</v>
      </c>
      <c r="C238" s="976">
        <v>7.4999999999999997E-3</v>
      </c>
      <c r="D238" s="976">
        <v>1.0500000000000001E-2</v>
      </c>
      <c r="E238" s="976">
        <v>2.9700000000000001E-2</v>
      </c>
      <c r="F238" s="976">
        <v>5.0000000000000001E-4</v>
      </c>
      <c r="G238" s="976">
        <v>8.9999999999999998E-4</v>
      </c>
      <c r="H238" s="976">
        <v>5.1000000000000004E-3</v>
      </c>
      <c r="J238" s="876">
        <v>2005</v>
      </c>
      <c r="K238" s="976">
        <v>6.7000000000000002E-3</v>
      </c>
      <c r="L238" s="976">
        <v>1.0500000000000001E-2</v>
      </c>
      <c r="M238" s="876">
        <v>8.3000000000000001E-3</v>
      </c>
      <c r="N238" s="976">
        <v>1E-3</v>
      </c>
      <c r="O238" s="976">
        <v>1.4E-3</v>
      </c>
      <c r="P238" s="976">
        <v>4.7999999999999996E-3</v>
      </c>
    </row>
    <row r="239" spans="1:16" s="14" customFormat="1">
      <c r="A239" s="270"/>
      <c r="B239" s="876">
        <v>2006</v>
      </c>
      <c r="C239" s="976">
        <v>7.6E-3</v>
      </c>
      <c r="D239" s="976">
        <v>1.0800000000000001E-2</v>
      </c>
      <c r="E239" s="976">
        <v>2.9899999999999999E-2</v>
      </c>
      <c r="F239" s="976">
        <v>5.0000000000000001E-4</v>
      </c>
      <c r="G239" s="976">
        <v>8.9999999999999998E-4</v>
      </c>
      <c r="H239" s="976">
        <v>5.1000000000000004E-3</v>
      </c>
      <c r="J239" s="876">
        <v>2006</v>
      </c>
      <c r="K239" s="976">
        <v>7.4999999999999997E-3</v>
      </c>
      <c r="L239" s="976">
        <v>1.0800000000000001E-2</v>
      </c>
      <c r="M239" s="876">
        <v>2.41E-2</v>
      </c>
      <c r="N239" s="976">
        <v>1E-3</v>
      </c>
      <c r="O239" s="976">
        <v>1.4E-3</v>
      </c>
      <c r="P239" s="976">
        <v>4.7999999999999996E-3</v>
      </c>
    </row>
    <row r="240" spans="1:16" s="14" customFormat="1">
      <c r="A240" s="270"/>
      <c r="B240" s="876">
        <v>2007</v>
      </c>
      <c r="C240" s="976">
        <v>7.1999999999999998E-3</v>
      </c>
      <c r="D240" s="976">
        <v>1.03E-2</v>
      </c>
      <c r="E240" s="976">
        <v>3.2199999999999999E-2</v>
      </c>
      <c r="F240" s="876">
        <v>3.0200000000000001E-2</v>
      </c>
      <c r="G240" s="876">
        <v>2.9000000000000001E-2</v>
      </c>
      <c r="H240" s="876">
        <v>9.4999999999999998E-3</v>
      </c>
      <c r="J240" s="876">
        <v>2007</v>
      </c>
      <c r="K240" s="976">
        <v>5.1999999999999998E-3</v>
      </c>
      <c r="L240" s="976">
        <v>1.03E-2</v>
      </c>
      <c r="M240" s="876">
        <v>1.5E-3</v>
      </c>
      <c r="N240" s="876">
        <v>1.9199999999999998E-2</v>
      </c>
      <c r="O240" s="876">
        <v>2.1399999999999999E-2</v>
      </c>
      <c r="P240" s="876">
        <v>4.3099999999999999E-2</v>
      </c>
    </row>
    <row r="241" spans="1:16" s="14" customFormat="1">
      <c r="A241" s="270"/>
      <c r="B241" s="876">
        <v>2008</v>
      </c>
      <c r="C241" s="976">
        <v>7.1999999999999998E-3</v>
      </c>
      <c r="D241" s="976">
        <v>9.4999999999999998E-3</v>
      </c>
      <c r="E241" s="976">
        <v>3.4000000000000002E-2</v>
      </c>
      <c r="F241" s="876">
        <v>3.0200000000000001E-2</v>
      </c>
      <c r="G241" s="876">
        <v>2.9000000000000001E-2</v>
      </c>
      <c r="H241" s="876">
        <v>9.4999999999999998E-3</v>
      </c>
      <c r="J241" s="876">
        <v>2008</v>
      </c>
      <c r="K241" s="976">
        <v>4.8999999999999998E-3</v>
      </c>
      <c r="L241" s="976">
        <v>9.4999999999999998E-3</v>
      </c>
      <c r="M241" s="876">
        <v>1.5E-3</v>
      </c>
      <c r="N241" s="876">
        <v>1.9199999999999998E-2</v>
      </c>
      <c r="O241" s="876">
        <v>2.1399999999999999E-2</v>
      </c>
      <c r="P241" s="876">
        <v>4.3099999999999999E-2</v>
      </c>
    </row>
    <row r="242" spans="1:16" s="14" customFormat="1">
      <c r="A242" s="270"/>
      <c r="B242" s="876">
        <v>2009</v>
      </c>
      <c r="C242" s="976">
        <v>7.1000000000000004E-3</v>
      </c>
      <c r="D242" s="976">
        <v>9.4999999999999998E-3</v>
      </c>
      <c r="E242" s="976">
        <v>3.39E-2</v>
      </c>
      <c r="F242" s="876">
        <v>3.0200000000000001E-2</v>
      </c>
      <c r="G242" s="876">
        <v>2.9000000000000001E-2</v>
      </c>
      <c r="H242" s="876">
        <v>9.4999999999999998E-3</v>
      </c>
      <c r="J242" s="876">
        <v>2009</v>
      </c>
      <c r="K242" s="976">
        <v>4.5999999999999999E-3</v>
      </c>
      <c r="L242" s="976">
        <v>9.4999999999999998E-3</v>
      </c>
      <c r="M242" s="876">
        <v>1.5E-3</v>
      </c>
      <c r="N242" s="876">
        <v>1.9199999999999998E-2</v>
      </c>
      <c r="O242" s="876">
        <v>2.1399999999999999E-2</v>
      </c>
      <c r="P242" s="876">
        <v>4.3099999999999999E-2</v>
      </c>
    </row>
    <row r="243" spans="1:16" s="14" customFormat="1">
      <c r="A243" s="270"/>
      <c r="B243" s="876">
        <v>2010</v>
      </c>
      <c r="C243" s="976">
        <v>7.1000000000000004E-3</v>
      </c>
      <c r="D243" s="976">
        <v>9.4999999999999998E-3</v>
      </c>
      <c r="E243" s="976">
        <v>3.2000000000000001E-2</v>
      </c>
      <c r="F243" s="876">
        <v>3.0200000000000001E-2</v>
      </c>
      <c r="G243" s="876">
        <v>2.9000000000000001E-2</v>
      </c>
      <c r="H243" s="876">
        <v>9.4999999999999998E-3</v>
      </c>
      <c r="J243" s="876">
        <v>2010</v>
      </c>
      <c r="K243" s="976">
        <v>4.5999999999999999E-3</v>
      </c>
      <c r="L243" s="976">
        <v>9.4999999999999998E-3</v>
      </c>
      <c r="M243" s="876">
        <v>1.5E-3</v>
      </c>
      <c r="N243" s="876">
        <v>1.9199999999999998E-2</v>
      </c>
      <c r="O243" s="876">
        <v>2.1399999999999999E-2</v>
      </c>
      <c r="P243" s="876">
        <v>4.3099999999999999E-2</v>
      </c>
    </row>
    <row r="244" spans="1:16" s="14" customFormat="1">
      <c r="A244" s="270"/>
      <c r="B244" s="876">
        <v>2011</v>
      </c>
      <c r="C244" s="976">
        <v>7.1000000000000004E-3</v>
      </c>
      <c r="D244" s="976">
        <v>9.5999999999999992E-3</v>
      </c>
      <c r="E244" s="976">
        <v>3.04E-2</v>
      </c>
      <c r="F244" s="876">
        <v>3.0200000000000001E-2</v>
      </c>
      <c r="G244" s="876">
        <v>2.9000000000000001E-2</v>
      </c>
      <c r="H244" s="876">
        <v>9.4999999999999998E-3</v>
      </c>
      <c r="J244" s="876">
        <v>2011</v>
      </c>
      <c r="K244" s="976">
        <v>4.5999999999999999E-3</v>
      </c>
      <c r="L244" s="976">
        <v>9.5999999999999992E-3</v>
      </c>
      <c r="M244" s="876">
        <v>1.5E-3</v>
      </c>
      <c r="N244" s="876">
        <v>1.9199999999999998E-2</v>
      </c>
      <c r="O244" s="876">
        <v>2.1399999999999999E-2</v>
      </c>
      <c r="P244" s="876">
        <v>4.3099999999999999E-2</v>
      </c>
    </row>
    <row r="245" spans="1:16" s="14" customFormat="1">
      <c r="A245" s="270"/>
      <c r="B245" s="876">
        <v>2012</v>
      </c>
      <c r="C245" s="976">
        <v>7.1000000000000004E-3</v>
      </c>
      <c r="D245" s="976">
        <v>9.5999999999999992E-3</v>
      </c>
      <c r="E245" s="976">
        <v>3.1300000000000001E-2</v>
      </c>
      <c r="F245" s="876">
        <v>3.0200000000000001E-2</v>
      </c>
      <c r="G245" s="876">
        <v>2.9000000000000001E-2</v>
      </c>
      <c r="H245" s="876">
        <v>9.4999999999999998E-3</v>
      </c>
      <c r="J245" s="876">
        <v>2012</v>
      </c>
      <c r="K245" s="976">
        <v>4.5999999999999999E-3</v>
      </c>
      <c r="L245" s="976">
        <v>9.5999999999999992E-3</v>
      </c>
      <c r="M245" s="876">
        <v>1.5E-3</v>
      </c>
      <c r="N245" s="876">
        <v>1.9199999999999998E-2</v>
      </c>
      <c r="O245" s="876">
        <v>2.1399999999999999E-2</v>
      </c>
      <c r="P245" s="876">
        <v>4.3099999999999999E-2</v>
      </c>
    </row>
    <row r="246" spans="1:16" s="14" customFormat="1">
      <c r="A246" s="270"/>
      <c r="B246" s="876">
        <v>2013</v>
      </c>
      <c r="C246" s="976">
        <v>7.1000000000000004E-3</v>
      </c>
      <c r="D246" s="976">
        <v>9.4999999999999998E-3</v>
      </c>
      <c r="E246" s="976">
        <v>3.1300000000000001E-2</v>
      </c>
      <c r="F246" s="876">
        <v>3.0200000000000001E-2</v>
      </c>
      <c r="G246" s="876">
        <v>2.9000000000000001E-2</v>
      </c>
      <c r="H246" s="876">
        <v>9.4999999999999998E-3</v>
      </c>
      <c r="J246" s="876">
        <v>2013</v>
      </c>
      <c r="K246" s="976">
        <v>4.5999999999999999E-3</v>
      </c>
      <c r="L246" s="976">
        <v>9.4999999999999998E-3</v>
      </c>
      <c r="M246" s="876">
        <v>1.5E-3</v>
      </c>
      <c r="N246" s="876">
        <v>1.9199999999999998E-2</v>
      </c>
      <c r="O246" s="876">
        <v>2.1399999999999999E-2</v>
      </c>
      <c r="P246" s="876">
        <v>4.3099999999999999E-2</v>
      </c>
    </row>
    <row r="247" spans="1:16" s="14" customFormat="1">
      <c r="A247" s="270"/>
      <c r="B247" s="876">
        <v>2014</v>
      </c>
      <c r="C247" s="976">
        <v>7.1000000000000004E-3</v>
      </c>
      <c r="D247" s="976">
        <v>9.4999999999999998E-3</v>
      </c>
      <c r="E247" s="976">
        <v>3.15E-2</v>
      </c>
      <c r="F247" s="876">
        <v>3.0200000000000001E-2</v>
      </c>
      <c r="G247" s="876">
        <v>2.9000000000000001E-2</v>
      </c>
      <c r="H247" s="876">
        <v>9.4999999999999998E-3</v>
      </c>
      <c r="J247" s="876">
        <v>2014</v>
      </c>
      <c r="K247" s="976">
        <v>4.5999999999999999E-3</v>
      </c>
      <c r="L247" s="976">
        <v>9.4999999999999998E-3</v>
      </c>
      <c r="M247" s="876">
        <v>1.5E-3</v>
      </c>
      <c r="N247" s="876">
        <v>1.9199999999999998E-2</v>
      </c>
      <c r="O247" s="876">
        <v>2.1399999999999999E-2</v>
      </c>
      <c r="P247" s="876">
        <v>4.3099999999999999E-2</v>
      </c>
    </row>
    <row r="248" spans="1:16" s="14" customFormat="1">
      <c r="A248" s="270"/>
      <c r="B248" s="876">
        <v>2015</v>
      </c>
      <c r="C248" s="976">
        <v>6.7999999999999996E-3</v>
      </c>
      <c r="D248" s="976">
        <v>9.4000000000000004E-3</v>
      </c>
      <c r="E248" s="976">
        <v>3.32E-2</v>
      </c>
      <c r="F248" s="876">
        <v>3.0200000000000001E-2</v>
      </c>
      <c r="G248" s="876">
        <v>2.9000000000000001E-2</v>
      </c>
      <c r="H248" s="876">
        <v>9.4999999999999998E-3</v>
      </c>
      <c r="J248" s="876">
        <v>2015</v>
      </c>
      <c r="K248" s="976">
        <v>4.1999999999999997E-3</v>
      </c>
      <c r="L248" s="976">
        <v>9.4000000000000004E-3</v>
      </c>
      <c r="M248" s="876">
        <v>2.0999999999999999E-3</v>
      </c>
      <c r="N248" s="876">
        <v>1.9199999999999998E-2</v>
      </c>
      <c r="O248" s="876">
        <v>2.1399999999999999E-2</v>
      </c>
      <c r="P248" s="876">
        <v>4.3099999999999999E-2</v>
      </c>
    </row>
    <row r="249" spans="1:16" s="14" customFormat="1">
      <c r="A249" s="270"/>
      <c r="B249" s="876">
        <v>2016</v>
      </c>
      <c r="C249" s="976">
        <v>6.4999999999999997E-3</v>
      </c>
      <c r="D249" s="976">
        <v>9.1000000000000004E-3</v>
      </c>
      <c r="E249" s="976">
        <v>3.2099999999999997E-2</v>
      </c>
      <c r="F249" s="876">
        <v>3.0200000000000001E-2</v>
      </c>
      <c r="G249" s="876">
        <v>2.9000000000000001E-2</v>
      </c>
      <c r="H249" s="876">
        <v>9.4999999999999998E-3</v>
      </c>
      <c r="J249" s="876">
        <v>2016</v>
      </c>
      <c r="K249" s="976">
        <v>3.8E-3</v>
      </c>
      <c r="L249" s="976">
        <v>9.1000000000000004E-3</v>
      </c>
      <c r="M249" s="876">
        <v>6.1000000000000004E-3</v>
      </c>
      <c r="N249" s="876">
        <v>1.9199999999999998E-2</v>
      </c>
      <c r="O249" s="876">
        <v>2.1399999999999999E-2</v>
      </c>
      <c r="P249" s="876">
        <v>4.3099999999999999E-2</v>
      </c>
    </row>
    <row r="250" spans="1:16" s="14" customFormat="1">
      <c r="A250" s="270"/>
      <c r="B250" s="876">
        <v>2017</v>
      </c>
      <c r="C250" s="976">
        <v>5.4000000000000003E-3</v>
      </c>
      <c r="D250" s="976">
        <v>8.3999999999999995E-3</v>
      </c>
      <c r="E250" s="976">
        <v>3.2899999999999999E-2</v>
      </c>
      <c r="F250" s="876">
        <v>3.0200000000000001E-2</v>
      </c>
      <c r="G250" s="876">
        <v>2.9000000000000001E-2</v>
      </c>
      <c r="H250" s="876">
        <v>9.4999999999999998E-3</v>
      </c>
      <c r="J250" s="876">
        <v>2017</v>
      </c>
      <c r="K250" s="976">
        <v>1.8E-3</v>
      </c>
      <c r="L250" s="976">
        <v>8.3999999999999995E-3</v>
      </c>
      <c r="M250" s="876">
        <v>8.3999999999999995E-3</v>
      </c>
      <c r="N250" s="876">
        <v>1.9199999999999998E-2</v>
      </c>
      <c r="O250" s="876">
        <v>2.1399999999999999E-2</v>
      </c>
      <c r="P250" s="876">
        <v>4.3099999999999999E-2</v>
      </c>
    </row>
    <row r="251" spans="1:16" s="14" customFormat="1">
      <c r="A251" s="270"/>
      <c r="B251" s="876">
        <v>2018</v>
      </c>
      <c r="C251" s="976">
        <v>5.1999999999999998E-3</v>
      </c>
      <c r="D251" s="976">
        <v>8.0999999999999996E-3</v>
      </c>
      <c r="E251" s="976">
        <v>3.2599999999999997E-2</v>
      </c>
      <c r="F251" s="876">
        <v>3.0200000000000001E-2</v>
      </c>
      <c r="G251" s="876">
        <v>2.9000000000000001E-2</v>
      </c>
      <c r="H251" s="876">
        <v>9.4999999999999998E-3</v>
      </c>
      <c r="J251" s="876">
        <v>2018</v>
      </c>
      <c r="K251" s="976">
        <v>1.6000000000000001E-3</v>
      </c>
      <c r="L251" s="976">
        <v>8.0999999999999996E-3</v>
      </c>
      <c r="M251" s="876">
        <v>8.2000000000000007E-3</v>
      </c>
      <c r="N251" s="876">
        <v>1.9199999999999998E-2</v>
      </c>
      <c r="O251" s="876">
        <v>2.1399999999999999E-2</v>
      </c>
      <c r="P251" s="876">
        <v>4.3099999999999999E-2</v>
      </c>
    </row>
    <row r="252" spans="1:16" s="14" customFormat="1">
      <c r="A252" s="270"/>
      <c r="B252" s="876">
        <v>2019</v>
      </c>
      <c r="C252" s="976">
        <v>5.1000000000000004E-3</v>
      </c>
      <c r="D252" s="976">
        <v>8.0000000000000002E-3</v>
      </c>
      <c r="E252" s="976">
        <v>3.3000000000000002E-2</v>
      </c>
      <c r="F252" s="876">
        <v>3.0200000000000001E-2</v>
      </c>
      <c r="G252" s="876">
        <v>2.9000000000000001E-2</v>
      </c>
      <c r="H252" s="876">
        <v>9.4999999999999998E-3</v>
      </c>
      <c r="J252" s="876">
        <v>2019</v>
      </c>
      <c r="K252" s="976">
        <v>1.5E-3</v>
      </c>
      <c r="L252" s="976">
        <v>8.0000000000000002E-3</v>
      </c>
      <c r="M252" s="876">
        <v>9.1000000000000004E-3</v>
      </c>
      <c r="N252" s="876">
        <v>1.9199999999999998E-2</v>
      </c>
      <c r="O252" s="876">
        <v>2.1399999999999999E-2</v>
      </c>
      <c r="P252" s="876">
        <v>4.3099999999999999E-2</v>
      </c>
    </row>
    <row r="253" spans="1:16" s="14" customFormat="1">
      <c r="A253" s="270"/>
      <c r="B253" s="876">
        <v>2020</v>
      </c>
      <c r="C253" s="976">
        <v>5.0000000000000001E-3</v>
      </c>
      <c r="D253" s="976">
        <v>7.9000000000000008E-3</v>
      </c>
      <c r="E253" s="976">
        <v>3.2800000000000003E-2</v>
      </c>
      <c r="F253" s="876">
        <v>3.0200000000000001E-2</v>
      </c>
      <c r="G253" s="876">
        <v>2.9000000000000001E-2</v>
      </c>
      <c r="H253" s="876">
        <v>9.4999999999999998E-3</v>
      </c>
      <c r="J253" s="876">
        <v>2020</v>
      </c>
      <c r="K253" s="976">
        <v>1.4E-3</v>
      </c>
      <c r="L253" s="976">
        <v>7.9000000000000008E-3</v>
      </c>
      <c r="M253" s="876">
        <v>9.7999999999999997E-3</v>
      </c>
      <c r="N253" s="876">
        <v>1.9199999999999998E-2</v>
      </c>
      <c r="O253" s="876">
        <v>2.1399999999999999E-2</v>
      </c>
      <c r="P253" s="876">
        <v>4.3099999999999999E-2</v>
      </c>
    </row>
    <row r="254" spans="1:16" s="14" customFormat="1">
      <c r="A254" s="270"/>
      <c r="B254" s="876">
        <v>2021</v>
      </c>
      <c r="C254" s="977">
        <f t="shared" ref="C254:H254" si="60">C$253</f>
        <v>5.0000000000000001E-3</v>
      </c>
      <c r="D254" s="977">
        <f t="shared" si="60"/>
        <v>7.9000000000000008E-3</v>
      </c>
      <c r="E254" s="977">
        <f t="shared" si="60"/>
        <v>3.2800000000000003E-2</v>
      </c>
      <c r="F254" s="977">
        <f t="shared" si="60"/>
        <v>3.0200000000000001E-2</v>
      </c>
      <c r="G254" s="977">
        <f t="shared" si="60"/>
        <v>2.9000000000000001E-2</v>
      </c>
      <c r="H254" s="977">
        <f t="shared" si="60"/>
        <v>9.4999999999999998E-3</v>
      </c>
      <c r="J254" s="876">
        <v>2021</v>
      </c>
      <c r="K254" s="977">
        <f t="shared" ref="K254:P254" si="61">K$253</f>
        <v>1.4E-3</v>
      </c>
      <c r="L254" s="977">
        <f t="shared" si="61"/>
        <v>7.9000000000000008E-3</v>
      </c>
      <c r="M254" s="977">
        <f t="shared" si="61"/>
        <v>9.7999999999999997E-3</v>
      </c>
      <c r="N254" s="977">
        <f t="shared" si="61"/>
        <v>1.9199999999999998E-2</v>
      </c>
      <c r="O254" s="977">
        <f t="shared" si="61"/>
        <v>2.1399999999999999E-2</v>
      </c>
      <c r="P254" s="977">
        <f t="shared" si="61"/>
        <v>4.3099999999999999E-2</v>
      </c>
    </row>
    <row r="255" spans="1:16" s="14" customFormat="1">
      <c r="A255" s="270"/>
      <c r="B255" s="876">
        <v>2022</v>
      </c>
      <c r="C255" s="977">
        <f t="shared" ref="C255:H258" si="62">C$253</f>
        <v>5.0000000000000001E-3</v>
      </c>
      <c r="D255" s="977">
        <f t="shared" si="62"/>
        <v>7.9000000000000008E-3</v>
      </c>
      <c r="E255" s="977">
        <f t="shared" si="62"/>
        <v>3.2800000000000003E-2</v>
      </c>
      <c r="F255" s="977">
        <f t="shared" si="62"/>
        <v>3.0200000000000001E-2</v>
      </c>
      <c r="G255" s="977">
        <f t="shared" si="62"/>
        <v>2.9000000000000001E-2</v>
      </c>
      <c r="H255" s="977">
        <f t="shared" si="62"/>
        <v>9.4999999999999998E-3</v>
      </c>
      <c r="J255" s="876">
        <v>2022</v>
      </c>
      <c r="K255" s="977">
        <f t="shared" ref="K255:P258" si="63">K$253</f>
        <v>1.4E-3</v>
      </c>
      <c r="L255" s="977">
        <f t="shared" si="63"/>
        <v>7.9000000000000008E-3</v>
      </c>
      <c r="M255" s="977">
        <f t="shared" si="63"/>
        <v>9.7999999999999997E-3</v>
      </c>
      <c r="N255" s="977">
        <f t="shared" si="63"/>
        <v>1.9199999999999998E-2</v>
      </c>
      <c r="O255" s="977">
        <f t="shared" si="63"/>
        <v>2.1399999999999999E-2</v>
      </c>
      <c r="P255" s="977">
        <f t="shared" si="63"/>
        <v>4.3099999999999999E-2</v>
      </c>
    </row>
    <row r="256" spans="1:16" s="14" customFormat="1">
      <c r="A256" s="270"/>
      <c r="B256" s="876">
        <v>2023</v>
      </c>
      <c r="C256" s="977">
        <f t="shared" si="62"/>
        <v>5.0000000000000001E-3</v>
      </c>
      <c r="D256" s="977">
        <f t="shared" si="62"/>
        <v>7.9000000000000008E-3</v>
      </c>
      <c r="E256" s="977">
        <f t="shared" si="62"/>
        <v>3.2800000000000003E-2</v>
      </c>
      <c r="F256" s="977">
        <f t="shared" si="62"/>
        <v>3.0200000000000001E-2</v>
      </c>
      <c r="G256" s="977">
        <f t="shared" si="62"/>
        <v>2.9000000000000001E-2</v>
      </c>
      <c r="H256" s="977">
        <f t="shared" si="62"/>
        <v>9.4999999999999998E-3</v>
      </c>
      <c r="J256" s="876">
        <v>2023</v>
      </c>
      <c r="K256" s="977">
        <f t="shared" si="63"/>
        <v>1.4E-3</v>
      </c>
      <c r="L256" s="977">
        <f t="shared" si="63"/>
        <v>7.9000000000000008E-3</v>
      </c>
      <c r="M256" s="977">
        <f t="shared" si="63"/>
        <v>9.7999999999999997E-3</v>
      </c>
      <c r="N256" s="977">
        <f t="shared" si="63"/>
        <v>1.9199999999999998E-2</v>
      </c>
      <c r="O256" s="977">
        <f t="shared" si="63"/>
        <v>2.1399999999999999E-2</v>
      </c>
      <c r="P256" s="977">
        <f t="shared" si="63"/>
        <v>4.3099999999999999E-2</v>
      </c>
    </row>
    <row r="257" spans="1:16" s="14" customFormat="1">
      <c r="A257" s="270"/>
      <c r="B257" s="876">
        <v>2024</v>
      </c>
      <c r="C257" s="977">
        <f t="shared" si="62"/>
        <v>5.0000000000000001E-3</v>
      </c>
      <c r="D257" s="977">
        <f t="shared" si="62"/>
        <v>7.9000000000000008E-3</v>
      </c>
      <c r="E257" s="977">
        <f t="shared" si="62"/>
        <v>3.2800000000000003E-2</v>
      </c>
      <c r="F257" s="977">
        <f t="shared" si="62"/>
        <v>3.0200000000000001E-2</v>
      </c>
      <c r="G257" s="977">
        <f t="shared" si="62"/>
        <v>2.9000000000000001E-2</v>
      </c>
      <c r="H257" s="977">
        <f t="shared" si="62"/>
        <v>9.4999999999999998E-3</v>
      </c>
      <c r="J257" s="876">
        <v>2024</v>
      </c>
      <c r="K257" s="977">
        <f t="shared" si="63"/>
        <v>1.4E-3</v>
      </c>
      <c r="L257" s="977">
        <f t="shared" si="63"/>
        <v>7.9000000000000008E-3</v>
      </c>
      <c r="M257" s="977">
        <f t="shared" si="63"/>
        <v>9.7999999999999997E-3</v>
      </c>
      <c r="N257" s="977">
        <f t="shared" si="63"/>
        <v>1.9199999999999998E-2</v>
      </c>
      <c r="O257" s="977">
        <f t="shared" si="63"/>
        <v>2.1399999999999999E-2</v>
      </c>
      <c r="P257" s="977">
        <f t="shared" si="63"/>
        <v>4.3099999999999999E-2</v>
      </c>
    </row>
    <row r="258" spans="1:16" s="14" customFormat="1">
      <c r="A258" s="270"/>
      <c r="B258" s="876">
        <v>2025</v>
      </c>
      <c r="C258" s="977">
        <f t="shared" si="62"/>
        <v>5.0000000000000001E-3</v>
      </c>
      <c r="D258" s="977">
        <f t="shared" si="62"/>
        <v>7.9000000000000008E-3</v>
      </c>
      <c r="E258" s="977">
        <f t="shared" si="62"/>
        <v>3.2800000000000003E-2</v>
      </c>
      <c r="F258" s="977">
        <f t="shared" si="62"/>
        <v>3.0200000000000001E-2</v>
      </c>
      <c r="G258" s="977">
        <f t="shared" si="62"/>
        <v>2.9000000000000001E-2</v>
      </c>
      <c r="H258" s="977">
        <f t="shared" si="62"/>
        <v>9.4999999999999998E-3</v>
      </c>
      <c r="J258" s="876">
        <v>2025</v>
      </c>
      <c r="K258" s="977">
        <f t="shared" si="63"/>
        <v>1.4E-3</v>
      </c>
      <c r="L258" s="977">
        <f t="shared" si="63"/>
        <v>7.9000000000000008E-3</v>
      </c>
      <c r="M258" s="977">
        <f t="shared" si="63"/>
        <v>9.7999999999999997E-3</v>
      </c>
      <c r="N258" s="977">
        <f t="shared" si="63"/>
        <v>1.9199999999999998E-2</v>
      </c>
      <c r="O258" s="977">
        <f t="shared" si="63"/>
        <v>2.1399999999999999E-2</v>
      </c>
      <c r="P258" s="977">
        <f t="shared" si="63"/>
        <v>4.3099999999999999E-2</v>
      </c>
    </row>
    <row r="259" spans="1:16" s="14" customFormat="1">
      <c r="A259" s="270"/>
      <c r="M259"/>
    </row>
    <row r="260" spans="1:16">
      <c r="B260" t="s">
        <v>950</v>
      </c>
    </row>
    <row r="261" spans="1:16">
      <c r="A261" s="286"/>
    </row>
    <row r="262" spans="1:16" ht="16.5">
      <c r="A262" s="444" t="s">
        <v>951</v>
      </c>
      <c r="B262" s="14"/>
      <c r="C262" s="14"/>
      <c r="D262" s="14"/>
      <c r="E262" s="14"/>
      <c r="F262" s="14"/>
      <c r="G262" s="14"/>
      <c r="I262" s="14"/>
      <c r="J262" s="14"/>
      <c r="K262" s="14"/>
    </row>
    <row r="263" spans="1:16">
      <c r="A263" s="270"/>
      <c r="B263" s="14"/>
      <c r="C263" s="14"/>
      <c r="D263" s="14"/>
      <c r="F263" s="14"/>
      <c r="G263" s="14"/>
      <c r="I263" s="14"/>
      <c r="J263" s="14"/>
      <c r="K263" s="14"/>
    </row>
    <row r="264" spans="1:16" ht="65">
      <c r="B264" s="880" t="s">
        <v>948</v>
      </c>
      <c r="C264" s="875" t="s">
        <v>347</v>
      </c>
      <c r="D264" s="875" t="s">
        <v>364</v>
      </c>
      <c r="E264" s="875" t="s">
        <v>351</v>
      </c>
      <c r="G264" s="16" t="s">
        <v>949</v>
      </c>
      <c r="H264" s="875" t="s">
        <v>347</v>
      </c>
      <c r="I264" s="23" t="s">
        <v>952</v>
      </c>
      <c r="J264" s="23" t="s">
        <v>351</v>
      </c>
    </row>
    <row r="265" spans="1:16">
      <c r="B265" s="876" t="s">
        <v>945</v>
      </c>
      <c r="C265" s="876">
        <v>1.4999999999999999E-2</v>
      </c>
      <c r="D265" s="978" t="s">
        <v>442</v>
      </c>
      <c r="E265" s="876">
        <v>7.4999999999999997E-2</v>
      </c>
      <c r="G265" s="876" t="s">
        <v>945</v>
      </c>
      <c r="H265" s="876">
        <v>4.0000000000000001E-3</v>
      </c>
      <c r="I265" s="978" t="s">
        <v>442</v>
      </c>
      <c r="J265" s="876">
        <v>2.8000000000000001E-2</v>
      </c>
    </row>
    <row r="266" spans="1:16">
      <c r="B266" s="876" t="s">
        <v>380</v>
      </c>
      <c r="C266" s="876">
        <v>0.14599999999999999</v>
      </c>
      <c r="D266" s="876">
        <v>0.158</v>
      </c>
      <c r="E266" s="876">
        <v>0.92100000000000004</v>
      </c>
      <c r="G266" s="876" t="s">
        <v>380</v>
      </c>
      <c r="H266" s="876">
        <v>4.0000000000000001E-3</v>
      </c>
      <c r="I266" s="876">
        <v>5.0000000000000001E-3</v>
      </c>
      <c r="J266" s="979" t="s">
        <v>1231</v>
      </c>
    </row>
    <row r="267" spans="1:16">
      <c r="B267" s="876" t="s">
        <v>383</v>
      </c>
      <c r="C267" s="980" t="s">
        <v>442</v>
      </c>
      <c r="D267" s="980">
        <v>0.158</v>
      </c>
      <c r="E267" s="876">
        <v>0.92100000000000004</v>
      </c>
      <c r="G267" s="876" t="s">
        <v>383</v>
      </c>
      <c r="H267" s="980" t="s">
        <v>442</v>
      </c>
      <c r="I267" s="980">
        <v>5.0000000000000001E-3</v>
      </c>
      <c r="J267" s="979" t="s">
        <v>1231</v>
      </c>
    </row>
    <row r="268" spans="1:16">
      <c r="B268" s="876" t="s">
        <v>174</v>
      </c>
      <c r="C268" s="876">
        <v>1.4999999999999999E-2</v>
      </c>
      <c r="D268" s="876">
        <v>1.6E-2</v>
      </c>
      <c r="E268" s="876">
        <v>3.0000000000000001E-3</v>
      </c>
      <c r="G268" s="876" t="s">
        <v>174</v>
      </c>
      <c r="H268" s="876">
        <v>4.0000000000000001E-3</v>
      </c>
      <c r="I268" s="876">
        <v>5.0000000000000001E-3</v>
      </c>
      <c r="J268" s="876">
        <v>7.0000000000000001E-3</v>
      </c>
    </row>
    <row r="269" spans="1:16">
      <c r="B269" s="876" t="s">
        <v>408</v>
      </c>
      <c r="C269" s="876">
        <v>1.4999999999999999E-2</v>
      </c>
      <c r="D269" s="876">
        <v>1.6E-2</v>
      </c>
      <c r="E269" s="876">
        <v>7.4999999999999997E-2</v>
      </c>
      <c r="G269" s="876" t="s">
        <v>408</v>
      </c>
      <c r="H269" s="876">
        <v>4.0000000000000001E-3</v>
      </c>
      <c r="I269" s="876">
        <v>5.0000000000000001E-3</v>
      </c>
      <c r="J269" s="876">
        <v>2.8000000000000001E-2</v>
      </c>
    </row>
    <row r="270" spans="1:16">
      <c r="B270" s="876" t="s">
        <v>377</v>
      </c>
      <c r="C270" s="876">
        <v>0.03</v>
      </c>
      <c r="D270" s="876">
        <v>2.9000000000000001E-2</v>
      </c>
      <c r="E270" s="876">
        <v>8.9999999999999993E-3</v>
      </c>
      <c r="G270" s="876" t="s">
        <v>377</v>
      </c>
      <c r="H270" s="876">
        <v>1.9E-2</v>
      </c>
      <c r="I270" s="876">
        <v>2.1000000000000001E-2</v>
      </c>
      <c r="J270" s="876">
        <v>4.2999999999999997E-2</v>
      </c>
      <c r="K270" t="s">
        <v>953</v>
      </c>
    </row>
    <row r="271" spans="1:16">
      <c r="B271" s="876" t="s">
        <v>378</v>
      </c>
      <c r="C271" s="876">
        <v>0.03</v>
      </c>
      <c r="D271" s="876">
        <v>2.9000000000000001E-2</v>
      </c>
      <c r="E271" s="876">
        <v>8.9999999999999993E-3</v>
      </c>
      <c r="G271" s="876" t="s">
        <v>378</v>
      </c>
      <c r="H271" s="876">
        <v>1.9E-2</v>
      </c>
      <c r="I271" s="876">
        <v>2.1000000000000001E-2</v>
      </c>
      <c r="J271" s="876">
        <v>4.2999999999999997E-2</v>
      </c>
    </row>
    <row r="272" spans="1:16">
      <c r="A272" s="286"/>
      <c r="B272" t="s">
        <v>954</v>
      </c>
    </row>
    <row r="274" spans="1:14" ht="16.5">
      <c r="A274" s="436" t="s">
        <v>955</v>
      </c>
    </row>
    <row r="275" spans="1:14" ht="16.5">
      <c r="B275" s="1" t="s">
        <v>956</v>
      </c>
      <c r="G275" s="1" t="s">
        <v>957</v>
      </c>
    </row>
    <row r="276" spans="1:14" ht="29">
      <c r="A276" s="268" t="s">
        <v>450</v>
      </c>
      <c r="B276" s="36" t="s">
        <v>175</v>
      </c>
      <c r="C276" s="37" t="s">
        <v>172</v>
      </c>
      <c r="D276" s="37" t="s">
        <v>391</v>
      </c>
      <c r="E276" s="37" t="s">
        <v>180</v>
      </c>
      <c r="F276" s="38" t="s">
        <v>389</v>
      </c>
      <c r="G276" s="33" t="s">
        <v>175</v>
      </c>
      <c r="H276" s="34" t="s">
        <v>172</v>
      </c>
      <c r="I276" s="34" t="s">
        <v>391</v>
      </c>
      <c r="J276" s="34" t="s">
        <v>180</v>
      </c>
      <c r="K276" s="35" t="s">
        <v>389</v>
      </c>
    </row>
    <row r="277" spans="1:14">
      <c r="A277" s="509" t="s">
        <v>451</v>
      </c>
      <c r="B277" s="981">
        <v>7.0000000000000001E-3</v>
      </c>
      <c r="C277" s="914"/>
      <c r="D277" s="914"/>
      <c r="E277" s="914"/>
      <c r="F277" s="914"/>
      <c r="G277" s="914">
        <v>8.3000000000000001E-3</v>
      </c>
      <c r="H277" s="914"/>
      <c r="I277" s="914"/>
      <c r="J277" s="914"/>
      <c r="K277" s="914"/>
      <c r="L277" s="27" t="s">
        <v>357</v>
      </c>
    </row>
    <row r="278" spans="1:14">
      <c r="A278" s="509" t="s">
        <v>453</v>
      </c>
      <c r="B278" s="914">
        <v>7.0000000000000001E-3</v>
      </c>
      <c r="C278" s="914"/>
      <c r="D278" s="914"/>
      <c r="E278" s="914"/>
      <c r="F278" s="914"/>
      <c r="G278" s="914">
        <v>8.3000000000000001E-3</v>
      </c>
      <c r="H278" s="914"/>
      <c r="I278" s="914"/>
      <c r="J278" s="914"/>
      <c r="K278" s="914"/>
      <c r="L278" s="27" t="s">
        <v>357</v>
      </c>
    </row>
    <row r="279" spans="1:14">
      <c r="A279" s="271" t="s">
        <v>365</v>
      </c>
      <c r="B279" s="982">
        <v>1.93</v>
      </c>
      <c r="C279" s="982">
        <v>1.27</v>
      </c>
      <c r="D279" s="860"/>
      <c r="E279" s="860"/>
      <c r="F279" s="860"/>
      <c r="G279" s="982">
        <v>1.2</v>
      </c>
      <c r="H279" s="982">
        <v>1.07</v>
      </c>
      <c r="I279" s="860"/>
      <c r="J279" s="860"/>
      <c r="K279" s="860"/>
      <c r="L279" t="s">
        <v>254</v>
      </c>
    </row>
    <row r="280" spans="1:14">
      <c r="A280" s="271" t="s">
        <v>366</v>
      </c>
      <c r="B280" s="982">
        <v>2.85</v>
      </c>
      <c r="C280" s="982">
        <v>1.01</v>
      </c>
      <c r="D280" s="860"/>
      <c r="E280" s="860"/>
      <c r="F280" s="860"/>
      <c r="G280" s="982">
        <v>1.47</v>
      </c>
      <c r="H280" s="982">
        <v>0.94</v>
      </c>
      <c r="I280" s="860"/>
      <c r="J280" s="860"/>
      <c r="K280" s="860"/>
      <c r="L280" t="s">
        <v>254</v>
      </c>
    </row>
    <row r="281" spans="1:14" ht="29">
      <c r="A281" s="271" t="s">
        <v>367</v>
      </c>
      <c r="B281" s="982">
        <v>2.87</v>
      </c>
      <c r="C281" s="982">
        <v>0.73</v>
      </c>
      <c r="D281" s="860"/>
      <c r="E281" s="860"/>
      <c r="F281" s="860"/>
      <c r="G281" s="982">
        <v>1.5</v>
      </c>
      <c r="H281" s="982">
        <v>0.66</v>
      </c>
      <c r="I281" s="860"/>
      <c r="J281" s="860"/>
      <c r="K281" s="860"/>
      <c r="L281" t="s">
        <v>254</v>
      </c>
    </row>
    <row r="282" spans="1:14">
      <c r="A282" s="271" t="s">
        <v>368</v>
      </c>
      <c r="B282" s="860"/>
      <c r="C282" s="860"/>
      <c r="D282" s="860"/>
      <c r="E282" s="983" t="s">
        <v>1231</v>
      </c>
      <c r="F282" s="982">
        <v>7.06</v>
      </c>
      <c r="G282" s="860"/>
      <c r="H282" s="860"/>
      <c r="I282" s="860"/>
      <c r="J282" s="983">
        <v>0.3</v>
      </c>
      <c r="K282" s="982">
        <v>0.11</v>
      </c>
      <c r="L282" t="s">
        <v>254</v>
      </c>
    </row>
    <row r="283" spans="1:14">
      <c r="A283" s="271" t="s">
        <v>958</v>
      </c>
      <c r="B283" s="982">
        <v>4.6100000000000003</v>
      </c>
      <c r="C283" s="982">
        <v>6.41</v>
      </c>
      <c r="D283" s="982">
        <v>1.1100000000000001</v>
      </c>
      <c r="E283" s="860"/>
      <c r="F283" s="860"/>
      <c r="G283" s="982">
        <v>0.08</v>
      </c>
      <c r="H283" s="982">
        <v>0.17</v>
      </c>
      <c r="I283" s="982">
        <v>0.32</v>
      </c>
      <c r="J283" s="860"/>
      <c r="K283" s="860"/>
      <c r="L283" t="s">
        <v>254</v>
      </c>
    </row>
    <row r="284" spans="1:14">
      <c r="A284" s="271" t="s">
        <v>959</v>
      </c>
      <c r="B284" s="860"/>
      <c r="C284" s="982">
        <v>0.8</v>
      </c>
      <c r="D284" s="860"/>
      <c r="E284" s="860"/>
      <c r="F284" s="860"/>
      <c r="G284" s="860"/>
      <c r="H284" s="982">
        <v>0.26</v>
      </c>
      <c r="I284" s="860"/>
      <c r="J284" s="860"/>
      <c r="K284" s="860"/>
      <c r="L284" t="s">
        <v>254</v>
      </c>
    </row>
    <row r="285" spans="1:14">
      <c r="A285" s="271"/>
      <c r="B285" t="s">
        <v>954</v>
      </c>
      <c r="C285" s="24"/>
      <c r="H285" s="24"/>
    </row>
    <row r="286" spans="1:14">
      <c r="B286" s="12"/>
    </row>
    <row r="287" spans="1:14">
      <c r="A287" s="286"/>
      <c r="B287" s="57"/>
      <c r="C287" s="57"/>
      <c r="D287" s="57"/>
      <c r="E287" s="57"/>
      <c r="F287" s="57"/>
      <c r="G287" s="57"/>
      <c r="H287" s="57"/>
      <c r="I287" s="57"/>
      <c r="J287" s="57"/>
      <c r="K287" s="57"/>
      <c r="L287" s="57"/>
      <c r="M287" s="57"/>
      <c r="N287" s="57"/>
    </row>
    <row r="288" spans="1:14">
      <c r="A288" s="449"/>
      <c r="B288" s="435"/>
      <c r="C288" s="435"/>
      <c r="D288" s="435"/>
      <c r="E288" s="435"/>
      <c r="F288" s="435"/>
      <c r="G288" s="435"/>
      <c r="H288" s="435"/>
      <c r="I288" s="435"/>
      <c r="J288" s="435"/>
      <c r="K288" s="435"/>
      <c r="L288" s="435"/>
      <c r="M288" s="435"/>
      <c r="N288" s="435"/>
    </row>
    <row r="291" spans="1:15" s="11" customFormat="1">
      <c r="A291" s="267" t="s">
        <v>960</v>
      </c>
    </row>
    <row r="292" spans="1:15">
      <c r="A292" s="268"/>
    </row>
    <row r="293" spans="1:15">
      <c r="A293" s="286" t="s">
        <v>961</v>
      </c>
    </row>
    <row r="294" spans="1:15">
      <c r="A294" s="450"/>
    </row>
    <row r="295" spans="1:15">
      <c r="A295" s="984" t="s">
        <v>962</v>
      </c>
      <c r="B295" s="854" t="s">
        <v>963</v>
      </c>
      <c r="C295" s="854" t="s">
        <v>964</v>
      </c>
      <c r="F295" s="111" t="s">
        <v>965</v>
      </c>
      <c r="G295" s="98"/>
      <c r="H295" s="98"/>
      <c r="I295" s="98"/>
      <c r="J295" s="98"/>
      <c r="K295" s="98"/>
      <c r="L295" s="98"/>
      <c r="M295" s="98"/>
      <c r="N295" s="98"/>
      <c r="O295" s="110"/>
    </row>
    <row r="296" spans="1:15" ht="16.5">
      <c r="A296" s="985" t="s">
        <v>966</v>
      </c>
      <c r="B296" s="860" t="s">
        <v>967</v>
      </c>
      <c r="C296" s="860">
        <v>662</v>
      </c>
      <c r="F296" s="39">
        <v>10.1</v>
      </c>
      <c r="G296">
        <v>10.199999999999999</v>
      </c>
      <c r="O296" s="42"/>
    </row>
    <row r="297" spans="1:15" ht="16.5">
      <c r="A297" s="985" t="s">
        <v>501</v>
      </c>
      <c r="B297" s="860" t="s">
        <v>968</v>
      </c>
      <c r="C297" s="860">
        <v>0.99</v>
      </c>
      <c r="F297" s="39">
        <v>10.1</v>
      </c>
      <c r="G297">
        <v>10.199999999999999</v>
      </c>
      <c r="O297" s="42"/>
    </row>
    <row r="298" spans="1:15">
      <c r="A298" s="985" t="s">
        <v>969</v>
      </c>
      <c r="B298" s="860" t="s">
        <v>171</v>
      </c>
      <c r="C298" s="860">
        <v>1</v>
      </c>
      <c r="F298" s="39"/>
      <c r="O298" s="42"/>
    </row>
    <row r="299" spans="1:15" ht="16.5">
      <c r="A299" s="985" t="s">
        <v>970</v>
      </c>
      <c r="B299" s="860" t="s">
        <v>971</v>
      </c>
      <c r="C299" s="860">
        <v>0.65</v>
      </c>
      <c r="F299" s="39"/>
      <c r="G299">
        <v>10.199999999999999</v>
      </c>
      <c r="O299" s="42"/>
    </row>
    <row r="300" spans="1:15" ht="16.5">
      <c r="A300" s="985" t="s">
        <v>972</v>
      </c>
      <c r="B300" s="860" t="s">
        <v>973</v>
      </c>
      <c r="C300" s="860">
        <v>0.6</v>
      </c>
      <c r="F300" s="39"/>
      <c r="H300">
        <v>10.3</v>
      </c>
      <c r="I300">
        <v>10.4</v>
      </c>
      <c r="J300">
        <v>10.5</v>
      </c>
      <c r="K300">
        <v>10.6</v>
      </c>
      <c r="O300" s="42"/>
    </row>
    <row r="301" spans="1:15" ht="16.5">
      <c r="A301" s="985" t="s">
        <v>974</v>
      </c>
      <c r="B301" s="860" t="s">
        <v>975</v>
      </c>
      <c r="C301" s="860">
        <v>0.8</v>
      </c>
      <c r="F301" s="39"/>
      <c r="H301">
        <v>10.3</v>
      </c>
      <c r="I301">
        <v>10.4</v>
      </c>
      <c r="O301" s="42"/>
    </row>
    <row r="302" spans="1:15">
      <c r="A302" s="985" t="s">
        <v>976</v>
      </c>
      <c r="B302" s="860" t="s">
        <v>977</v>
      </c>
      <c r="C302" s="860">
        <v>1.25</v>
      </c>
      <c r="F302" s="39"/>
      <c r="I302">
        <v>10.4</v>
      </c>
      <c r="L302">
        <v>10.7</v>
      </c>
      <c r="M302">
        <v>10.8</v>
      </c>
      <c r="O302" s="49">
        <v>10.1</v>
      </c>
    </row>
    <row r="303" spans="1:15" ht="16.5">
      <c r="A303" s="985" t="s">
        <v>978</v>
      </c>
      <c r="B303" s="860" t="s">
        <v>979</v>
      </c>
      <c r="C303" s="860">
        <v>0.32500000000000001</v>
      </c>
      <c r="F303" s="39"/>
      <c r="I303">
        <v>10.4</v>
      </c>
      <c r="O303" s="42"/>
    </row>
    <row r="304" spans="1:15" ht="16.5">
      <c r="A304" s="985" t="s">
        <v>980</v>
      </c>
      <c r="B304" s="860" t="s">
        <v>981</v>
      </c>
      <c r="C304" s="860">
        <v>0.5</v>
      </c>
      <c r="F304" s="39"/>
      <c r="J304">
        <v>10.5</v>
      </c>
      <c r="K304">
        <v>10.6</v>
      </c>
      <c r="O304" s="42"/>
    </row>
    <row r="305" spans="1:15" ht="16.5">
      <c r="A305" s="985" t="s">
        <v>982</v>
      </c>
      <c r="B305" s="860" t="s">
        <v>983</v>
      </c>
      <c r="C305" s="860">
        <v>0.09</v>
      </c>
      <c r="F305" s="39"/>
      <c r="K305">
        <v>10.6</v>
      </c>
      <c r="O305" s="49">
        <v>10.1</v>
      </c>
    </row>
    <row r="306" spans="1:15">
      <c r="A306" s="985" t="s">
        <v>984</v>
      </c>
      <c r="B306" s="860" t="s">
        <v>985</v>
      </c>
      <c r="C306" s="860">
        <v>7</v>
      </c>
      <c r="F306" s="39"/>
      <c r="L306">
        <v>10.7</v>
      </c>
      <c r="O306" s="42"/>
    </row>
    <row r="307" spans="1:15">
      <c r="A307" s="985" t="s">
        <v>986</v>
      </c>
      <c r="B307" s="860" t="s">
        <v>987</v>
      </c>
      <c r="C307" s="860">
        <v>3.2</v>
      </c>
      <c r="F307" s="39"/>
      <c r="M307">
        <v>10.8</v>
      </c>
      <c r="O307" s="42"/>
    </row>
    <row r="308" spans="1:15">
      <c r="A308" s="985" t="s">
        <v>988</v>
      </c>
      <c r="B308" s="860" t="s">
        <v>989</v>
      </c>
      <c r="C308" s="860">
        <v>5.0000000000000001E-3</v>
      </c>
      <c r="F308" s="39"/>
      <c r="N308">
        <v>10.9</v>
      </c>
      <c r="O308" s="49">
        <v>10.1</v>
      </c>
    </row>
    <row r="309" spans="1:15">
      <c r="A309" s="985" t="s">
        <v>990</v>
      </c>
      <c r="B309" s="860" t="s">
        <v>991</v>
      </c>
      <c r="C309" s="860">
        <f>44/28</f>
        <v>1.5714285714285714</v>
      </c>
      <c r="F309" s="39"/>
      <c r="N309">
        <v>10.9</v>
      </c>
      <c r="O309" s="49">
        <v>10.1</v>
      </c>
    </row>
    <row r="310" spans="1:15">
      <c r="A310" s="985" t="s">
        <v>992</v>
      </c>
      <c r="B310" s="860" t="s">
        <v>993</v>
      </c>
      <c r="C310" s="860">
        <v>2.5999999999999999E-2</v>
      </c>
      <c r="F310" s="39"/>
      <c r="O310" s="49">
        <v>10.1</v>
      </c>
    </row>
    <row r="311" spans="1:15">
      <c r="A311" s="985" t="s">
        <v>994</v>
      </c>
      <c r="B311" s="860" t="s">
        <v>995</v>
      </c>
      <c r="C311" s="860">
        <v>0.05</v>
      </c>
      <c r="F311" s="39"/>
      <c r="O311" s="49">
        <v>10.1</v>
      </c>
    </row>
    <row r="312" spans="1:15">
      <c r="A312" s="985" t="s">
        <v>996</v>
      </c>
      <c r="B312" s="860" t="s">
        <v>997</v>
      </c>
      <c r="C312" s="860">
        <v>5.0000000000000001E-3</v>
      </c>
      <c r="F312" s="39"/>
      <c r="O312" s="49">
        <v>10.1</v>
      </c>
    </row>
    <row r="313" spans="1:15">
      <c r="A313" s="985" t="s">
        <v>998</v>
      </c>
      <c r="B313" s="860" t="s">
        <v>999</v>
      </c>
      <c r="C313" s="860">
        <v>0.7</v>
      </c>
      <c r="F313" s="39"/>
      <c r="O313" s="49">
        <v>10.1</v>
      </c>
    </row>
    <row r="314" spans="1:15">
      <c r="A314" s="985" t="s">
        <v>1000</v>
      </c>
      <c r="B314" s="860" t="s">
        <v>1001</v>
      </c>
      <c r="C314" s="860">
        <v>0</v>
      </c>
      <c r="F314" s="43"/>
      <c r="G314" s="44"/>
      <c r="H314" s="44"/>
      <c r="I314" s="44"/>
      <c r="J314" s="44"/>
      <c r="K314" s="44"/>
      <c r="L314" s="44"/>
      <c r="M314" s="44"/>
      <c r="N314" s="44"/>
      <c r="O314" s="225">
        <v>10.1</v>
      </c>
    </row>
    <row r="315" spans="1:15">
      <c r="O315" s="211"/>
    </row>
    <row r="316" spans="1:15" ht="28.5" customHeight="1">
      <c r="A316" s="1116" t="s">
        <v>1002</v>
      </c>
      <c r="B316" s="1036"/>
      <c r="C316" s="1036"/>
      <c r="D316" s="1036"/>
      <c r="E316" s="1036"/>
      <c r="F316" s="1036"/>
      <c r="G316" s="1036"/>
      <c r="H316" s="1036"/>
      <c r="I316" s="1036"/>
      <c r="J316" s="1036"/>
      <c r="K316" s="1036"/>
      <c r="L316" s="1036"/>
      <c r="M316" s="1036"/>
      <c r="N316" s="1036"/>
      <c r="O316" s="211"/>
    </row>
    <row r="318" spans="1:15" s="11" customFormat="1">
      <c r="A318" s="267" t="s">
        <v>673</v>
      </c>
    </row>
    <row r="319" spans="1:15">
      <c r="A319" s="268"/>
    </row>
    <row r="320" spans="1:15">
      <c r="A320" s="506" t="s">
        <v>1003</v>
      </c>
      <c r="B320" s="27"/>
      <c r="C320" s="27"/>
      <c r="D320" s="27"/>
      <c r="E320" s="27"/>
    </row>
    <row r="321" spans="1:15">
      <c r="A321" s="274"/>
      <c r="B321" s="507"/>
      <c r="C321" s="507"/>
      <c r="D321" s="507"/>
      <c r="E321" s="507"/>
      <c r="F321" s="68"/>
      <c r="G321" t="s">
        <v>1004</v>
      </c>
    </row>
    <row r="322" spans="1:15" ht="16.5">
      <c r="A322" s="986" t="s">
        <v>685</v>
      </c>
      <c r="B322" s="987" t="s">
        <v>1005</v>
      </c>
      <c r="C322" s="987" t="s">
        <v>1006</v>
      </c>
      <c r="D322" s="987" t="s">
        <v>1007</v>
      </c>
      <c r="E322" s="27"/>
      <c r="G322" s="840" t="s">
        <v>685</v>
      </c>
      <c r="H322" s="840" t="s">
        <v>1005</v>
      </c>
      <c r="I322" s="840" t="s">
        <v>1006</v>
      </c>
      <c r="J322" s="840" t="s">
        <v>1007</v>
      </c>
    </row>
    <row r="323" spans="1:15" ht="29">
      <c r="A323" s="988" t="s">
        <v>688</v>
      </c>
      <c r="B323" s="914">
        <v>21.6</v>
      </c>
      <c r="C323" s="914">
        <v>1</v>
      </c>
      <c r="D323" s="989">
        <v>8.7799999999999994</v>
      </c>
      <c r="E323" s="27"/>
      <c r="G323" s="919" t="s">
        <v>688</v>
      </c>
      <c r="H323" s="860">
        <v>20.5</v>
      </c>
      <c r="I323" s="860">
        <v>1</v>
      </c>
      <c r="J323" s="971">
        <v>8.7799999999999994</v>
      </c>
    </row>
    <row r="324" spans="1:15">
      <c r="A324" s="990" t="s">
        <v>689</v>
      </c>
      <c r="B324" s="914">
        <v>21.6</v>
      </c>
      <c r="C324" s="991">
        <f>K327</f>
        <v>2.4160314135984864</v>
      </c>
      <c r="D324" s="989">
        <v>8.7799999999999994</v>
      </c>
      <c r="E324" s="27"/>
      <c r="G324" s="860" t="s">
        <v>689</v>
      </c>
      <c r="H324" s="860">
        <v>20.5</v>
      </c>
      <c r="I324" s="860">
        <v>2.4980000000000002</v>
      </c>
      <c r="J324" s="971">
        <v>8.7799999999999994</v>
      </c>
    </row>
    <row r="325" spans="1:15">
      <c r="A325" s="990" t="s">
        <v>352</v>
      </c>
      <c r="B325" s="914">
        <v>43.4</v>
      </c>
      <c r="C325" s="914">
        <v>1</v>
      </c>
      <c r="D325" s="989">
        <v>8.7799999999999994</v>
      </c>
      <c r="E325" s="27"/>
      <c r="G325" s="860" t="s">
        <v>352</v>
      </c>
      <c r="H325" s="860">
        <v>56.5</v>
      </c>
      <c r="I325" s="860">
        <v>1</v>
      </c>
      <c r="J325" s="971">
        <v>8.7799999999999994</v>
      </c>
    </row>
    <row r="326" spans="1:15">
      <c r="A326" s="990" t="s">
        <v>690</v>
      </c>
      <c r="B326" s="914"/>
      <c r="C326" s="914"/>
      <c r="D326" s="914">
        <v>0</v>
      </c>
      <c r="E326" s="27"/>
      <c r="G326" t="s">
        <v>1008</v>
      </c>
      <c r="K326" t="s">
        <v>1009</v>
      </c>
    </row>
    <row r="327" spans="1:15">
      <c r="A327" s="990" t="s">
        <v>691</v>
      </c>
      <c r="B327" s="914"/>
      <c r="C327" s="914"/>
      <c r="D327" s="914">
        <v>0</v>
      </c>
      <c r="E327" s="27"/>
      <c r="G327" s="1143" t="s">
        <v>1010</v>
      </c>
      <c r="H327" s="1143"/>
      <c r="I327" s="1143"/>
      <c r="J327" s="806">
        <v>10382478</v>
      </c>
      <c r="K327" s="860">
        <f>((2*J327)+(3*J328)+(4*J329)+(5.5*J330)+(7*J331))/J332</f>
        <v>2.4160314135984864</v>
      </c>
    </row>
    <row r="328" spans="1:15">
      <c r="A328" s="990" t="s">
        <v>692</v>
      </c>
      <c r="B328" s="914"/>
      <c r="C328" s="914"/>
      <c r="D328" s="914">
        <v>0</v>
      </c>
      <c r="E328" s="27"/>
      <c r="G328" s="1143" t="s">
        <v>1011</v>
      </c>
      <c r="H328" s="1143"/>
      <c r="I328" s="1143"/>
      <c r="J328" s="807">
        <v>1759044</v>
      </c>
    </row>
    <row r="329" spans="1:15">
      <c r="A329" s="990" t="s">
        <v>693</v>
      </c>
      <c r="B329" s="914"/>
      <c r="C329" s="914"/>
      <c r="D329" s="914">
        <v>0</v>
      </c>
      <c r="E329" s="27"/>
      <c r="G329" s="1143" t="s">
        <v>1012</v>
      </c>
      <c r="H329" s="1143"/>
      <c r="I329" s="1143"/>
      <c r="J329" s="807">
        <v>641090</v>
      </c>
    </row>
    <row r="330" spans="1:15">
      <c r="A330" s="990" t="s">
        <v>219</v>
      </c>
      <c r="B330" s="914"/>
      <c r="C330" s="914"/>
      <c r="D330" s="914">
        <v>0</v>
      </c>
      <c r="E330" s="27"/>
      <c r="G330" s="1143" t="s">
        <v>1013</v>
      </c>
      <c r="H330" s="1143"/>
      <c r="I330" s="1143"/>
      <c r="J330" s="807">
        <v>330934</v>
      </c>
    </row>
    <row r="331" spans="1:15">
      <c r="A331" s="274"/>
      <c r="B331" s="27"/>
      <c r="C331" s="27"/>
      <c r="D331" s="27"/>
      <c r="E331" s="27"/>
      <c r="G331" s="1143" t="s">
        <v>1014</v>
      </c>
      <c r="H331" s="1143"/>
      <c r="I331" s="1143"/>
      <c r="J331" s="807">
        <v>274032</v>
      </c>
    </row>
    <row r="332" spans="1:15">
      <c r="A332" s="506" t="s">
        <v>933</v>
      </c>
      <c r="B332" s="27"/>
      <c r="C332" s="27"/>
      <c r="D332" s="27"/>
      <c r="E332" s="27"/>
      <c r="G332" s="1144" t="s">
        <v>253</v>
      </c>
      <c r="H332" s="1145"/>
      <c r="I332" s="1146"/>
      <c r="J332" s="807">
        <f>SUM(J327:J331)</f>
        <v>13387578</v>
      </c>
    </row>
    <row r="333" spans="1:15">
      <c r="A333" s="506" t="s">
        <v>1015</v>
      </c>
      <c r="B333" s="27"/>
      <c r="C333" s="27"/>
      <c r="D333" s="27"/>
      <c r="E333" s="27"/>
    </row>
    <row r="334" spans="1:15">
      <c r="A334" s="506" t="s">
        <v>1016</v>
      </c>
      <c r="B334" s="27"/>
      <c r="C334" s="27"/>
      <c r="D334" s="27"/>
      <c r="E334" s="27"/>
    </row>
    <row r="335" spans="1:15" ht="16.5">
      <c r="A335" s="506" t="s">
        <v>1017</v>
      </c>
      <c r="B335" s="508"/>
      <c r="C335" s="508"/>
      <c r="D335" s="508"/>
      <c r="E335" s="508"/>
      <c r="F335" s="57"/>
      <c r="G335" s="57"/>
      <c r="H335" s="57"/>
      <c r="I335" s="57"/>
      <c r="J335" s="57"/>
      <c r="K335" s="57"/>
      <c r="L335" s="57"/>
      <c r="M335" s="57"/>
      <c r="N335" s="57"/>
      <c r="O335" s="57"/>
    </row>
    <row r="336" spans="1:15" s="57" customFormat="1">
      <c r="A336" s="286"/>
    </row>
    <row r="337" spans="1:27" s="11" customFormat="1">
      <c r="A337" s="267" t="s">
        <v>136</v>
      </c>
    </row>
    <row r="339" spans="1:27">
      <c r="A339" s="436" t="s">
        <v>1018</v>
      </c>
    </row>
    <row r="340" spans="1:27">
      <c r="A340" s="265" t="s">
        <v>1019</v>
      </c>
    </row>
    <row r="341" spans="1:27">
      <c r="A341" s="1141" t="s">
        <v>1020</v>
      </c>
      <c r="B341" s="1142"/>
      <c r="C341" s="808" t="s">
        <v>1021</v>
      </c>
      <c r="D341" s="1"/>
    </row>
    <row r="342" spans="1:27">
      <c r="A342" s="985"/>
      <c r="B342" s="808" t="s">
        <v>1022</v>
      </c>
      <c r="C342" s="808" t="s">
        <v>1023</v>
      </c>
      <c r="D342" s="62"/>
    </row>
    <row r="343" spans="1:27">
      <c r="A343" s="985" t="s">
        <v>1024</v>
      </c>
      <c r="B343" s="860">
        <v>7900</v>
      </c>
      <c r="C343" s="809">
        <v>9231.5353195579046</v>
      </c>
    </row>
    <row r="344" spans="1:27">
      <c r="A344" s="985" t="s">
        <v>1025</v>
      </c>
      <c r="B344" s="860">
        <v>9900</v>
      </c>
      <c r="C344" s="809">
        <v>11568.632868813071</v>
      </c>
    </row>
    <row r="345" spans="1:27">
      <c r="A345" s="985" t="s">
        <v>1026</v>
      </c>
      <c r="B345" s="860">
        <v>906</v>
      </c>
      <c r="C345" s="809">
        <v>1013.4051898125902</v>
      </c>
    </row>
    <row r="346" spans="1:27">
      <c r="A346" s="985" t="s">
        <v>1027</v>
      </c>
      <c r="B346" s="860">
        <v>540</v>
      </c>
      <c r="C346" s="809">
        <v>604.01633829889477</v>
      </c>
    </row>
    <row r="347" spans="1:27">
      <c r="C347" s="237"/>
    </row>
    <row r="348" spans="1:27">
      <c r="A348" s="286" t="s">
        <v>1028</v>
      </c>
      <c r="C348" s="237"/>
    </row>
    <row r="349" spans="1:27">
      <c r="C349" s="237"/>
    </row>
    <row r="350" spans="1:27">
      <c r="A350" s="436" t="s">
        <v>1029</v>
      </c>
      <c r="C350" s="237"/>
    </row>
    <row r="351" spans="1:27">
      <c r="A351" s="810" t="str">
        <f>'Control Sheet'!D44</f>
        <v>AKGD eGRID subregion</v>
      </c>
      <c r="B351" t="s">
        <v>1030</v>
      </c>
    </row>
    <row r="352" spans="1:27">
      <c r="A352" s="811" t="s">
        <v>1031</v>
      </c>
      <c r="B352" s="860">
        <v>2000</v>
      </c>
      <c r="C352" s="860">
        <v>2001</v>
      </c>
      <c r="D352" s="860">
        <v>2002</v>
      </c>
      <c r="E352" s="860">
        <v>2003</v>
      </c>
      <c r="F352" s="860">
        <v>2004</v>
      </c>
      <c r="G352" s="860">
        <v>2005</v>
      </c>
      <c r="H352" s="860">
        <v>2006</v>
      </c>
      <c r="I352" s="860">
        <v>2007</v>
      </c>
      <c r="J352" s="860">
        <v>2008</v>
      </c>
      <c r="K352" s="860">
        <v>2009</v>
      </c>
      <c r="L352" s="860">
        <v>2010</v>
      </c>
      <c r="M352" s="860">
        <v>2011</v>
      </c>
      <c r="N352" s="860">
        <v>2012</v>
      </c>
      <c r="O352" s="860">
        <v>2013</v>
      </c>
      <c r="P352" s="860">
        <v>2014</v>
      </c>
      <c r="Q352" s="860">
        <v>2015</v>
      </c>
      <c r="R352" s="860">
        <v>2016</v>
      </c>
      <c r="S352" s="860">
        <v>2017</v>
      </c>
      <c r="T352" s="860">
        <v>2018</v>
      </c>
      <c r="U352" s="860">
        <v>2019</v>
      </c>
      <c r="V352" s="860">
        <v>2020</v>
      </c>
      <c r="W352" s="860">
        <v>2021</v>
      </c>
      <c r="X352" s="860">
        <v>2022</v>
      </c>
      <c r="Y352" s="860">
        <v>2023</v>
      </c>
      <c r="Z352" s="860">
        <v>2024</v>
      </c>
      <c r="AA352" s="860">
        <v>2025</v>
      </c>
    </row>
    <row r="353" spans="1:27" ht="16.5">
      <c r="A353" s="985" t="s">
        <v>553</v>
      </c>
      <c r="B353" s="942">
        <f>IFERROR(VLOOKUP('Control Sheet'!$D$44, elec_factors_CO2, B$352-1997, FALSE),"")</f>
        <v>1257.19</v>
      </c>
      <c r="C353" s="942">
        <f>IFERROR(VLOOKUP('Control Sheet'!$D$44, elec_factors_CO2, C$352-1997, FALSE),"")</f>
        <v>1257.19</v>
      </c>
      <c r="D353" s="942">
        <f>IFERROR(VLOOKUP('Control Sheet'!$D$44, elec_factors_CO2, D$352-1997, FALSE),"")</f>
        <v>1257.19</v>
      </c>
      <c r="E353" s="942">
        <f>IFERROR(VLOOKUP('Control Sheet'!$D$44, elec_factors_CO2, E$352-1997, FALSE),"")</f>
        <v>1257.19</v>
      </c>
      <c r="F353" s="942">
        <f>IFERROR(VLOOKUP('Control Sheet'!$D$44, elec_factors_CO2, F$352-1997, FALSE),"")</f>
        <v>1257.19</v>
      </c>
      <c r="G353" s="942">
        <f>IFERROR(VLOOKUP('Control Sheet'!$D$44, elec_factors_CO2, G$352-1997, FALSE),"")</f>
        <v>1232.3599999999999</v>
      </c>
      <c r="H353" s="942">
        <f>IFERROR(VLOOKUP('Control Sheet'!$D$44, elec_factors_CO2, H$352-1997, FALSE),"")</f>
        <v>1258.54</v>
      </c>
      <c r="I353" s="942">
        <f>IFERROR(VLOOKUP('Control Sheet'!$D$44, elec_factors_CO2, I$352-1997, FALSE),"")</f>
        <v>1284.72</v>
      </c>
      <c r="J353" s="942">
        <f>IFERROR(VLOOKUP('Control Sheet'!$D$44, elec_factors_CO2, J$352-1997, FALSE),"")</f>
        <v>1282.7891</v>
      </c>
      <c r="K353" s="942">
        <f>IFERROR(VLOOKUP('Control Sheet'!$D$44, elec_factors_CO2, K$352-1997, FALSE),"")</f>
        <v>1280.8581999999999</v>
      </c>
      <c r="L353" s="942">
        <f>IFERROR(VLOOKUP('Control Sheet'!$D$44, elec_factors_CO2, L$352-1997, FALSE),"")</f>
        <v>1256.8658</v>
      </c>
      <c r="M353" s="942">
        <f>IFERROR(VLOOKUP('Control Sheet'!$D$44, elec_factors_CO2, M$352-1997, FALSE),"")</f>
        <v>1262.7985973501968</v>
      </c>
      <c r="N353" s="942">
        <f>IFERROR(VLOOKUP('Control Sheet'!$D$44, elec_factors_CO2, N$352-1997, FALSE),"")</f>
        <v>1268.7313947003938</v>
      </c>
      <c r="O353" s="942">
        <f>IFERROR(VLOOKUP('Control Sheet'!$D$44, elec_factors_CO2, O$352-1997, FALSE),"")</f>
        <v>1097.6341973501969</v>
      </c>
      <c r="P353" s="942">
        <f>IFERROR(VLOOKUP('Control Sheet'!$D$44, elec_factors_CO2, P$352-1997, FALSE),"")</f>
        <v>926.53700000000003</v>
      </c>
      <c r="Q353" s="942">
        <f>IFERROR(VLOOKUP('Control Sheet'!$D$44, elec_factors_CO2, Q$352-1997, FALSE),"")</f>
        <v>999.4085</v>
      </c>
      <c r="R353" s="942">
        <f>IFERROR(VLOOKUP('Control Sheet'!$D$44, elec_factors_CO2, R$352-1997, FALSE),"")</f>
        <v>1072.28</v>
      </c>
      <c r="S353" s="942">
        <f>IFERROR(VLOOKUP('Control Sheet'!$D$44, elec_factors_CO2, S$352-1997, FALSE),"")</f>
        <v>1055.9575</v>
      </c>
      <c r="T353" s="942">
        <f>IFERROR(VLOOKUP('Control Sheet'!$D$44, elec_factors_CO2, T$352-1997, FALSE),"")</f>
        <v>1039.635</v>
      </c>
      <c r="U353" s="942">
        <f>IFERROR(VLOOKUP('Control Sheet'!$D$44, elec_factors_CO2, U$352-1997, FALSE),"")</f>
        <v>1114.4000000000001</v>
      </c>
      <c r="V353" s="942">
        <f>IFERROR(VLOOKUP('Control Sheet'!$D$44, elec_factors_CO2, V$352-1997, FALSE),"")</f>
        <v>1097.6300000000001</v>
      </c>
      <c r="W353" s="942">
        <f>IFERROR(VLOOKUP('Control Sheet'!$D$44, elec_factors_CO2, W$352-1997, FALSE),"")</f>
        <v>1067.68</v>
      </c>
      <c r="X353" s="812">
        <f>IFERROR(VLOOKUP('Control Sheet'!$D$44, elec_factors_CO2, X$352-1997, FALSE),"")</f>
        <v>1067.68</v>
      </c>
      <c r="Y353" s="812">
        <f>IFERROR(VLOOKUP('Control Sheet'!$D$44, elec_factors_CO2, Y$352-1997, FALSE),"")</f>
        <v>1067.68</v>
      </c>
      <c r="Z353" s="812">
        <f>IFERROR(VLOOKUP('Control Sheet'!$D$44, elec_factors_CO2, Z$352-1997, FALSE),"")</f>
        <v>1067.68</v>
      </c>
      <c r="AA353" s="812">
        <f>IFERROR(VLOOKUP('Control Sheet'!$D$44, elec_factors_CO2, AA$352-1997, FALSE),"")</f>
        <v>1067.68</v>
      </c>
    </row>
    <row r="354" spans="1:27" ht="16.5">
      <c r="A354" s="985" t="s">
        <v>456</v>
      </c>
      <c r="B354" s="813">
        <f>IFERROR(VLOOKUP('Control Sheet'!$D$44, elec_factors_CH4, B$352-1997, FALSE),"")</f>
        <v>2.6599999999999999E-2</v>
      </c>
      <c r="C354" s="813">
        <f>IFERROR(VLOOKUP('Control Sheet'!$D$44, elec_factors_CH4, C$352-1997, FALSE),"")</f>
        <v>2.6599999999999999E-2</v>
      </c>
      <c r="D354" s="813">
        <f>IFERROR(VLOOKUP('Control Sheet'!$D$44, elec_factors_CH4, D$352-1997, FALSE),"")</f>
        <v>2.6599999999999999E-2</v>
      </c>
      <c r="E354" s="813">
        <f>IFERROR(VLOOKUP('Control Sheet'!$D$44, elec_factors_CH4, E$352-1997, FALSE),"")</f>
        <v>2.6599999999999999E-2</v>
      </c>
      <c r="F354" s="813">
        <f>IFERROR(VLOOKUP('Control Sheet'!$D$44, elec_factors_CH4, F$352-1997, FALSE),"")</f>
        <v>2.6599999999999999E-2</v>
      </c>
      <c r="G354" s="813">
        <f>IFERROR(VLOOKUP('Control Sheet'!$D$44, elec_factors_CH4, G$352-1997, FALSE),"")</f>
        <v>2.5600000000000001E-2</v>
      </c>
      <c r="H354" s="813">
        <f>IFERROR(VLOOKUP('Control Sheet'!$D$44, elec_factors_CH4, H$352-1997, FALSE),"")</f>
        <v>2.6355E-2</v>
      </c>
      <c r="I354" s="813">
        <f>IFERROR(VLOOKUP('Control Sheet'!$D$44, elec_factors_CH4, I$352-1997, FALSE),"")</f>
        <v>2.7109999999999999E-2</v>
      </c>
      <c r="J354" s="813">
        <f>IFERROR(VLOOKUP('Control Sheet'!$D$44, elec_factors_CH4, J$352-1997, FALSE),"")</f>
        <v>2.7423499999999996E-2</v>
      </c>
      <c r="K354" s="813">
        <f>IFERROR(VLOOKUP('Control Sheet'!$D$44, elec_factors_CH4, K$352-1997, FALSE),"")</f>
        <v>2.7736999999999998E-2</v>
      </c>
      <c r="L354" s="813">
        <f>IFERROR(VLOOKUP('Control Sheet'!$D$44, elec_factors_CH4, L$352-1997, FALSE),"")</f>
        <v>2.6075600000000001E-2</v>
      </c>
      <c r="M354" s="813">
        <f>IFERROR(VLOOKUP('Control Sheet'!$D$44, elec_factors_CH4, M$352-1997, FALSE),"")</f>
        <v>2.6205402220091798E-2</v>
      </c>
      <c r="N354" s="813">
        <f>IFERROR(VLOOKUP('Control Sheet'!$D$44, elec_factors_CH4, N$352-1997, FALSE),"")</f>
        <v>2.6335204440183595E-2</v>
      </c>
      <c r="O354" s="813">
        <f>IFERROR(VLOOKUP('Control Sheet'!$D$44, elec_factors_CH4, O$352-1997, FALSE),"")</f>
        <v>3.6482102220091794E-2</v>
      </c>
      <c r="P354" s="813">
        <f>IFERROR(VLOOKUP('Control Sheet'!$D$44, elec_factors_CH4, P$352-1997, FALSE),"")</f>
        <v>4.6628999999999997E-2</v>
      </c>
      <c r="Q354" s="813">
        <f>IFERROR(VLOOKUP('Control Sheet'!$D$44, elec_factors_CH4, Q$352-1997, FALSE),"")</f>
        <v>6.1814499999999994E-2</v>
      </c>
      <c r="R354" s="813">
        <f>IFERROR(VLOOKUP('Control Sheet'!$D$44, elec_factors_CH4, R$352-1997, FALSE),"")</f>
        <v>7.6999999999999999E-2</v>
      </c>
      <c r="S354" s="813">
        <f>IFERROR(VLOOKUP('Control Sheet'!$D$44, elec_factors_CH4, S$352-1997, FALSE),"")</f>
        <v>7.9500000000000001E-2</v>
      </c>
      <c r="T354" s="813">
        <f>IFERROR(VLOOKUP('Control Sheet'!$D$44, elec_factors_CH4, T$352-1997, FALSE),"")</f>
        <v>8.2000000000000003E-2</v>
      </c>
      <c r="U354" s="813">
        <f>IFERROR(VLOOKUP('Control Sheet'!$D$44, elec_factors_CH4, U$352-1997, FALSE),"")</f>
        <v>9.8000000000000004E-2</v>
      </c>
      <c r="V354" s="813">
        <f>IFERROR(VLOOKUP('Control Sheet'!$D$44, elec_factors_CH4, V$352-1997, FALSE),"")</f>
        <v>0.1</v>
      </c>
      <c r="W354" s="942">
        <f>IFERROR(VLOOKUP('Control Sheet'!$D$44, elec_factors_CH4, W$352-1997, FALSE),"")</f>
        <v>9.0999999999999998E-2</v>
      </c>
      <c r="X354" s="814">
        <f>IFERROR(VLOOKUP('Control Sheet'!$D$44, elec_factors_CH4, X$352-1997, FALSE),"")</f>
        <v>9.0999999999999998E-2</v>
      </c>
      <c r="Y354" s="814">
        <f>IFERROR(VLOOKUP('Control Sheet'!$D$44, elec_factors_CH4, Y$352-1997, FALSE),"")</f>
        <v>9.0999999999999998E-2</v>
      </c>
      <c r="Z354" s="814">
        <f>IFERROR(VLOOKUP('Control Sheet'!$D$44, elec_factors_CH4, Z$352-1997, FALSE),"")</f>
        <v>9.0999999999999998E-2</v>
      </c>
      <c r="AA354" s="814">
        <f>IFERROR(VLOOKUP('Control Sheet'!$D$44, elec_factors_CH4, AA$352-1997, FALSE),"")</f>
        <v>9.0999999999999998E-2</v>
      </c>
    </row>
    <row r="355" spans="1:27" ht="16.5">
      <c r="A355" s="985" t="s">
        <v>457</v>
      </c>
      <c r="B355" s="815">
        <f>IFERROR(VLOOKUP('Control Sheet'!$D$44, elec_factors_N2O, B$352-1997, FALSE),"")</f>
        <v>6.4000000000000003E-3</v>
      </c>
      <c r="C355" s="815">
        <f>IFERROR(VLOOKUP('Control Sheet'!$D$44, elec_factors_N2O, C$352-1997, FALSE),"")</f>
        <v>6.4000000000000003E-3</v>
      </c>
      <c r="D355" s="815">
        <f>IFERROR(VLOOKUP('Control Sheet'!$D$44, elec_factors_N2O, D$352-1997, FALSE),"")</f>
        <v>6.4000000000000003E-3</v>
      </c>
      <c r="E355" s="815">
        <f>IFERROR(VLOOKUP('Control Sheet'!$D$44, elec_factors_N2O, E$352-1997, FALSE),"")</f>
        <v>6.4000000000000003E-3</v>
      </c>
      <c r="F355" s="815">
        <f>IFERROR(VLOOKUP('Control Sheet'!$D$44, elec_factors_N2O, F$352-1997, FALSE),"")</f>
        <v>6.4000000000000003E-3</v>
      </c>
      <c r="G355" s="815">
        <f>IFERROR(VLOOKUP('Control Sheet'!$D$44, elec_factors_N2O, G$352-1997, FALSE),"")</f>
        <v>6.5100000000000002E-3</v>
      </c>
      <c r="H355" s="815">
        <f>IFERROR(VLOOKUP('Control Sheet'!$D$44, elec_factors_N2O, H$352-1997, FALSE),"")</f>
        <v>6.9750000000000003E-3</v>
      </c>
      <c r="I355" s="815">
        <f>IFERROR(VLOOKUP('Control Sheet'!$D$44, elec_factors_N2O, I$352-1997, FALSE),"")</f>
        <v>7.4400000000000004E-3</v>
      </c>
      <c r="J355" s="815">
        <f>IFERROR(VLOOKUP('Control Sheet'!$D$44, elec_factors_N2O, J$352-1997, FALSE),"")</f>
        <v>7.5638500000000004E-3</v>
      </c>
      <c r="K355" s="815">
        <f>IFERROR(VLOOKUP('Control Sheet'!$D$44, elec_factors_N2O, K$352-1997, FALSE),"")</f>
        <v>7.6877000000000004E-3</v>
      </c>
      <c r="L355" s="815">
        <f>IFERROR(VLOOKUP('Control Sheet'!$D$44, elec_factors_N2O, L$352-1997, FALSE),"")</f>
        <v>7.1792000000000002E-3</v>
      </c>
      <c r="M355" s="815">
        <f>IFERROR(VLOOKUP('Control Sheet'!$D$44, elec_factors_N2O, M$352-1997, FALSE),"")</f>
        <v>7.3869822439804837E-3</v>
      </c>
      <c r="N355" s="815">
        <f>IFERROR(VLOOKUP('Control Sheet'!$D$44, elec_factors_N2O, N$352-1997, FALSE),"")</f>
        <v>7.594764487960968E-3</v>
      </c>
      <c r="O355" s="815">
        <f>IFERROR(VLOOKUP('Control Sheet'!$D$44, elec_factors_N2O, O$352-1997, FALSE),"")</f>
        <v>7.3778822439804839E-3</v>
      </c>
      <c r="P355" s="815">
        <f>IFERROR(VLOOKUP('Control Sheet'!$D$44, elec_factors_N2O, P$352-1997, FALSE),"")</f>
        <v>7.1609999999999998E-3</v>
      </c>
      <c r="Q355" s="815">
        <f>IFERROR(VLOOKUP('Control Sheet'!$D$44, elec_factors_N2O, Q$352-1997, FALSE),"")</f>
        <v>9.0805E-3</v>
      </c>
      <c r="R355" s="815">
        <f>IFERROR(VLOOKUP('Control Sheet'!$D$44, elec_factors_N2O, R$352-1997, FALSE),"")</f>
        <v>1.0999999999999999E-2</v>
      </c>
      <c r="S355" s="815">
        <f>IFERROR(VLOOKUP('Control Sheet'!$D$44, elec_factors_N2O, S$352-1997, FALSE),"")</f>
        <v>1.0999999999999999E-2</v>
      </c>
      <c r="T355" s="815">
        <f>IFERROR(VLOOKUP('Control Sheet'!$D$44, elec_factors_N2O, T$352-1997, FALSE),"")</f>
        <v>1.0999999999999999E-2</v>
      </c>
      <c r="U355" s="815">
        <f>IFERROR(VLOOKUP('Control Sheet'!$D$44, elec_factors_N2O, U$352-1997, FALSE),"")</f>
        <v>1.2999999999999999E-2</v>
      </c>
      <c r="V355" s="815">
        <f>IFERROR(VLOOKUP('Control Sheet'!$D$44, elec_factors_N2O, V$352-1997, FALSE),"")</f>
        <v>1.4E-2</v>
      </c>
      <c r="W355" s="942">
        <f>IFERROR(VLOOKUP('Control Sheet'!$D$44, elec_factors_N2O, W$352-1997, FALSE),"")</f>
        <v>1.2E-2</v>
      </c>
      <c r="X355" s="816">
        <f>IFERROR(VLOOKUP('Control Sheet'!$D$44, elec_factors_N2O, X$352-1997, FALSE),"")</f>
        <v>1.2E-2</v>
      </c>
      <c r="Y355" s="816">
        <f>IFERROR(VLOOKUP('Control Sheet'!$D$44, elec_factors_N2O, Y$352-1997, FALSE),"")</f>
        <v>1.2E-2</v>
      </c>
      <c r="Z355" s="816">
        <f>IFERROR(VLOOKUP('Control Sheet'!$D$44, elec_factors_N2O, Z$352-1997, FALSE),"")</f>
        <v>1.2E-2</v>
      </c>
      <c r="AA355" s="816">
        <f>IFERROR(VLOOKUP('Control Sheet'!$D$44, elec_factors_N2O, AA$352-1997, FALSE),"")</f>
        <v>1.2E-2</v>
      </c>
    </row>
    <row r="357" spans="1:27" ht="28.5" customHeight="1">
      <c r="A357" s="1116" t="s">
        <v>1032</v>
      </c>
      <c r="B357" s="1036"/>
      <c r="C357" s="1036"/>
      <c r="D357" s="1036"/>
      <c r="E357" s="1036"/>
      <c r="F357" s="1036"/>
      <c r="G357" s="1036"/>
      <c r="H357" s="1036"/>
      <c r="I357" s="1036"/>
      <c r="J357" s="1036"/>
      <c r="K357" s="1036"/>
      <c r="L357" s="1036"/>
      <c r="M357" s="1036"/>
      <c r="N357" s="1036"/>
      <c r="O357" s="1036"/>
      <c r="P357" s="1036"/>
    </row>
    <row r="359" spans="1:27" s="11" customFormat="1">
      <c r="A359" s="267" t="s">
        <v>1033</v>
      </c>
    </row>
    <row r="361" spans="1:27" ht="16.5">
      <c r="A361" s="268" t="s">
        <v>1034</v>
      </c>
    </row>
    <row r="362" spans="1:27" ht="43.5">
      <c r="A362" s="268" t="s">
        <v>1035</v>
      </c>
      <c r="B362" s="517" t="s">
        <v>1036</v>
      </c>
      <c r="C362" s="517" t="s">
        <v>1037</v>
      </c>
      <c r="D362" s="517" t="s">
        <v>1038</v>
      </c>
      <c r="E362" s="517" t="s">
        <v>1039</v>
      </c>
      <c r="F362" s="517" t="s">
        <v>1040</v>
      </c>
      <c r="G362" s="517" t="s">
        <v>1041</v>
      </c>
    </row>
    <row r="364" spans="1:27">
      <c r="A364" s="265" t="s">
        <v>1042</v>
      </c>
      <c r="B364" s="963">
        <v>1</v>
      </c>
      <c r="C364" s="963">
        <v>0.1</v>
      </c>
      <c r="D364" s="963">
        <v>0.3</v>
      </c>
      <c r="E364" s="963">
        <v>1.2500000000000001E-2</v>
      </c>
      <c r="F364" s="963">
        <v>0.01</v>
      </c>
      <c r="G364" s="963">
        <v>2.5000000000000001E-2</v>
      </c>
    </row>
    <row r="365" spans="1:27">
      <c r="A365" s="265" t="s">
        <v>1043</v>
      </c>
      <c r="B365" s="963">
        <v>3.6999999999999998E-2</v>
      </c>
      <c r="C365" s="963">
        <v>0.2</v>
      </c>
      <c r="D365" s="963">
        <v>0.3</v>
      </c>
      <c r="E365" s="963">
        <v>1.2500000000000001E-2</v>
      </c>
      <c r="F365" s="963">
        <v>0.01</v>
      </c>
      <c r="G365" s="963">
        <v>2.5000000000000001E-2</v>
      </c>
    </row>
    <row r="366" spans="1:27">
      <c r="A366" s="265" t="s">
        <v>1044</v>
      </c>
      <c r="B366" s="963">
        <v>5.0000000000000001E-3</v>
      </c>
      <c r="C366" s="963">
        <v>0.2</v>
      </c>
      <c r="D366" s="963">
        <v>0.3</v>
      </c>
      <c r="E366" s="963">
        <v>1.2500000000000001E-2</v>
      </c>
      <c r="F366" s="963">
        <v>0.01</v>
      </c>
      <c r="G366" s="963">
        <v>2.5000000000000001E-2</v>
      </c>
    </row>
    <row r="367" spans="1:27">
      <c r="A367" s="265" t="s">
        <v>1045</v>
      </c>
    </row>
    <row r="368" spans="1:27">
      <c r="A368" s="265" t="s">
        <v>1046</v>
      </c>
      <c r="B368" s="71" t="s">
        <v>1047</v>
      </c>
    </row>
    <row r="370" spans="1:3">
      <c r="B370" s="817" t="s">
        <v>1048</v>
      </c>
      <c r="C370" s="817">
        <f>44/28</f>
        <v>1.5714285714285714</v>
      </c>
    </row>
    <row r="372" spans="1:3">
      <c r="A372" s="265" t="s">
        <v>1049</v>
      </c>
      <c r="B372" s="860">
        <v>2.23</v>
      </c>
      <c r="C372" t="s">
        <v>1050</v>
      </c>
    </row>
    <row r="373" spans="1:3">
      <c r="A373" s="286" t="s">
        <v>1051</v>
      </c>
    </row>
  </sheetData>
  <mergeCells count="21">
    <mergeCell ref="D19:F21"/>
    <mergeCell ref="A357:P357"/>
    <mergeCell ref="G49:H49"/>
    <mergeCell ref="A316:N316"/>
    <mergeCell ref="A179:P179"/>
    <mergeCell ref="A341:B341"/>
    <mergeCell ref="G50:H50"/>
    <mergeCell ref="G51:H51"/>
    <mergeCell ref="G52:H52"/>
    <mergeCell ref="G327:I327"/>
    <mergeCell ref="G328:I328"/>
    <mergeCell ref="G329:I329"/>
    <mergeCell ref="G330:I330"/>
    <mergeCell ref="G331:I331"/>
    <mergeCell ref="G332:I332"/>
    <mergeCell ref="G56:H56"/>
    <mergeCell ref="J29:L29"/>
    <mergeCell ref="J30:L30"/>
    <mergeCell ref="G53:H53"/>
    <mergeCell ref="G54:H54"/>
    <mergeCell ref="G55:H55"/>
  </mergeCells>
  <pageMargins left="0.7" right="0.7" top="0.75" bottom="0.75" header="0.3" footer="0.3"/>
  <pageSetup orientation="portrait" r:id="rId1"/>
  <ignoredErrors>
    <ignoredError sqref="O121:Q146 O151:S176 J151:J176 J121:J146" formula="1"/>
  </ignoredErrors>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0" tint="-0.499984740745262"/>
  </sheetPr>
  <dimension ref="A1:U78"/>
  <sheetViews>
    <sheetView showGridLines="0" zoomScaleNormal="100" workbookViewId="0"/>
  </sheetViews>
  <sheetFormatPr defaultColWidth="8.81640625" defaultRowHeight="14.5"/>
  <cols>
    <col min="1" max="1" width="19.453125" style="576" bestFit="1" customWidth="1"/>
    <col min="2" max="2" width="10.453125" style="576" customWidth="1"/>
    <col min="3" max="3" width="12" style="576" bestFit="1" customWidth="1"/>
    <col min="4" max="5" width="8.81640625" style="576"/>
    <col min="6" max="6" width="10" style="576" customWidth="1"/>
    <col min="7" max="7" width="8.81640625" style="576"/>
    <col min="8" max="8" width="12" style="576" bestFit="1" customWidth="1"/>
    <col min="9" max="9" width="17.81640625" style="576" bestFit="1" customWidth="1"/>
    <col min="10" max="10" width="12.26953125" style="576" customWidth="1"/>
    <col min="11" max="11" width="13.453125" style="576" bestFit="1" customWidth="1"/>
    <col min="12" max="12" width="12" style="576" bestFit="1" customWidth="1"/>
    <col min="13" max="13" width="12.1796875" style="576" customWidth="1"/>
    <col min="14" max="14" width="15.81640625" style="576" customWidth="1"/>
    <col min="15" max="15" width="14.7265625" style="576" customWidth="1"/>
    <col min="16" max="16" width="14.1796875" style="576" customWidth="1"/>
    <col min="17" max="17" width="12.7265625" style="576" customWidth="1"/>
    <col min="18" max="16384" width="8.81640625" style="576"/>
  </cols>
  <sheetData>
    <row r="1" spans="1:21" s="592" customFormat="1" ht="38.25" customHeight="1" thickBot="1">
      <c r="A1" s="594" t="s">
        <v>143</v>
      </c>
    </row>
    <row r="2" spans="1:21">
      <c r="I2" s="595" t="s">
        <v>1052</v>
      </c>
    </row>
    <row r="3" spans="1:21">
      <c r="I3" s="818">
        <v>4</v>
      </c>
    </row>
    <row r="4" spans="1:21">
      <c r="A4" s="589" t="s">
        <v>1053</v>
      </c>
      <c r="B4" s="576" t="s">
        <v>710</v>
      </c>
      <c r="I4" s="589" t="s">
        <v>152</v>
      </c>
      <c r="J4" s="589" t="s">
        <v>1054</v>
      </c>
      <c r="K4" s="589"/>
      <c r="M4" s="589"/>
      <c r="N4" s="589" t="s">
        <v>1055</v>
      </c>
      <c r="O4" s="589" t="s">
        <v>1056</v>
      </c>
      <c r="P4" s="589" t="s">
        <v>1057</v>
      </c>
      <c r="Q4" s="589" t="s">
        <v>1058</v>
      </c>
      <c r="R4" s="589" t="s">
        <v>1059</v>
      </c>
      <c r="S4" s="589" t="s">
        <v>804</v>
      </c>
      <c r="U4" s="589" t="s">
        <v>1060</v>
      </c>
    </row>
    <row r="5" spans="1:21">
      <c r="I5" s="596" t="str">
        <f>'Control Sheet'!D16</f>
        <v>Residential</v>
      </c>
      <c r="J5" s="597">
        <f>'Solid Waste-Control'!C28</f>
        <v>0</v>
      </c>
      <c r="N5" s="576" t="s">
        <v>169</v>
      </c>
      <c r="O5" s="597" t="s">
        <v>1061</v>
      </c>
      <c r="P5" s="576" t="s">
        <v>1024</v>
      </c>
      <c r="Q5" s="576" t="s">
        <v>1062</v>
      </c>
      <c r="R5" s="576" t="s">
        <v>1063</v>
      </c>
      <c r="S5" s="576">
        <v>1</v>
      </c>
      <c r="U5" s="576" t="b">
        <v>1</v>
      </c>
    </row>
    <row r="6" spans="1:21">
      <c r="I6" s="598" t="str">
        <f>'Control Sheet'!D17</f>
        <v>Commercial/Institutional</v>
      </c>
      <c r="J6" s="599">
        <f>'Solid Waste-Control'!C29</f>
        <v>0</v>
      </c>
      <c r="N6" s="576" t="s">
        <v>171</v>
      </c>
      <c r="O6" s="597" t="s">
        <v>1064</v>
      </c>
      <c r="P6" s="576" t="s">
        <v>1025</v>
      </c>
      <c r="Q6" s="576" t="s">
        <v>1065</v>
      </c>
      <c r="R6" s="576" t="s">
        <v>630</v>
      </c>
      <c r="S6" s="576">
        <v>2</v>
      </c>
      <c r="U6" s="576" t="b">
        <v>1</v>
      </c>
    </row>
    <row r="7" spans="1:21">
      <c r="I7" s="598" t="str">
        <f>'Control Sheet'!D18</f>
        <v>Industrial</v>
      </c>
      <c r="J7" s="599">
        <f>'Solid Waste-Control'!C30</f>
        <v>0</v>
      </c>
      <c r="N7" s="576" t="s">
        <v>172</v>
      </c>
      <c r="O7" s="597" t="s">
        <v>1066</v>
      </c>
      <c r="P7" s="576" t="s">
        <v>1026</v>
      </c>
      <c r="Q7" s="576" t="s">
        <v>353</v>
      </c>
      <c r="S7" s="576">
        <v>3</v>
      </c>
      <c r="U7" s="576" t="b">
        <v>1</v>
      </c>
    </row>
    <row r="8" spans="1:21">
      <c r="I8" s="598" t="str">
        <f>'Control Sheet'!D19</f>
        <v>Energy Generation</v>
      </c>
      <c r="J8" s="599">
        <f>'Solid Waste-Control'!C31</f>
        <v>0</v>
      </c>
      <c r="N8" s="576" t="s">
        <v>174</v>
      </c>
      <c r="O8" s="599" t="s">
        <v>1067</v>
      </c>
      <c r="P8" s="576" t="s">
        <v>1027</v>
      </c>
      <c r="U8" s="576" t="b">
        <v>1</v>
      </c>
    </row>
    <row r="9" spans="1:21">
      <c r="I9" s="598">
        <f>'Control Sheet'!D20</f>
        <v>0</v>
      </c>
      <c r="J9" s="599">
        <f>'Solid Waste-Control'!C32</f>
        <v>0</v>
      </c>
      <c r="N9" s="576" t="s">
        <v>175</v>
      </c>
      <c r="O9" s="599" t="s">
        <v>1068</v>
      </c>
      <c r="U9" s="576" t="b">
        <v>1</v>
      </c>
    </row>
    <row r="10" spans="1:21">
      <c r="I10" s="598">
        <f>'Control Sheet'!D21</f>
        <v>0</v>
      </c>
      <c r="J10" s="599">
        <f>'Solid Waste-Control'!C33</f>
        <v>0</v>
      </c>
      <c r="N10" s="576" t="s">
        <v>176</v>
      </c>
      <c r="O10" s="599" t="s">
        <v>1069</v>
      </c>
    </row>
    <row r="11" spans="1:21">
      <c r="A11" s="576" t="s">
        <v>1070</v>
      </c>
      <c r="B11" s="576">
        <f>ROW(MobCurrentID)+2+COUNTIF('Mobile-Data'!A9:A65535,"&gt;0")</f>
        <v>9</v>
      </c>
      <c r="I11" s="598">
        <f>'Control Sheet'!D22</f>
        <v>0</v>
      </c>
      <c r="J11" s="599">
        <f>'Solid Waste-Control'!C34</f>
        <v>0</v>
      </c>
      <c r="N11" s="576" t="s">
        <v>177</v>
      </c>
      <c r="O11" s="599" t="s">
        <v>1071</v>
      </c>
    </row>
    <row r="12" spans="1:21">
      <c r="A12" s="576" t="s">
        <v>1072</v>
      </c>
      <c r="B12" s="576">
        <f ca="1">IF(OFFSET(MobCurrentID,2,0)=0,0,ROW(OFFSET(MobCurrentID,2,0)))</f>
        <v>0</v>
      </c>
      <c r="I12" s="598">
        <f>'Control Sheet'!D23</f>
        <v>0</v>
      </c>
      <c r="J12" s="599">
        <f>'Solid Waste-Control'!C35</f>
        <v>0</v>
      </c>
      <c r="N12" s="576" t="s">
        <v>178</v>
      </c>
      <c r="O12" s="599" t="s">
        <v>1073</v>
      </c>
    </row>
    <row r="13" spans="1:21">
      <c r="A13" s="576" t="s">
        <v>1074</v>
      </c>
      <c r="B13" s="576">
        <f>mob_EntryRow-1</f>
        <v>8</v>
      </c>
      <c r="I13" s="598">
        <f>'Control Sheet'!D24</f>
        <v>0</v>
      </c>
      <c r="J13" s="599">
        <f>'Solid Waste-Control'!C36</f>
        <v>0</v>
      </c>
      <c r="N13" s="576" t="s">
        <v>179</v>
      </c>
      <c r="O13" s="599" t="s">
        <v>1075</v>
      </c>
    </row>
    <row r="14" spans="1:21">
      <c r="I14" s="598">
        <f>'Control Sheet'!D25</f>
        <v>0</v>
      </c>
      <c r="J14" s="600">
        <f>'Solid Waste-Control'!C37</f>
        <v>0</v>
      </c>
      <c r="N14" s="576" t="s">
        <v>180</v>
      </c>
      <c r="O14" s="599" t="s">
        <v>1076</v>
      </c>
    </row>
    <row r="15" spans="1:21">
      <c r="A15" s="576" t="s">
        <v>1077</v>
      </c>
      <c r="B15" s="576">
        <f>ROW(elec_CurrentID)+2+COUNTIF('Electricity-Data'!A9:A65519,"&gt;0")</f>
        <v>9</v>
      </c>
      <c r="I15" s="599">
        <f>'Control Sheet'!D26</f>
        <v>0</v>
      </c>
      <c r="N15" s="576" t="s">
        <v>266</v>
      </c>
      <c r="O15" s="599" t="s">
        <v>1078</v>
      </c>
    </row>
    <row r="16" spans="1:21">
      <c r="A16" s="576" t="s">
        <v>1079</v>
      </c>
      <c r="B16" s="576">
        <f ca="1">IF(OFFSET(elec_CurrentID,2,0)=0,0,ROW(OFFSET(elec_CurrentID,2,0)))</f>
        <v>0</v>
      </c>
      <c r="I16" s="599">
        <f>'Control Sheet'!D27</f>
        <v>0</v>
      </c>
      <c r="N16" s="576" t="s">
        <v>267</v>
      </c>
      <c r="O16" s="599" t="s">
        <v>1080</v>
      </c>
    </row>
    <row r="17" spans="1:21">
      <c r="A17" s="576" t="s">
        <v>1081</v>
      </c>
      <c r="B17" s="576">
        <f>elec_EntryRow-1</f>
        <v>8</v>
      </c>
      <c r="I17" s="599">
        <f>'Control Sheet'!D28</f>
        <v>0</v>
      </c>
      <c r="N17" s="576" t="s">
        <v>268</v>
      </c>
      <c r="O17" s="599" t="s">
        <v>1082</v>
      </c>
      <c r="U17" s="576">
        <f>COUNTIF(U5:U16,TRUE)</f>
        <v>5</v>
      </c>
    </row>
    <row r="18" spans="1:21">
      <c r="A18" s="576" t="s">
        <v>1083</v>
      </c>
      <c r="B18" s="576">
        <f>MyYear-1998</f>
        <v>-1998</v>
      </c>
      <c r="I18" s="599">
        <f>'Control Sheet'!D29</f>
        <v>0</v>
      </c>
      <c r="N18" s="576" t="s">
        <v>269</v>
      </c>
      <c r="O18" s="599" t="s">
        <v>1084</v>
      </c>
    </row>
    <row r="19" spans="1:21">
      <c r="I19" s="599">
        <f>'Control Sheet'!D30</f>
        <v>0</v>
      </c>
      <c r="N19" s="576" t="s">
        <v>270</v>
      </c>
      <c r="O19" s="599" t="s">
        <v>1085</v>
      </c>
    </row>
    <row r="20" spans="1:21">
      <c r="A20" s="576" t="s">
        <v>1086</v>
      </c>
      <c r="B20" s="576">
        <f>ROW(stat_CurrentID)+2+COUNTIF('Stationary-Data'!A9:A65519,"&gt;0")</f>
        <v>9</v>
      </c>
      <c r="I20" s="599">
        <f>'Control Sheet'!D31</f>
        <v>0</v>
      </c>
      <c r="N20" s="576" t="s">
        <v>271</v>
      </c>
      <c r="O20" s="599" t="s">
        <v>1087</v>
      </c>
    </row>
    <row r="21" spans="1:21">
      <c r="A21" s="576" t="s">
        <v>1088</v>
      </c>
      <c r="B21" s="576">
        <f ca="1">IF(OFFSET(stat_CurrentID,2,0)=0,0,ROW(OFFSET(stat_CurrentID,2,0)))</f>
        <v>0</v>
      </c>
      <c r="I21" s="599">
        <f>'Control Sheet'!D32</f>
        <v>0</v>
      </c>
      <c r="O21" s="599" t="s">
        <v>1089</v>
      </c>
    </row>
    <row r="22" spans="1:21">
      <c r="A22" s="576" t="s">
        <v>1090</v>
      </c>
      <c r="B22" s="576">
        <f>stat_EntryRow-1</f>
        <v>8</v>
      </c>
      <c r="I22" s="599">
        <f>'Control Sheet'!D33</f>
        <v>0</v>
      </c>
      <c r="O22" s="576" t="s">
        <v>1091</v>
      </c>
    </row>
    <row r="23" spans="1:21">
      <c r="I23" s="599">
        <f>'Control Sheet'!D34</f>
        <v>0</v>
      </c>
      <c r="O23" s="576" t="s">
        <v>1092</v>
      </c>
    </row>
    <row r="24" spans="1:21">
      <c r="I24" s="600">
        <f>'Control Sheet'!D35</f>
        <v>0</v>
      </c>
      <c r="O24" s="576" t="s">
        <v>1093</v>
      </c>
    </row>
    <row r="25" spans="1:21">
      <c r="B25" s="589" t="s">
        <v>1094</v>
      </c>
      <c r="O25" s="576" t="s">
        <v>1095</v>
      </c>
    </row>
    <row r="26" spans="1:21" ht="29">
      <c r="A26" s="819" t="s">
        <v>450</v>
      </c>
      <c r="B26" s="601" t="s">
        <v>175</v>
      </c>
      <c r="C26" s="602" t="s">
        <v>172</v>
      </c>
      <c r="D26" s="602" t="s">
        <v>377</v>
      </c>
      <c r="E26" s="602" t="s">
        <v>378</v>
      </c>
      <c r="F26" s="602" t="s">
        <v>408</v>
      </c>
      <c r="G26" s="602" t="s">
        <v>380</v>
      </c>
      <c r="H26" s="602" t="s">
        <v>383</v>
      </c>
      <c r="I26" s="602" t="s">
        <v>174</v>
      </c>
      <c r="J26" s="602" t="s">
        <v>391</v>
      </c>
      <c r="K26" s="602" t="s">
        <v>180</v>
      </c>
      <c r="L26" s="603" t="s">
        <v>389</v>
      </c>
      <c r="O26" s="576" t="s">
        <v>1096</v>
      </c>
      <c r="R26" s="604"/>
    </row>
    <row r="27" spans="1:21" ht="15.5">
      <c r="A27" s="818" t="s">
        <v>409</v>
      </c>
      <c r="B27" s="818" t="s">
        <v>410</v>
      </c>
      <c r="C27" s="818" t="s">
        <v>410</v>
      </c>
      <c r="D27" s="818" t="s">
        <v>410</v>
      </c>
      <c r="E27" s="818" t="s">
        <v>410</v>
      </c>
      <c r="F27" s="818" t="s">
        <v>410</v>
      </c>
      <c r="G27" s="818" t="s">
        <v>39</v>
      </c>
      <c r="H27" s="818" t="s">
        <v>410</v>
      </c>
      <c r="I27" s="818" t="s">
        <v>410</v>
      </c>
      <c r="J27" s="818" t="s">
        <v>410</v>
      </c>
      <c r="K27" s="818" t="s">
        <v>410</v>
      </c>
      <c r="L27" s="818" t="s">
        <v>410</v>
      </c>
      <c r="O27" s="576" t="s">
        <v>1097</v>
      </c>
      <c r="R27" s="604"/>
    </row>
    <row r="28" spans="1:21" ht="15.5">
      <c r="A28" s="820">
        <f>mob_entry_vehtype</f>
        <v>0</v>
      </c>
      <c r="B28" s="605" t="e">
        <f>VLOOKUP($A$28,$A$29:$L$38,MATCH(B$26,$A$26:$L$26,0),FALSE)</f>
        <v>#N/A</v>
      </c>
      <c r="C28" s="605" t="e">
        <f t="shared" ref="C28:L28" si="0">VLOOKUP($A$28,$A$29:$L$38,MATCH(C$26,$A$26:$L$26,0),FALSE)</f>
        <v>#N/A</v>
      </c>
      <c r="D28" s="605" t="e">
        <f t="shared" si="0"/>
        <v>#N/A</v>
      </c>
      <c r="E28" s="605" t="e">
        <f t="shared" si="0"/>
        <v>#N/A</v>
      </c>
      <c r="F28" s="605" t="e">
        <f t="shared" si="0"/>
        <v>#N/A</v>
      </c>
      <c r="G28" s="605" t="e">
        <f t="shared" si="0"/>
        <v>#N/A</v>
      </c>
      <c r="H28" s="605" t="e">
        <f t="shared" si="0"/>
        <v>#N/A</v>
      </c>
      <c r="I28" s="605" t="e">
        <f t="shared" si="0"/>
        <v>#N/A</v>
      </c>
      <c r="J28" s="605" t="e">
        <f t="shared" si="0"/>
        <v>#N/A</v>
      </c>
      <c r="K28" s="605" t="e">
        <f t="shared" si="0"/>
        <v>#N/A</v>
      </c>
      <c r="L28" s="605" t="e">
        <f t="shared" si="0"/>
        <v>#N/A</v>
      </c>
      <c r="O28" s="576" t="s">
        <v>1098</v>
      </c>
      <c r="R28" s="604"/>
    </row>
    <row r="29" spans="1:21" ht="15.5">
      <c r="A29" s="599" t="s">
        <v>347</v>
      </c>
      <c r="B29" s="598">
        <v>1</v>
      </c>
      <c r="C29" s="576">
        <v>1</v>
      </c>
      <c r="D29" s="576">
        <v>1</v>
      </c>
      <c r="E29" s="576">
        <v>1</v>
      </c>
      <c r="F29" s="576">
        <v>1</v>
      </c>
      <c r="G29" s="576">
        <v>1</v>
      </c>
      <c r="I29" s="576">
        <v>1</v>
      </c>
      <c r="L29" s="606"/>
      <c r="O29" s="576" t="s">
        <v>1099</v>
      </c>
      <c r="R29" s="604"/>
    </row>
    <row r="30" spans="1:21" ht="15.5">
      <c r="A30" s="599" t="s">
        <v>364</v>
      </c>
      <c r="B30" s="598">
        <v>1</v>
      </c>
      <c r="C30" s="576">
        <v>1</v>
      </c>
      <c r="D30" s="576">
        <v>1</v>
      </c>
      <c r="E30" s="576">
        <v>1</v>
      </c>
      <c r="F30" s="576">
        <v>1</v>
      </c>
      <c r="G30" s="576">
        <v>1</v>
      </c>
      <c r="I30" s="576">
        <v>1</v>
      </c>
      <c r="L30" s="606"/>
      <c r="O30" s="576" t="s">
        <v>1100</v>
      </c>
      <c r="R30" s="604"/>
    </row>
    <row r="31" spans="1:21" ht="15.5">
      <c r="A31" s="599" t="s">
        <v>351</v>
      </c>
      <c r="B31" s="598">
        <v>1</v>
      </c>
      <c r="C31" s="576">
        <v>1</v>
      </c>
      <c r="D31" s="576">
        <v>1</v>
      </c>
      <c r="E31" s="576">
        <v>1</v>
      </c>
      <c r="F31" s="576">
        <v>1</v>
      </c>
      <c r="G31" s="576">
        <v>1</v>
      </c>
      <c r="H31" s="576">
        <v>1</v>
      </c>
      <c r="I31" s="576">
        <v>1</v>
      </c>
      <c r="L31" s="606"/>
      <c r="O31" s="576" t="s">
        <v>1101</v>
      </c>
      <c r="R31" s="604"/>
    </row>
    <row r="32" spans="1:21" ht="15.5">
      <c r="A32" s="599" t="s">
        <v>352</v>
      </c>
      <c r="B32" s="598">
        <v>1</v>
      </c>
      <c r="L32" s="606"/>
      <c r="O32" s="576" t="s">
        <v>1102</v>
      </c>
      <c r="R32" s="604"/>
    </row>
    <row r="33" spans="1:18" ht="15.5">
      <c r="A33" s="599" t="s">
        <v>365</v>
      </c>
      <c r="B33" s="598">
        <v>1</v>
      </c>
      <c r="C33" s="576">
        <v>1</v>
      </c>
      <c r="L33" s="606"/>
      <c r="O33" s="576" t="s">
        <v>1103</v>
      </c>
      <c r="R33" s="604"/>
    </row>
    <row r="34" spans="1:18" ht="15.5">
      <c r="A34" s="599" t="s">
        <v>366</v>
      </c>
      <c r="B34" s="598">
        <v>1</v>
      </c>
      <c r="C34" s="576">
        <v>1</v>
      </c>
      <c r="L34" s="606"/>
      <c r="O34" s="576" t="s">
        <v>1104</v>
      </c>
      <c r="R34" s="604"/>
    </row>
    <row r="35" spans="1:18" ht="15.5">
      <c r="A35" s="599" t="s">
        <v>367</v>
      </c>
      <c r="B35" s="598">
        <v>1</v>
      </c>
      <c r="C35" s="576">
        <v>1</v>
      </c>
      <c r="L35" s="606"/>
      <c r="O35" s="576" t="s">
        <v>1105</v>
      </c>
      <c r="R35" s="604"/>
    </row>
    <row r="36" spans="1:18" ht="15.5">
      <c r="A36" s="599" t="s">
        <v>368</v>
      </c>
      <c r="B36" s="598"/>
      <c r="K36" s="576">
        <v>1</v>
      </c>
      <c r="L36" s="606">
        <v>1</v>
      </c>
      <c r="O36" s="576" t="s">
        <v>1106</v>
      </c>
      <c r="R36" s="604"/>
    </row>
    <row r="37" spans="1:18" ht="15.5">
      <c r="A37" s="599" t="s">
        <v>369</v>
      </c>
      <c r="B37" s="598">
        <v>1</v>
      </c>
      <c r="C37" s="576">
        <v>1</v>
      </c>
      <c r="J37" s="576">
        <v>1</v>
      </c>
      <c r="L37" s="606"/>
      <c r="O37" s="576" t="s">
        <v>1107</v>
      </c>
      <c r="R37" s="604"/>
    </row>
    <row r="38" spans="1:18" ht="15.5">
      <c r="A38" s="600" t="s">
        <v>370</v>
      </c>
      <c r="B38" s="607"/>
      <c r="C38" s="608">
        <v>1</v>
      </c>
      <c r="D38" s="608"/>
      <c r="E38" s="608"/>
      <c r="F38" s="608"/>
      <c r="G38" s="608"/>
      <c r="H38" s="608"/>
      <c r="I38" s="608"/>
      <c r="J38" s="608"/>
      <c r="K38" s="608"/>
      <c r="L38" s="609"/>
      <c r="O38" s="576" t="s">
        <v>1108</v>
      </c>
      <c r="R38" s="604"/>
    </row>
    <row r="39" spans="1:18" ht="15.5">
      <c r="O39" s="576" t="s">
        <v>1109</v>
      </c>
      <c r="R39" s="604"/>
    </row>
    <row r="40" spans="1:18" ht="15.5">
      <c r="O40" s="576" t="s">
        <v>1110</v>
      </c>
      <c r="R40" s="604"/>
    </row>
    <row r="41" spans="1:18" ht="15.5">
      <c r="O41" s="576" t="s">
        <v>1111</v>
      </c>
      <c r="R41" s="604"/>
    </row>
    <row r="42" spans="1:18" ht="15.5">
      <c r="B42" s="576" t="s">
        <v>1112</v>
      </c>
      <c r="C42" s="576" t="e">
        <f>SUM(B28:L28)</f>
        <v>#N/A</v>
      </c>
      <c r="O42" s="576" t="s">
        <v>1113</v>
      </c>
      <c r="R42" s="604"/>
    </row>
    <row r="43" spans="1:18" ht="15.5">
      <c r="A43" s="576">
        <v>1</v>
      </c>
      <c r="B43" s="576" t="e">
        <f>EligibleItem($C$42,A43,$B$28:$L$28,$B$26:$L$26)</f>
        <v>#VALUE!</v>
      </c>
      <c r="F43" s="610"/>
      <c r="O43" s="576" t="s">
        <v>1114</v>
      </c>
      <c r="R43" s="604"/>
    </row>
    <row r="44" spans="1:18" ht="15.5">
      <c r="A44" s="576">
        <v>2</v>
      </c>
      <c r="B44" s="576" t="e">
        <f t="shared" ref="B44:B53" si="1">EligibleItem($C$42,A44,$B$28:$L$28,$B$26:$L$26)</f>
        <v>#VALUE!</v>
      </c>
      <c r="F44" s="610"/>
      <c r="R44" s="604"/>
    </row>
    <row r="45" spans="1:18" ht="15.5">
      <c r="A45" s="576">
        <v>3</v>
      </c>
      <c r="B45" s="576" t="e">
        <f t="shared" si="1"/>
        <v>#VALUE!</v>
      </c>
      <c r="F45" s="610"/>
      <c r="R45" s="604"/>
    </row>
    <row r="46" spans="1:18" ht="15.5">
      <c r="A46" s="576">
        <v>4</v>
      </c>
      <c r="B46" s="576" t="e">
        <f t="shared" si="1"/>
        <v>#VALUE!</v>
      </c>
      <c r="F46" s="610"/>
      <c r="R46" s="604"/>
    </row>
    <row r="47" spans="1:18">
      <c r="A47" s="576">
        <v>5</v>
      </c>
      <c r="B47" s="576" t="e">
        <f t="shared" si="1"/>
        <v>#VALUE!</v>
      </c>
      <c r="F47" s="610"/>
    </row>
    <row r="48" spans="1:18">
      <c r="A48" s="576">
        <v>6</v>
      </c>
      <c r="B48" s="576" t="e">
        <f t="shared" si="1"/>
        <v>#VALUE!</v>
      </c>
    </row>
    <row r="49" spans="1:9">
      <c r="A49" s="576">
        <v>7</v>
      </c>
      <c r="B49" s="576" t="e">
        <f t="shared" si="1"/>
        <v>#VALUE!</v>
      </c>
    </row>
    <row r="50" spans="1:9">
      <c r="A50" s="576">
        <v>8</v>
      </c>
      <c r="B50" s="576" t="e">
        <f t="shared" si="1"/>
        <v>#VALUE!</v>
      </c>
    </row>
    <row r="51" spans="1:9">
      <c r="A51" s="576">
        <v>9</v>
      </c>
      <c r="B51" s="576" t="e">
        <f t="shared" si="1"/>
        <v>#VALUE!</v>
      </c>
    </row>
    <row r="52" spans="1:9">
      <c r="A52" s="576">
        <v>10</v>
      </c>
      <c r="B52" s="576" t="e">
        <f t="shared" si="1"/>
        <v>#VALUE!</v>
      </c>
    </row>
    <row r="53" spans="1:9">
      <c r="A53" s="576">
        <v>11</v>
      </c>
      <c r="B53" s="576" t="e">
        <f t="shared" si="1"/>
        <v>#VALUE!</v>
      </c>
    </row>
    <row r="58" spans="1:9">
      <c r="A58" s="589" t="s">
        <v>1115</v>
      </c>
      <c r="B58" s="611">
        <f>'Control Sheet'!D46</f>
        <v>0</v>
      </c>
      <c r="C58" s="611">
        <f>'Control Sheet'!D47</f>
        <v>0</v>
      </c>
      <c r="D58" s="611">
        <f>'Control Sheet'!D48</f>
        <v>0</v>
      </c>
      <c r="E58" s="611">
        <f>'Control Sheet'!D49</f>
        <v>0</v>
      </c>
      <c r="F58" s="611">
        <f>'Control Sheet'!D50</f>
        <v>0</v>
      </c>
      <c r="I58" s="589"/>
    </row>
    <row r="59" spans="1:9">
      <c r="B59" s="608">
        <f>IF('Control Sheet'!B46=TRUE,1,0)</f>
        <v>1</v>
      </c>
      <c r="C59" s="608">
        <f>IF('Control Sheet'!B47=TRUE,1,0)</f>
        <v>0</v>
      </c>
      <c r="D59" s="608">
        <f>IF('Control Sheet'!B48=TRUE,1,0)</f>
        <v>0</v>
      </c>
      <c r="E59" s="608">
        <f>IF('Control Sheet'!B49=TRUE,1,0)</f>
        <v>0</v>
      </c>
      <c r="F59" s="608">
        <f>IF('Control Sheet'!B50=TRUE,1,0)</f>
        <v>0</v>
      </c>
    </row>
    <row r="61" spans="1:9">
      <c r="B61" s="576" t="s">
        <v>1116</v>
      </c>
      <c r="C61" s="576">
        <f>SUM(B59:F59)</f>
        <v>1</v>
      </c>
    </row>
    <row r="62" spans="1:9">
      <c r="B62" s="576" t="str">
        <f>'Control Sheet'!D44</f>
        <v>AKGD eGRID subregion</v>
      </c>
    </row>
    <row r="63" spans="1:9">
      <c r="A63" s="576">
        <v>1</v>
      </c>
      <c r="B63" s="576">
        <f t="shared" ref="B63:B68" si="2">EligibleItem($C$61,A63,$B$59:$F$59,$B$58:$F$58)</f>
        <v>0</v>
      </c>
    </row>
    <row r="64" spans="1:9">
      <c r="A64" s="576">
        <v>2</v>
      </c>
      <c r="B64" s="576">
        <f t="shared" si="2"/>
        <v>0</v>
      </c>
    </row>
    <row r="65" spans="1:4">
      <c r="A65" s="576">
        <v>3</v>
      </c>
      <c r="B65" s="576">
        <f t="shared" si="2"/>
        <v>0</v>
      </c>
    </row>
    <row r="66" spans="1:4">
      <c r="A66" s="576">
        <v>4</v>
      </c>
      <c r="B66" s="576">
        <f t="shared" si="2"/>
        <v>0</v>
      </c>
    </row>
    <row r="67" spans="1:4">
      <c r="A67" s="576">
        <v>5</v>
      </c>
      <c r="B67" s="576">
        <f t="shared" si="2"/>
        <v>0</v>
      </c>
    </row>
    <row r="68" spans="1:4">
      <c r="A68" s="576">
        <v>6</v>
      </c>
      <c r="B68" s="576">
        <f t="shared" si="2"/>
        <v>0</v>
      </c>
    </row>
    <row r="71" spans="1:4">
      <c r="A71" s="1" t="s">
        <v>1117</v>
      </c>
      <c r="B71"/>
      <c r="C71" t="s">
        <v>1118</v>
      </c>
      <c r="D71">
        <v>73</v>
      </c>
    </row>
    <row r="72" spans="1:4">
      <c r="A72"/>
      <c r="B72" t="s">
        <v>1119</v>
      </c>
      <c r="C72"/>
      <c r="D72"/>
    </row>
    <row r="73" spans="1:4">
      <c r="A73">
        <v>1</v>
      </c>
      <c r="B73" s="71" t="str">
        <f t="shared" ref="B73:B78" si="3">IFERROR(IF(ISBLANK(D73),"",D73),"")</f>
        <v/>
      </c>
      <c r="C73"/>
      <c r="D73" s="112" t="e" cm="1" vm="1">
        <f t="array" ref="D73">_xlfn.UNIQUE(_xlfn._xlws.FILTER(contractual_instrument_entries,contractual_instrument_entries&lt;&gt;0))</f>
        <v>#VALUE!</v>
      </c>
    </row>
    <row r="74" spans="1:4">
      <c r="A74">
        <v>2</v>
      </c>
      <c r="B74" s="71" t="str">
        <f t="shared" si="3"/>
        <v/>
      </c>
      <c r="C74"/>
      <c r="D74" s="112"/>
    </row>
    <row r="75" spans="1:4">
      <c r="A75">
        <v>3</v>
      </c>
      <c r="B75" s="71" t="str">
        <f t="shared" si="3"/>
        <v/>
      </c>
      <c r="C75"/>
      <c r="D75" s="112"/>
    </row>
    <row r="76" spans="1:4">
      <c r="A76">
        <v>4</v>
      </c>
      <c r="B76" s="71" t="str">
        <f t="shared" si="3"/>
        <v/>
      </c>
      <c r="C76"/>
      <c r="D76" s="112"/>
    </row>
    <row r="77" spans="1:4">
      <c r="A77">
        <v>5</v>
      </c>
      <c r="B77" s="71" t="str">
        <f t="shared" si="3"/>
        <v/>
      </c>
      <c r="C77"/>
      <c r="D77" s="112"/>
    </row>
    <row r="78" spans="1:4">
      <c r="A78">
        <v>6</v>
      </c>
      <c r="B78" s="71" t="str">
        <f t="shared" si="3"/>
        <v/>
      </c>
      <c r="C78"/>
      <c r="D78" s="112"/>
    </row>
  </sheetData>
  <dataConsolidate link="1"/>
  <dataValidations disablePrompts="1" count="1">
    <dataValidation type="list" allowBlank="1" showInputMessage="1" showErrorMessage="1" sqref="I43" xr:uid="{00000000-0002-0000-2000-000000000000}">
      <formula1>utilities_list</formula1>
    </dataValidation>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A1"/>
  <sheetViews>
    <sheetView workbookViewId="0"/>
  </sheetViews>
  <sheetFormatPr defaultColWidth="8.81640625" defaultRowHeight="14.5"/>
  <cols>
    <col min="1" max="1" width="8.81640625" style="265"/>
  </cols>
  <sheetData>
    <row r="1" spans="1:1" s="372" customFormat="1" ht="38.25" customHeight="1" thickBot="1">
      <c r="A1" s="373" t="s">
        <v>144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6">
    <tabColor theme="0" tint="-0.34998626667073579"/>
  </sheetPr>
  <dimension ref="A2:L176"/>
  <sheetViews>
    <sheetView workbookViewId="0"/>
  </sheetViews>
  <sheetFormatPr defaultColWidth="8.81640625" defaultRowHeight="14.5"/>
  <cols>
    <col min="1" max="1" width="12.1796875" customWidth="1"/>
    <col min="3" max="3" width="11.7265625" customWidth="1"/>
    <col min="4" max="4" width="11.453125" customWidth="1"/>
    <col min="5" max="5" width="12.26953125" customWidth="1"/>
    <col min="6" max="6" width="12.7265625" customWidth="1"/>
    <col min="7" max="8" width="14.453125" customWidth="1"/>
    <col min="9" max="9" width="13.453125" customWidth="1"/>
    <col min="10" max="10" width="13" customWidth="1"/>
  </cols>
  <sheetData>
    <row r="2" spans="1:10">
      <c r="A2" s="1" t="s">
        <v>1120</v>
      </c>
    </row>
    <row r="3" spans="1:10">
      <c r="A3" t="s">
        <v>79</v>
      </c>
      <c r="B3" s="326">
        <v>0.33</v>
      </c>
      <c r="C3" t="s">
        <v>1121</v>
      </c>
    </row>
    <row r="4" spans="1:10">
      <c r="A4" t="s">
        <v>1122</v>
      </c>
      <c r="B4" s="326">
        <v>0.25</v>
      </c>
      <c r="C4" t="s">
        <v>1123</v>
      </c>
    </row>
    <row r="5" spans="1:10">
      <c r="A5" t="s">
        <v>1124</v>
      </c>
      <c r="B5" s="326">
        <v>7.0000000000000007E-2</v>
      </c>
      <c r="C5" t="s">
        <v>1125</v>
      </c>
    </row>
    <row r="6" spans="1:10">
      <c r="A6" s="1" t="s">
        <v>1126</v>
      </c>
      <c r="B6" s="326"/>
    </row>
    <row r="7" spans="1:10">
      <c r="A7" t="s">
        <v>1127</v>
      </c>
      <c r="B7" s="328">
        <v>0.14000000000000001</v>
      </c>
      <c r="C7" t="s">
        <v>1128</v>
      </c>
    </row>
    <row r="8" spans="1:10">
      <c r="A8" t="s">
        <v>1129</v>
      </c>
      <c r="B8" s="328">
        <v>0.15</v>
      </c>
      <c r="C8" t="s">
        <v>1128</v>
      </c>
    </row>
    <row r="9" spans="1:10">
      <c r="A9" t="s">
        <v>1130</v>
      </c>
      <c r="B9" s="328">
        <v>0.3</v>
      </c>
      <c r="C9" t="s">
        <v>1131</v>
      </c>
    </row>
    <row r="10" spans="1:10">
      <c r="A10" t="s">
        <v>1132</v>
      </c>
      <c r="B10" s="328">
        <v>0.5</v>
      </c>
      <c r="C10" t="s">
        <v>1133</v>
      </c>
    </row>
    <row r="13" spans="1:10">
      <c r="A13" s="57" t="s">
        <v>1134</v>
      </c>
    </row>
    <row r="14" spans="1:10" ht="60.75" customHeight="1">
      <c r="B14" s="195" t="s">
        <v>1135</v>
      </c>
      <c r="C14" s="56" t="s">
        <v>1136</v>
      </c>
      <c r="D14" s="17" t="s">
        <v>1137</v>
      </c>
      <c r="E14" s="17" t="s">
        <v>1138</v>
      </c>
      <c r="F14" s="17" t="s">
        <v>1139</v>
      </c>
      <c r="G14" s="17" t="s">
        <v>1140</v>
      </c>
      <c r="H14" s="17" t="s">
        <v>1141</v>
      </c>
      <c r="I14" s="17" t="s">
        <v>1142</v>
      </c>
      <c r="J14" s="180" t="s">
        <v>1143</v>
      </c>
    </row>
    <row r="15" spans="1:10">
      <c r="B15" s="195"/>
      <c r="C15" s="54"/>
      <c r="D15" s="54" t="s">
        <v>1144</v>
      </c>
      <c r="E15" s="54" t="s">
        <v>1145</v>
      </c>
      <c r="F15" s="54" t="s">
        <v>1146</v>
      </c>
      <c r="G15" s="54"/>
      <c r="H15" s="54"/>
      <c r="I15" s="54"/>
      <c r="J15" s="54"/>
    </row>
    <row r="16" spans="1:10">
      <c r="B16" s="324" t="s">
        <v>1147</v>
      </c>
      <c r="C16" s="325">
        <v>2037405</v>
      </c>
      <c r="D16" s="195">
        <v>0.53</v>
      </c>
      <c r="E16" s="195">
        <v>41.4</v>
      </c>
      <c r="F16" s="195">
        <v>0.22</v>
      </c>
      <c r="G16" s="327">
        <v>1.6</v>
      </c>
      <c r="H16" s="195">
        <v>0.15</v>
      </c>
      <c r="I16" s="195" t="s">
        <v>1148</v>
      </c>
      <c r="J16" s="325">
        <v>1087</v>
      </c>
    </row>
    <row r="17" spans="1:10">
      <c r="B17" s="324" t="s">
        <v>1149</v>
      </c>
      <c r="C17" s="325">
        <v>3374531</v>
      </c>
      <c r="D17" s="195">
        <v>2.97</v>
      </c>
      <c r="E17" s="195">
        <v>68.599999999999994</v>
      </c>
      <c r="F17" s="195">
        <v>2.04</v>
      </c>
      <c r="G17" s="327">
        <v>14.9</v>
      </c>
      <c r="H17" s="195">
        <v>1.18</v>
      </c>
      <c r="I17" s="195" t="s">
        <v>1150</v>
      </c>
      <c r="J17" s="325">
        <v>10017</v>
      </c>
    </row>
    <row r="18" spans="1:10">
      <c r="B18" s="324" t="s">
        <v>1151</v>
      </c>
      <c r="C18" s="325">
        <v>3697217</v>
      </c>
      <c r="D18" s="195">
        <v>2.16</v>
      </c>
      <c r="E18" s="195">
        <v>75.099999999999994</v>
      </c>
      <c r="F18" s="195">
        <v>1.63</v>
      </c>
      <c r="G18" s="327">
        <v>11.9</v>
      </c>
      <c r="H18" s="195">
        <v>0.32</v>
      </c>
      <c r="I18" s="195">
        <v>0.57999999999999996</v>
      </c>
      <c r="J18" s="325">
        <v>8000</v>
      </c>
    </row>
    <row r="19" spans="1:10">
      <c r="B19" s="324" t="s">
        <v>1152</v>
      </c>
      <c r="C19" s="325">
        <v>2247021</v>
      </c>
      <c r="D19" s="195">
        <v>0.27</v>
      </c>
      <c r="E19" s="195">
        <v>45.7</v>
      </c>
      <c r="F19" s="195">
        <v>0.12</v>
      </c>
      <c r="G19" s="327">
        <v>0.9</v>
      </c>
      <c r="H19" s="195">
        <v>0.03</v>
      </c>
      <c r="I19" s="195">
        <v>0.21</v>
      </c>
      <c r="J19" s="195">
        <v>611</v>
      </c>
    </row>
    <row r="20" spans="1:10">
      <c r="B20" s="324" t="s">
        <v>1153</v>
      </c>
      <c r="C20" s="325">
        <v>4501298</v>
      </c>
      <c r="D20" s="195">
        <v>0.62</v>
      </c>
      <c r="E20" s="195">
        <v>91.5</v>
      </c>
      <c r="F20" s="195">
        <v>0.56999999999999995</v>
      </c>
      <c r="G20" s="327">
        <v>4.2</v>
      </c>
      <c r="H20" s="195">
        <v>0.12</v>
      </c>
      <c r="I20" s="195">
        <v>0.8</v>
      </c>
      <c r="J20" s="325">
        <v>2805</v>
      </c>
    </row>
    <row r="21" spans="1:10">
      <c r="B21" s="324" t="s">
        <v>1154</v>
      </c>
      <c r="C21" s="325">
        <v>4643497</v>
      </c>
      <c r="D21" s="195">
        <v>1.94</v>
      </c>
      <c r="E21" s="195">
        <v>94.4</v>
      </c>
      <c r="F21" s="195">
        <v>1.83</v>
      </c>
      <c r="G21" s="327">
        <v>13.4</v>
      </c>
      <c r="H21" s="195">
        <v>0.26</v>
      </c>
      <c r="I21" s="195">
        <v>2.4900000000000002</v>
      </c>
      <c r="J21" s="325">
        <v>9014</v>
      </c>
    </row>
    <row r="22" spans="1:10">
      <c r="B22" s="324" t="s">
        <v>1155</v>
      </c>
      <c r="C22" s="325">
        <v>4407150</v>
      </c>
      <c r="D22" s="195">
        <v>0.89</v>
      </c>
      <c r="E22" s="195">
        <v>89.6</v>
      </c>
      <c r="F22" s="195">
        <v>0.8</v>
      </c>
      <c r="G22" s="329">
        <v>5.8</v>
      </c>
      <c r="H22" s="195">
        <v>0.2</v>
      </c>
      <c r="I22" s="195">
        <v>0.26</v>
      </c>
      <c r="J22" s="325">
        <v>3916</v>
      </c>
    </row>
    <row r="23" spans="1:10">
      <c r="B23" s="324" t="s">
        <v>1156</v>
      </c>
      <c r="C23" s="325">
        <v>4915027</v>
      </c>
      <c r="D23" s="195">
        <v>3.92</v>
      </c>
      <c r="E23" s="195">
        <v>99.9</v>
      </c>
      <c r="F23" s="195">
        <v>3.92</v>
      </c>
      <c r="G23" s="329">
        <v>28.7</v>
      </c>
      <c r="H23" s="195">
        <v>0.78</v>
      </c>
      <c r="I23" s="195">
        <v>1.06</v>
      </c>
      <c r="J23" s="325">
        <v>19265</v>
      </c>
    </row>
    <row r="24" spans="1:10">
      <c r="B24" s="324" t="s">
        <v>1157</v>
      </c>
      <c r="C24" s="325">
        <v>4839543</v>
      </c>
      <c r="D24" s="195">
        <v>0.99</v>
      </c>
      <c r="E24" s="195">
        <v>98.4</v>
      </c>
      <c r="F24" s="195">
        <v>0.97</v>
      </c>
      <c r="G24" s="329">
        <v>7.1</v>
      </c>
      <c r="H24" s="195">
        <v>0.19</v>
      </c>
      <c r="I24" s="195">
        <v>0.79</v>
      </c>
      <c r="J24" s="325">
        <v>4782</v>
      </c>
    </row>
    <row r="25" spans="1:10">
      <c r="B25" s="324" t="s">
        <v>229</v>
      </c>
      <c r="C25" s="325">
        <v>4491364</v>
      </c>
      <c r="D25" s="195">
        <v>0.87</v>
      </c>
      <c r="E25" s="195">
        <v>91.3</v>
      </c>
      <c r="F25" s="195">
        <v>0.8</v>
      </c>
      <c r="G25" s="327">
        <v>5.8</v>
      </c>
      <c r="H25" s="195">
        <v>0.15</v>
      </c>
      <c r="I25" s="195">
        <v>1.45</v>
      </c>
      <c r="J25" s="325">
        <v>3924</v>
      </c>
    </row>
    <row r="26" spans="1:10">
      <c r="B26" s="324" t="s">
        <v>1158</v>
      </c>
      <c r="C26" s="325">
        <v>106818</v>
      </c>
      <c r="D26" s="195">
        <v>1.91</v>
      </c>
      <c r="E26" s="195">
        <v>2.2000000000000002</v>
      </c>
      <c r="F26" s="195">
        <v>0.04</v>
      </c>
      <c r="G26" s="327">
        <v>0.3</v>
      </c>
      <c r="H26" s="195">
        <v>0.01</v>
      </c>
      <c r="I26" s="195">
        <v>0.03</v>
      </c>
      <c r="J26" s="195">
        <v>204</v>
      </c>
    </row>
    <row r="27" spans="1:10">
      <c r="B27" s="324" t="s">
        <v>1159</v>
      </c>
      <c r="C27" s="325">
        <v>2839736</v>
      </c>
      <c r="D27" s="195">
        <v>0.99</v>
      </c>
      <c r="E27" s="195">
        <v>57.7</v>
      </c>
      <c r="F27" s="195">
        <v>0.56999999999999995</v>
      </c>
      <c r="G27" s="327">
        <v>4.2</v>
      </c>
      <c r="H27" s="195">
        <v>0.12</v>
      </c>
      <c r="I27" s="195">
        <v>0.67</v>
      </c>
      <c r="J27" s="325">
        <v>2811</v>
      </c>
    </row>
    <row r="28" spans="1:10">
      <c r="B28" s="324" t="s">
        <v>1160</v>
      </c>
      <c r="C28" s="325">
        <v>1801858</v>
      </c>
      <c r="D28" s="195">
        <v>0.36</v>
      </c>
      <c r="E28" s="195">
        <v>36.6</v>
      </c>
      <c r="F28" s="195">
        <v>0.13</v>
      </c>
      <c r="G28" s="327">
        <v>1</v>
      </c>
      <c r="H28" s="195">
        <v>0.03</v>
      </c>
      <c r="I28" s="195">
        <v>0.14000000000000001</v>
      </c>
      <c r="J28" s="195">
        <v>642</v>
      </c>
    </row>
    <row r="29" spans="1:10">
      <c r="B29" s="324" t="s">
        <v>1161</v>
      </c>
      <c r="C29" s="325">
        <v>4920114</v>
      </c>
      <c r="D29" s="195" t="s">
        <v>1162</v>
      </c>
      <c r="E29" s="195" t="s">
        <v>1162</v>
      </c>
      <c r="F29" s="195">
        <v>13.63</v>
      </c>
      <c r="G29" s="195">
        <v>100</v>
      </c>
      <c r="H29" s="195">
        <v>3.06</v>
      </c>
      <c r="I29" s="195" t="s">
        <v>1162</v>
      </c>
      <c r="J29" s="325">
        <v>67077</v>
      </c>
    </row>
    <row r="30" spans="1:10">
      <c r="B30" s="324"/>
      <c r="C30" s="325"/>
      <c r="D30" s="195"/>
      <c r="E30" s="195"/>
      <c r="F30" s="195"/>
      <c r="G30" s="195"/>
      <c r="H30" s="195"/>
      <c r="I30" s="195"/>
      <c r="J30" s="325"/>
    </row>
    <row r="31" spans="1:10">
      <c r="A31" s="57" t="s">
        <v>1163</v>
      </c>
      <c r="B31" s="324"/>
      <c r="C31" s="325"/>
      <c r="D31" s="195"/>
      <c r="E31" s="195"/>
      <c r="F31" s="195"/>
      <c r="G31" s="195"/>
      <c r="H31" s="195"/>
      <c r="I31" s="195"/>
      <c r="J31" s="325"/>
    </row>
    <row r="32" spans="1:10" ht="58">
      <c r="B32" s="195" t="s">
        <v>1135</v>
      </c>
      <c r="C32" s="56" t="s">
        <v>1136</v>
      </c>
      <c r="D32" s="17" t="s">
        <v>1137</v>
      </c>
      <c r="E32" s="17" t="s">
        <v>1138</v>
      </c>
      <c r="F32" s="17" t="s">
        <v>1139</v>
      </c>
      <c r="G32" s="17" t="s">
        <v>1140</v>
      </c>
      <c r="H32" s="17" t="s">
        <v>1141</v>
      </c>
      <c r="I32" s="17" t="s">
        <v>1142</v>
      </c>
      <c r="J32" s="180" t="s">
        <v>1143</v>
      </c>
    </row>
    <row r="33" spans="1:12">
      <c r="B33" s="324" t="s">
        <v>1147</v>
      </c>
      <c r="C33">
        <v>673586</v>
      </c>
      <c r="D33">
        <v>0.57999999999999996</v>
      </c>
      <c r="E33">
        <v>65.900000000000006</v>
      </c>
      <c r="F33">
        <v>0.38</v>
      </c>
      <c r="G33" s="344">
        <v>2.4E-2</v>
      </c>
      <c r="H33">
        <v>0.26</v>
      </c>
      <c r="I33" t="s">
        <v>1164</v>
      </c>
      <c r="J33">
        <v>393</v>
      </c>
      <c r="L33">
        <f>G33/100</f>
        <v>2.4000000000000001E-4</v>
      </c>
    </row>
    <row r="34" spans="1:12">
      <c r="B34" s="324" t="s">
        <v>1149</v>
      </c>
      <c r="C34">
        <v>934468</v>
      </c>
      <c r="D34">
        <v>3.53</v>
      </c>
      <c r="E34">
        <v>91.4</v>
      </c>
      <c r="F34">
        <v>3.23</v>
      </c>
      <c r="G34" s="344">
        <v>0.20100000000000001</v>
      </c>
      <c r="H34">
        <v>1.88</v>
      </c>
      <c r="I34" t="s">
        <v>1165</v>
      </c>
      <c r="J34">
        <v>3301</v>
      </c>
      <c r="L34">
        <f t="shared" ref="L34:L45" si="0">G34/100</f>
        <v>2.0100000000000001E-3</v>
      </c>
    </row>
    <row r="35" spans="1:12">
      <c r="B35" s="324" t="s">
        <v>1151</v>
      </c>
      <c r="C35">
        <v>954018</v>
      </c>
      <c r="D35">
        <v>2.61</v>
      </c>
      <c r="E35">
        <v>93.3</v>
      </c>
      <c r="F35">
        <v>2.4300000000000002</v>
      </c>
      <c r="G35" s="344">
        <v>0.151</v>
      </c>
      <c r="H35">
        <v>0.51</v>
      </c>
      <c r="I35">
        <v>0.91</v>
      </c>
      <c r="J35">
        <v>2485</v>
      </c>
      <c r="L35">
        <f t="shared" si="0"/>
        <v>1.5100000000000001E-3</v>
      </c>
    </row>
    <row r="36" spans="1:12">
      <c r="B36" s="324" t="s">
        <v>1152</v>
      </c>
      <c r="C36">
        <v>557554</v>
      </c>
      <c r="D36">
        <v>0.31</v>
      </c>
      <c r="E36">
        <v>54.6</v>
      </c>
      <c r="F36">
        <v>0.17</v>
      </c>
      <c r="G36" s="344">
        <v>0.01</v>
      </c>
      <c r="H36">
        <v>0.03</v>
      </c>
      <c r="I36">
        <v>0.28999999999999998</v>
      </c>
      <c r="J36">
        <v>170</v>
      </c>
      <c r="L36">
        <f t="shared" si="0"/>
        <v>1E-4</v>
      </c>
    </row>
    <row r="37" spans="1:12">
      <c r="B37" s="324" t="s">
        <v>1153</v>
      </c>
      <c r="C37">
        <v>984018</v>
      </c>
      <c r="D37">
        <v>0.12</v>
      </c>
      <c r="E37">
        <v>96.3</v>
      </c>
      <c r="F37">
        <v>0.11</v>
      </c>
      <c r="G37" s="344">
        <v>6.9999999999999993E-3</v>
      </c>
      <c r="H37">
        <v>0.04</v>
      </c>
      <c r="I37">
        <v>0.48</v>
      </c>
      <c r="J37">
        <v>115</v>
      </c>
      <c r="L37">
        <f t="shared" si="0"/>
        <v>6.9999999999999994E-5</v>
      </c>
    </row>
    <row r="38" spans="1:12">
      <c r="B38" s="324" t="s">
        <v>1154</v>
      </c>
      <c r="C38">
        <v>988050</v>
      </c>
      <c r="D38">
        <v>0.48</v>
      </c>
      <c r="E38">
        <v>96.7</v>
      </c>
      <c r="F38">
        <v>0.47</v>
      </c>
      <c r="G38" s="344">
        <v>2.8999999999999998E-2</v>
      </c>
      <c r="H38">
        <v>0.06</v>
      </c>
      <c r="I38">
        <v>0.3</v>
      </c>
      <c r="J38">
        <v>476</v>
      </c>
      <c r="L38">
        <f t="shared" si="0"/>
        <v>2.9E-4</v>
      </c>
    </row>
    <row r="39" spans="1:12">
      <c r="B39" s="324" t="s">
        <v>1155</v>
      </c>
      <c r="C39">
        <v>900749</v>
      </c>
      <c r="D39">
        <v>0.74</v>
      </c>
      <c r="E39">
        <v>88.1</v>
      </c>
      <c r="F39">
        <v>0.65</v>
      </c>
      <c r="G39" s="476">
        <v>4.0999999999999995E-2</v>
      </c>
      <c r="H39">
        <v>0.15</v>
      </c>
      <c r="I39">
        <v>0.16</v>
      </c>
      <c r="J39">
        <v>666</v>
      </c>
      <c r="L39">
        <f t="shared" si="0"/>
        <v>4.0999999999999994E-4</v>
      </c>
    </row>
    <row r="40" spans="1:12">
      <c r="B40" s="324" t="s">
        <v>1156</v>
      </c>
      <c r="C40">
        <v>1022012</v>
      </c>
      <c r="D40">
        <v>4.24</v>
      </c>
      <c r="E40">
        <v>100</v>
      </c>
      <c r="F40">
        <v>4.24</v>
      </c>
      <c r="G40" s="476">
        <v>0.26400000000000001</v>
      </c>
      <c r="H40">
        <v>0.95</v>
      </c>
      <c r="I40">
        <v>1.1299999999999999</v>
      </c>
      <c r="J40">
        <v>4331</v>
      </c>
      <c r="L40">
        <f t="shared" si="0"/>
        <v>2.64E-3</v>
      </c>
    </row>
    <row r="41" spans="1:12">
      <c r="B41" s="324" t="s">
        <v>1157</v>
      </c>
      <c r="C41">
        <v>1019878</v>
      </c>
      <c r="D41">
        <v>3.1</v>
      </c>
      <c r="E41">
        <v>99.8</v>
      </c>
      <c r="F41">
        <v>3.09</v>
      </c>
      <c r="G41" s="476">
        <v>0.192</v>
      </c>
      <c r="H41">
        <v>0.56999999999999995</v>
      </c>
      <c r="I41">
        <v>1.9</v>
      </c>
      <c r="J41">
        <v>3157</v>
      </c>
      <c r="L41">
        <f t="shared" si="0"/>
        <v>1.92E-3</v>
      </c>
    </row>
    <row r="42" spans="1:12">
      <c r="B42" s="324" t="s">
        <v>229</v>
      </c>
      <c r="C42">
        <v>879031</v>
      </c>
      <c r="D42">
        <v>0.76</v>
      </c>
      <c r="E42">
        <v>86</v>
      </c>
      <c r="F42">
        <v>0.65</v>
      </c>
      <c r="G42" s="344">
        <v>4.0999999999999995E-2</v>
      </c>
      <c r="H42">
        <v>0.14000000000000001</v>
      </c>
      <c r="I42">
        <v>0.85</v>
      </c>
      <c r="J42">
        <v>666</v>
      </c>
      <c r="L42">
        <f t="shared" si="0"/>
        <v>4.0999999999999994E-4</v>
      </c>
    </row>
    <row r="43" spans="1:12">
      <c r="B43" s="324" t="s">
        <v>1158</v>
      </c>
      <c r="C43">
        <v>12789</v>
      </c>
      <c r="D43">
        <v>1.5</v>
      </c>
      <c r="E43">
        <v>1.3</v>
      </c>
      <c r="F43">
        <v>0.02</v>
      </c>
      <c r="G43" s="344">
        <v>1E-3</v>
      </c>
      <c r="H43">
        <v>0</v>
      </c>
      <c r="I43">
        <v>0.01</v>
      </c>
      <c r="J43">
        <v>19</v>
      </c>
      <c r="L43">
        <f t="shared" si="0"/>
        <v>1.0000000000000001E-5</v>
      </c>
    </row>
    <row r="44" spans="1:12">
      <c r="B44" s="324" t="s">
        <v>1159</v>
      </c>
      <c r="C44">
        <v>671022</v>
      </c>
      <c r="D44">
        <v>0.82</v>
      </c>
      <c r="E44">
        <v>65.7</v>
      </c>
      <c r="F44">
        <v>0.54</v>
      </c>
      <c r="G44" s="344">
        <v>3.4000000000000002E-2</v>
      </c>
      <c r="H44">
        <v>0.14000000000000001</v>
      </c>
      <c r="I44">
        <v>0.59</v>
      </c>
      <c r="J44">
        <v>553</v>
      </c>
      <c r="L44">
        <f t="shared" si="0"/>
        <v>3.4000000000000002E-4</v>
      </c>
    </row>
    <row r="45" spans="1:12">
      <c r="B45" s="324" t="s">
        <v>1160</v>
      </c>
      <c r="C45">
        <v>463945</v>
      </c>
      <c r="D45">
        <v>0.21</v>
      </c>
      <c r="E45">
        <v>45.4</v>
      </c>
      <c r="F45">
        <v>0.09</v>
      </c>
      <c r="G45" s="344">
        <v>6.0000000000000001E-3</v>
      </c>
      <c r="H45">
        <v>0.02</v>
      </c>
      <c r="I45">
        <v>0.08</v>
      </c>
      <c r="J45">
        <v>95</v>
      </c>
      <c r="L45">
        <f t="shared" si="0"/>
        <v>6.0000000000000002E-5</v>
      </c>
    </row>
    <row r="46" spans="1:12">
      <c r="B46" s="324" t="s">
        <v>1161</v>
      </c>
      <c r="C46">
        <v>1022012</v>
      </c>
      <c r="D46" s="195" t="s">
        <v>1162</v>
      </c>
      <c r="E46" s="195" t="s">
        <v>1162</v>
      </c>
      <c r="F46" s="195">
        <v>16.079999999999998</v>
      </c>
      <c r="G46" s="195">
        <v>100</v>
      </c>
      <c r="H46" s="195">
        <v>4.2300000000000004</v>
      </c>
      <c r="I46" s="195" t="s">
        <v>1162</v>
      </c>
      <c r="J46">
        <v>16430</v>
      </c>
    </row>
    <row r="47" spans="1:12">
      <c r="B47" s="324"/>
      <c r="C47" s="325"/>
      <c r="D47" s="195"/>
      <c r="E47" s="195"/>
      <c r="F47" s="195"/>
      <c r="G47" s="195"/>
      <c r="H47" s="195"/>
      <c r="I47" s="195"/>
      <c r="J47" s="325"/>
    </row>
    <row r="48" spans="1:12">
      <c r="A48" s="57" t="s">
        <v>1166</v>
      </c>
      <c r="B48" s="324"/>
      <c r="C48" s="325"/>
      <c r="D48" s="195"/>
      <c r="E48" s="195"/>
      <c r="F48" s="195"/>
      <c r="G48" s="195"/>
      <c r="H48" s="195"/>
      <c r="I48" s="195"/>
      <c r="J48" s="325"/>
    </row>
    <row r="49" spans="2:10" ht="58">
      <c r="B49" s="195" t="s">
        <v>1135</v>
      </c>
      <c r="C49" s="56" t="s">
        <v>1136</v>
      </c>
      <c r="D49" s="17" t="s">
        <v>1137</v>
      </c>
      <c r="E49" s="17" t="s">
        <v>1138</v>
      </c>
      <c r="F49" s="17" t="s">
        <v>1139</v>
      </c>
      <c r="G49" s="17" t="s">
        <v>1140</v>
      </c>
      <c r="H49" s="17" t="s">
        <v>1141</v>
      </c>
      <c r="I49" s="17" t="s">
        <v>1142</v>
      </c>
      <c r="J49" s="180" t="s">
        <v>1143</v>
      </c>
    </row>
    <row r="50" spans="2:10">
      <c r="B50" s="324" t="s">
        <v>1147</v>
      </c>
      <c r="C50">
        <v>509049</v>
      </c>
      <c r="D50">
        <v>0.63</v>
      </c>
      <c r="E50">
        <v>77.099999999999994</v>
      </c>
      <c r="F50">
        <v>0.49</v>
      </c>
      <c r="G50" s="108">
        <v>2.8</v>
      </c>
      <c r="H50">
        <v>0.18</v>
      </c>
      <c r="I50" t="s">
        <v>1167</v>
      </c>
      <c r="J50">
        <v>322</v>
      </c>
    </row>
    <row r="51" spans="2:10">
      <c r="B51" s="324" t="s">
        <v>1149</v>
      </c>
      <c r="C51">
        <v>608796</v>
      </c>
      <c r="D51">
        <v>3.87</v>
      </c>
      <c r="E51">
        <v>92.2</v>
      </c>
      <c r="F51">
        <v>3.57</v>
      </c>
      <c r="G51" s="108">
        <v>20.2</v>
      </c>
      <c r="H51">
        <v>1.67</v>
      </c>
      <c r="I51" t="s">
        <v>1168</v>
      </c>
      <c r="J51">
        <v>2358</v>
      </c>
    </row>
    <row r="52" spans="2:10">
      <c r="B52" s="324" t="s">
        <v>1151</v>
      </c>
      <c r="C52">
        <v>623559</v>
      </c>
      <c r="D52">
        <v>3.24</v>
      </c>
      <c r="E52">
        <v>94.4</v>
      </c>
      <c r="F52">
        <v>3.06</v>
      </c>
      <c r="G52" s="108">
        <v>17.3</v>
      </c>
      <c r="H52">
        <v>0.59</v>
      </c>
      <c r="I52">
        <v>1.1000000000000001</v>
      </c>
      <c r="J52">
        <v>2019</v>
      </c>
    </row>
    <row r="53" spans="2:10">
      <c r="B53" s="324" t="s">
        <v>1152</v>
      </c>
      <c r="C53">
        <v>339024</v>
      </c>
      <c r="D53">
        <v>0.24</v>
      </c>
      <c r="E53">
        <v>51.3</v>
      </c>
      <c r="F53">
        <v>0.12</v>
      </c>
      <c r="G53" s="108">
        <v>0.7</v>
      </c>
      <c r="H53">
        <v>0.02</v>
      </c>
      <c r="I53">
        <v>0.17</v>
      </c>
      <c r="J53">
        <v>80</v>
      </c>
    </row>
    <row r="54" spans="2:10">
      <c r="B54" s="324" t="s">
        <v>1153</v>
      </c>
      <c r="C54">
        <v>647306</v>
      </c>
      <c r="D54">
        <v>0.12</v>
      </c>
      <c r="E54">
        <v>98</v>
      </c>
      <c r="F54">
        <v>0.12</v>
      </c>
      <c r="G54" s="108">
        <v>0.7</v>
      </c>
      <c r="H54">
        <v>0.04</v>
      </c>
      <c r="I54">
        <v>0.37</v>
      </c>
      <c r="J54">
        <v>77</v>
      </c>
    </row>
    <row r="55" spans="2:10">
      <c r="B55" s="324" t="s">
        <v>1154</v>
      </c>
      <c r="C55">
        <v>648945</v>
      </c>
      <c r="D55">
        <v>0.41</v>
      </c>
      <c r="E55">
        <v>98.3</v>
      </c>
      <c r="F55">
        <v>0.41</v>
      </c>
      <c r="G55" s="108">
        <v>2.2999999999999998</v>
      </c>
      <c r="H55">
        <v>0.05</v>
      </c>
      <c r="I55">
        <v>0.24</v>
      </c>
      <c r="J55">
        <v>268</v>
      </c>
    </row>
    <row r="56" spans="2:10">
      <c r="B56" s="324" t="s">
        <v>1155</v>
      </c>
      <c r="C56">
        <v>634106</v>
      </c>
      <c r="D56">
        <v>0.51</v>
      </c>
      <c r="E56">
        <v>96</v>
      </c>
      <c r="F56">
        <v>0.49</v>
      </c>
      <c r="G56" s="330">
        <v>2.8</v>
      </c>
      <c r="H56">
        <v>0.11</v>
      </c>
      <c r="I56">
        <v>0.11</v>
      </c>
      <c r="J56">
        <v>324</v>
      </c>
    </row>
    <row r="57" spans="2:10">
      <c r="B57" s="324" t="s">
        <v>1156</v>
      </c>
      <c r="C57">
        <v>660429</v>
      </c>
      <c r="D57">
        <v>4.46</v>
      </c>
      <c r="E57">
        <v>100</v>
      </c>
      <c r="F57">
        <v>4.46</v>
      </c>
      <c r="G57" s="330">
        <v>25.2</v>
      </c>
      <c r="H57">
        <v>0.87</v>
      </c>
      <c r="I57">
        <v>0.99</v>
      </c>
      <c r="J57">
        <v>2945</v>
      </c>
    </row>
    <row r="58" spans="2:10">
      <c r="B58" s="324" t="s">
        <v>1157</v>
      </c>
      <c r="C58">
        <v>660429</v>
      </c>
      <c r="D58">
        <v>3.58</v>
      </c>
      <c r="E58">
        <v>100</v>
      </c>
      <c r="F58">
        <v>3.58</v>
      </c>
      <c r="G58" s="330">
        <v>20.2</v>
      </c>
      <c r="H58">
        <v>0.6</v>
      </c>
      <c r="I58">
        <v>1.73</v>
      </c>
      <c r="J58">
        <v>2365</v>
      </c>
    </row>
    <row r="59" spans="2:10">
      <c r="B59" s="324" t="s">
        <v>229</v>
      </c>
      <c r="C59">
        <v>593264</v>
      </c>
      <c r="D59">
        <v>0.65</v>
      </c>
      <c r="E59">
        <v>89.8</v>
      </c>
      <c r="F59">
        <v>0.57999999999999996</v>
      </c>
      <c r="G59" s="108">
        <v>3.3</v>
      </c>
      <c r="H59">
        <v>0.1</v>
      </c>
      <c r="I59">
        <v>0.47</v>
      </c>
      <c r="J59">
        <v>383</v>
      </c>
    </row>
    <row r="60" spans="2:10">
      <c r="B60" s="324" t="s">
        <v>1158</v>
      </c>
      <c r="C60">
        <v>11292</v>
      </c>
      <c r="D60">
        <v>1.6</v>
      </c>
      <c r="E60">
        <v>1.7</v>
      </c>
      <c r="F60">
        <v>0.03</v>
      </c>
      <c r="G60" s="108">
        <v>0.2</v>
      </c>
      <c r="H60">
        <v>0</v>
      </c>
      <c r="I60">
        <v>0.01</v>
      </c>
      <c r="J60">
        <v>18</v>
      </c>
    </row>
    <row r="61" spans="2:10">
      <c r="B61" s="324" t="s">
        <v>1159</v>
      </c>
      <c r="C61">
        <v>591579</v>
      </c>
      <c r="D61">
        <v>0.8</v>
      </c>
      <c r="E61">
        <v>89.6</v>
      </c>
      <c r="F61">
        <v>0.72</v>
      </c>
      <c r="G61" s="108">
        <v>4.0999999999999996</v>
      </c>
      <c r="H61">
        <v>0.18</v>
      </c>
      <c r="I61">
        <v>0.8</v>
      </c>
      <c r="J61">
        <v>474</v>
      </c>
    </row>
    <row r="62" spans="2:10">
      <c r="B62" s="324" t="s">
        <v>1160</v>
      </c>
      <c r="C62">
        <v>402211</v>
      </c>
      <c r="D62">
        <v>0.15</v>
      </c>
      <c r="E62">
        <v>60.9</v>
      </c>
      <c r="F62">
        <v>0.09</v>
      </c>
      <c r="G62" s="108">
        <v>0.5</v>
      </c>
      <c r="H62">
        <v>0.02</v>
      </c>
      <c r="I62">
        <v>0.05</v>
      </c>
      <c r="J62">
        <v>60</v>
      </c>
    </row>
    <row r="63" spans="2:10">
      <c r="B63" s="324" t="s">
        <v>1161</v>
      </c>
      <c r="C63">
        <v>660429</v>
      </c>
      <c r="D63" s="195" t="s">
        <v>1162</v>
      </c>
      <c r="E63" s="195" t="s">
        <v>1162</v>
      </c>
      <c r="F63" s="195">
        <v>17.7</v>
      </c>
      <c r="G63" s="327">
        <v>100</v>
      </c>
      <c r="H63" s="195">
        <v>4.09</v>
      </c>
      <c r="I63" s="195" t="s">
        <v>1162</v>
      </c>
      <c r="J63">
        <v>11691</v>
      </c>
    </row>
    <row r="64" spans="2:10">
      <c r="B64" s="324"/>
      <c r="C64" s="325"/>
      <c r="D64" s="195"/>
      <c r="E64" s="195"/>
      <c r="F64" s="195"/>
      <c r="G64" s="195"/>
      <c r="H64" s="195"/>
      <c r="I64" s="195"/>
      <c r="J64" s="325"/>
    </row>
    <row r="65" spans="1:10">
      <c r="A65" s="57" t="s">
        <v>1169</v>
      </c>
      <c r="B65" s="324"/>
      <c r="C65" s="325"/>
      <c r="D65" s="195"/>
      <c r="E65" s="195"/>
      <c r="F65" s="195"/>
      <c r="G65" s="195"/>
      <c r="H65" s="195"/>
      <c r="I65" s="195"/>
      <c r="J65" s="325"/>
    </row>
    <row r="66" spans="1:10" ht="58">
      <c r="A66" s="57"/>
      <c r="B66" s="195" t="s">
        <v>1135</v>
      </c>
      <c r="C66" s="56" t="s">
        <v>1136</v>
      </c>
      <c r="D66" s="17" t="s">
        <v>1137</v>
      </c>
      <c r="E66" s="17" t="s">
        <v>1138</v>
      </c>
      <c r="F66" s="17" t="s">
        <v>1139</v>
      </c>
      <c r="G66" s="17" t="s">
        <v>1140</v>
      </c>
      <c r="H66" s="17" t="s">
        <v>1141</v>
      </c>
      <c r="I66" s="17" t="s">
        <v>1142</v>
      </c>
      <c r="J66" s="180" t="s">
        <v>1143</v>
      </c>
    </row>
    <row r="67" spans="1:10">
      <c r="A67" s="57"/>
      <c r="B67" s="324" t="s">
        <v>1147</v>
      </c>
      <c r="C67">
        <v>164537</v>
      </c>
      <c r="D67">
        <v>0.44</v>
      </c>
      <c r="E67">
        <v>45.5</v>
      </c>
      <c r="F67">
        <v>0.2</v>
      </c>
      <c r="G67" s="108">
        <v>1.5</v>
      </c>
      <c r="H67">
        <v>0.42</v>
      </c>
      <c r="I67" t="s">
        <v>1170</v>
      </c>
      <c r="J67">
        <v>72</v>
      </c>
    </row>
    <row r="68" spans="1:10">
      <c r="A68" s="57"/>
      <c r="B68" s="324" t="s">
        <v>1149</v>
      </c>
      <c r="C68">
        <v>325672</v>
      </c>
      <c r="D68">
        <v>2.9</v>
      </c>
      <c r="E68">
        <v>90.1</v>
      </c>
      <c r="F68">
        <v>2.61</v>
      </c>
      <c r="G68" s="108">
        <v>19.899999999999999</v>
      </c>
      <c r="H68">
        <v>2.2599999999999998</v>
      </c>
      <c r="I68" t="s">
        <v>1171</v>
      </c>
      <c r="J68">
        <v>943</v>
      </c>
    </row>
    <row r="69" spans="1:10">
      <c r="A69" s="57"/>
      <c r="B69" s="324" t="s">
        <v>1151</v>
      </c>
      <c r="C69">
        <v>330459</v>
      </c>
      <c r="D69">
        <v>1.41</v>
      </c>
      <c r="E69">
        <v>91.4</v>
      </c>
      <c r="F69">
        <v>1.29</v>
      </c>
      <c r="G69" s="108">
        <v>9.8000000000000007</v>
      </c>
      <c r="H69">
        <v>0.37</v>
      </c>
      <c r="I69">
        <v>0.56999999999999995</v>
      </c>
      <c r="J69">
        <v>467</v>
      </c>
    </row>
    <row r="70" spans="1:10">
      <c r="A70" s="57"/>
      <c r="B70" s="324" t="s">
        <v>1152</v>
      </c>
      <c r="C70">
        <v>218530</v>
      </c>
      <c r="D70">
        <v>0.41</v>
      </c>
      <c r="E70">
        <v>60.4</v>
      </c>
      <c r="F70">
        <v>0.25</v>
      </c>
      <c r="G70" s="108">
        <v>1.9</v>
      </c>
      <c r="H70">
        <v>0.05</v>
      </c>
      <c r="I70">
        <v>0.49</v>
      </c>
      <c r="J70">
        <v>90</v>
      </c>
    </row>
    <row r="71" spans="1:10">
      <c r="A71" s="57"/>
      <c r="B71" s="324" t="s">
        <v>1153</v>
      </c>
      <c r="C71">
        <v>336712</v>
      </c>
      <c r="D71">
        <v>0.11</v>
      </c>
      <c r="E71">
        <v>93.1</v>
      </c>
      <c r="F71">
        <v>0.1</v>
      </c>
      <c r="G71" s="108">
        <v>0.8</v>
      </c>
      <c r="H71">
        <v>0.04</v>
      </c>
      <c r="I71">
        <v>0.69</v>
      </c>
      <c r="J71">
        <v>38</v>
      </c>
    </row>
    <row r="72" spans="1:10">
      <c r="A72" s="57"/>
      <c r="B72" s="324" t="s">
        <v>1154</v>
      </c>
      <c r="C72">
        <v>339105</v>
      </c>
      <c r="D72">
        <v>0.61</v>
      </c>
      <c r="E72">
        <v>93.8</v>
      </c>
      <c r="F72">
        <v>0.57999999999999996</v>
      </c>
      <c r="G72" s="108">
        <v>4.4000000000000004</v>
      </c>
      <c r="H72">
        <v>7.0000000000000007E-2</v>
      </c>
      <c r="I72">
        <v>0.4</v>
      </c>
      <c r="J72">
        <v>208</v>
      </c>
    </row>
    <row r="73" spans="1:10">
      <c r="A73" s="57"/>
      <c r="B73" s="324" t="s">
        <v>1155</v>
      </c>
      <c r="C73">
        <v>266643</v>
      </c>
      <c r="D73">
        <v>1.28</v>
      </c>
      <c r="E73">
        <v>73.7</v>
      </c>
      <c r="F73">
        <v>0.95</v>
      </c>
      <c r="G73" s="330">
        <v>7.2</v>
      </c>
      <c r="H73">
        <v>0.23</v>
      </c>
      <c r="I73">
        <v>0.26</v>
      </c>
      <c r="J73">
        <v>343</v>
      </c>
    </row>
    <row r="74" spans="1:10">
      <c r="A74" s="57"/>
      <c r="B74" s="324" t="s">
        <v>1156</v>
      </c>
      <c r="C74">
        <v>361584</v>
      </c>
      <c r="D74">
        <v>3.83</v>
      </c>
      <c r="E74">
        <v>100</v>
      </c>
      <c r="F74">
        <v>3.83</v>
      </c>
      <c r="G74" s="330">
        <v>29.3</v>
      </c>
      <c r="H74">
        <v>1.0900000000000001</v>
      </c>
      <c r="I74">
        <v>1.39</v>
      </c>
      <c r="J74">
        <v>1386</v>
      </c>
    </row>
    <row r="75" spans="1:10">
      <c r="A75" s="57"/>
      <c r="B75" s="324" t="s">
        <v>1157</v>
      </c>
      <c r="C75">
        <v>359449</v>
      </c>
      <c r="D75">
        <v>2.21</v>
      </c>
      <c r="E75">
        <v>99.4</v>
      </c>
      <c r="F75">
        <v>2.19</v>
      </c>
      <c r="G75" s="330">
        <v>16.7</v>
      </c>
      <c r="H75">
        <v>0.52</v>
      </c>
      <c r="I75">
        <v>2.21</v>
      </c>
      <c r="J75">
        <v>793</v>
      </c>
    </row>
    <row r="76" spans="1:10">
      <c r="A76" s="57"/>
      <c r="B76" s="324" t="s">
        <v>229</v>
      </c>
      <c r="C76">
        <v>285767</v>
      </c>
      <c r="D76">
        <v>0.99</v>
      </c>
      <c r="E76">
        <v>79</v>
      </c>
      <c r="F76">
        <v>0.78</v>
      </c>
      <c r="G76" s="108">
        <v>6</v>
      </c>
      <c r="H76">
        <v>0.2</v>
      </c>
      <c r="I76">
        <v>1.55</v>
      </c>
      <c r="J76">
        <v>283</v>
      </c>
    </row>
    <row r="77" spans="1:10">
      <c r="A77" s="57"/>
      <c r="B77" s="324" t="s">
        <v>1158</v>
      </c>
      <c r="C77">
        <v>1497</v>
      </c>
      <c r="D77">
        <v>0.76</v>
      </c>
      <c r="E77">
        <v>0.4</v>
      </c>
      <c r="F77">
        <v>0</v>
      </c>
      <c r="G77" s="108">
        <v>0</v>
      </c>
      <c r="H77">
        <v>0</v>
      </c>
      <c r="I77">
        <v>0</v>
      </c>
      <c r="J77">
        <v>1</v>
      </c>
    </row>
    <row r="78" spans="1:10">
      <c r="A78" s="57"/>
      <c r="B78" s="324" t="s">
        <v>1159</v>
      </c>
      <c r="C78">
        <v>79443</v>
      </c>
      <c r="D78">
        <v>0.99</v>
      </c>
      <c r="E78">
        <v>22</v>
      </c>
      <c r="F78">
        <v>0.22</v>
      </c>
      <c r="G78" s="108">
        <v>1.7</v>
      </c>
      <c r="H78">
        <v>0.05</v>
      </c>
      <c r="I78">
        <v>0.23</v>
      </c>
      <c r="J78">
        <v>79</v>
      </c>
    </row>
    <row r="79" spans="1:10">
      <c r="A79" s="57"/>
      <c r="B79" s="324" t="s">
        <v>1160</v>
      </c>
      <c r="C79">
        <v>61734</v>
      </c>
      <c r="D79">
        <v>0.57999999999999996</v>
      </c>
      <c r="E79">
        <v>17.100000000000001</v>
      </c>
      <c r="F79">
        <v>0.1</v>
      </c>
      <c r="G79" s="108">
        <v>0.8</v>
      </c>
      <c r="H79">
        <v>0.03</v>
      </c>
      <c r="I79">
        <v>0.13</v>
      </c>
      <c r="J79">
        <v>36</v>
      </c>
    </row>
    <row r="80" spans="1:10">
      <c r="A80" s="57"/>
      <c r="B80" s="324" t="s">
        <v>1161</v>
      </c>
      <c r="C80">
        <v>361584</v>
      </c>
      <c r="D80" s="195" t="s">
        <v>1162</v>
      </c>
      <c r="E80" s="195" t="s">
        <v>1162</v>
      </c>
      <c r="F80" s="195">
        <v>13.1</v>
      </c>
      <c r="G80" s="327">
        <v>100</v>
      </c>
      <c r="H80" s="195">
        <v>4.51</v>
      </c>
      <c r="I80" s="195" t="s">
        <v>1162</v>
      </c>
      <c r="J80">
        <v>4738</v>
      </c>
    </row>
    <row r="81" spans="1:10">
      <c r="A81" s="57"/>
      <c r="B81" s="324"/>
      <c r="C81" s="325"/>
      <c r="D81" s="195"/>
      <c r="E81" s="195"/>
      <c r="F81" s="195"/>
      <c r="G81" s="195"/>
      <c r="H81" s="195"/>
      <c r="I81" s="195"/>
      <c r="J81" s="325"/>
    </row>
    <row r="82" spans="1:10">
      <c r="A82" s="57" t="s">
        <v>1172</v>
      </c>
      <c r="B82" s="324"/>
      <c r="C82" s="325"/>
      <c r="D82" s="195"/>
      <c r="E82" s="195"/>
      <c r="F82" s="195"/>
      <c r="G82" s="195"/>
      <c r="H82" s="195"/>
      <c r="I82" s="195"/>
      <c r="J82" s="325"/>
    </row>
    <row r="83" spans="1:10" ht="58">
      <c r="A83" s="57"/>
      <c r="B83" s="195" t="s">
        <v>1135</v>
      </c>
      <c r="C83" s="56" t="s">
        <v>1136</v>
      </c>
      <c r="D83" s="17" t="s">
        <v>1137</v>
      </c>
      <c r="E83" s="17" t="s">
        <v>1138</v>
      </c>
      <c r="F83" s="17" t="s">
        <v>1139</v>
      </c>
      <c r="G83" s="17" t="s">
        <v>1140</v>
      </c>
      <c r="H83" s="17" t="s">
        <v>1141</v>
      </c>
      <c r="I83" s="17" t="s">
        <v>1142</v>
      </c>
      <c r="J83" s="180" t="s">
        <v>1143</v>
      </c>
    </row>
    <row r="84" spans="1:10">
      <c r="A84" s="57"/>
      <c r="B84" s="324" t="s">
        <v>1147</v>
      </c>
      <c r="C84">
        <v>60265</v>
      </c>
      <c r="D84">
        <v>0.36</v>
      </c>
      <c r="E84">
        <v>9.3000000000000007</v>
      </c>
      <c r="F84">
        <v>0.03</v>
      </c>
      <c r="G84" s="108">
        <v>0.5</v>
      </c>
      <c r="H84">
        <v>0.08</v>
      </c>
      <c r="I84" t="s">
        <v>1173</v>
      </c>
      <c r="J84">
        <v>22</v>
      </c>
    </row>
    <row r="85" spans="1:10">
      <c r="A85" s="57"/>
      <c r="B85" s="324" t="s">
        <v>1149</v>
      </c>
      <c r="C85">
        <v>135490</v>
      </c>
      <c r="D85">
        <v>1.58</v>
      </c>
      <c r="E85">
        <v>20.9</v>
      </c>
      <c r="F85">
        <v>0.33</v>
      </c>
      <c r="G85" s="108">
        <v>4.9000000000000004</v>
      </c>
      <c r="H85">
        <v>0.33</v>
      </c>
      <c r="I85" t="s">
        <v>1174</v>
      </c>
      <c r="J85">
        <v>214</v>
      </c>
    </row>
    <row r="86" spans="1:10">
      <c r="A86" s="57"/>
      <c r="B86" s="324" t="s">
        <v>1151</v>
      </c>
      <c r="C86">
        <v>164407</v>
      </c>
      <c r="D86">
        <v>1.0900000000000001</v>
      </c>
      <c r="E86">
        <v>25.3</v>
      </c>
      <c r="F86">
        <v>0.28000000000000003</v>
      </c>
      <c r="G86" s="108">
        <v>4.0999999999999996</v>
      </c>
      <c r="H86">
        <v>7.0000000000000007E-2</v>
      </c>
      <c r="I86">
        <v>0.12</v>
      </c>
      <c r="J86">
        <v>179</v>
      </c>
    </row>
    <row r="87" spans="1:10">
      <c r="A87" s="57"/>
      <c r="B87" s="324" t="s">
        <v>1152</v>
      </c>
      <c r="C87">
        <v>445409</v>
      </c>
      <c r="D87">
        <v>0.06</v>
      </c>
      <c r="E87">
        <v>68.599999999999994</v>
      </c>
      <c r="F87">
        <v>0.04</v>
      </c>
      <c r="G87" s="108">
        <v>0.6</v>
      </c>
      <c r="H87">
        <v>0.01</v>
      </c>
      <c r="I87">
        <v>0.08</v>
      </c>
      <c r="J87">
        <v>28</v>
      </c>
    </row>
    <row r="88" spans="1:10">
      <c r="A88" s="57"/>
      <c r="B88" s="324" t="s">
        <v>1153</v>
      </c>
      <c r="C88">
        <v>585310</v>
      </c>
      <c r="D88">
        <v>0.03</v>
      </c>
      <c r="E88">
        <v>90.1</v>
      </c>
      <c r="F88">
        <v>0.02</v>
      </c>
      <c r="G88" s="108">
        <v>0.3</v>
      </c>
      <c r="H88">
        <v>0.01</v>
      </c>
      <c r="I88">
        <v>0.09</v>
      </c>
      <c r="J88">
        <v>15</v>
      </c>
    </row>
    <row r="89" spans="1:10">
      <c r="A89" s="57"/>
      <c r="B89" s="324" t="s">
        <v>1154</v>
      </c>
      <c r="C89">
        <v>605115</v>
      </c>
      <c r="D89">
        <v>2.38</v>
      </c>
      <c r="E89">
        <v>93.1</v>
      </c>
      <c r="F89">
        <v>2.21</v>
      </c>
      <c r="G89" s="108">
        <v>32.799999999999997</v>
      </c>
      <c r="H89">
        <v>0.38</v>
      </c>
      <c r="I89">
        <v>5.72</v>
      </c>
      <c r="J89">
        <v>1438</v>
      </c>
    </row>
    <row r="90" spans="1:10">
      <c r="A90" s="57"/>
      <c r="B90" s="324" t="s">
        <v>1155</v>
      </c>
      <c r="C90">
        <v>605590</v>
      </c>
      <c r="D90">
        <v>0.28999999999999998</v>
      </c>
      <c r="E90">
        <v>93.2</v>
      </c>
      <c r="F90">
        <v>0.27</v>
      </c>
      <c r="G90" s="330">
        <v>4.0999999999999996</v>
      </c>
      <c r="H90">
        <v>0.06</v>
      </c>
      <c r="I90">
        <v>7.0000000000000007E-2</v>
      </c>
      <c r="J90">
        <v>178</v>
      </c>
    </row>
    <row r="91" spans="1:10">
      <c r="A91" s="57"/>
      <c r="B91" s="324" t="s">
        <v>1156</v>
      </c>
      <c r="C91">
        <v>649706</v>
      </c>
      <c r="D91">
        <v>2.29</v>
      </c>
      <c r="E91">
        <v>100</v>
      </c>
      <c r="F91">
        <v>2.29</v>
      </c>
      <c r="G91" s="330">
        <v>33.9</v>
      </c>
      <c r="H91">
        <v>0.48</v>
      </c>
      <c r="I91">
        <v>0.66</v>
      </c>
      <c r="J91">
        <v>1485</v>
      </c>
    </row>
    <row r="92" spans="1:10">
      <c r="A92" s="57"/>
      <c r="B92" s="324" t="s">
        <v>1157</v>
      </c>
      <c r="C92">
        <v>643157</v>
      </c>
      <c r="D92">
        <v>0.23</v>
      </c>
      <c r="E92">
        <v>99</v>
      </c>
      <c r="F92">
        <v>0.23</v>
      </c>
      <c r="G92" s="108">
        <v>3.4</v>
      </c>
      <c r="H92">
        <v>0.05</v>
      </c>
      <c r="I92">
        <v>0.26</v>
      </c>
      <c r="J92">
        <v>147</v>
      </c>
    </row>
    <row r="93" spans="1:10">
      <c r="A93" s="57"/>
      <c r="B93" s="324" t="s">
        <v>229</v>
      </c>
      <c r="C93">
        <v>616623</v>
      </c>
      <c r="D93">
        <v>0.44</v>
      </c>
      <c r="E93">
        <v>94.9</v>
      </c>
      <c r="F93">
        <v>0.42</v>
      </c>
      <c r="G93" s="108">
        <v>6.2</v>
      </c>
      <c r="H93">
        <v>0.08</v>
      </c>
      <c r="I93">
        <v>0.73</v>
      </c>
      <c r="J93">
        <v>270</v>
      </c>
    </row>
    <row r="94" spans="1:10">
      <c r="A94" s="57"/>
      <c r="B94" s="324" t="s">
        <v>1158</v>
      </c>
      <c r="C94">
        <v>13716</v>
      </c>
      <c r="D94">
        <v>0.97</v>
      </c>
      <c r="E94">
        <v>2.1</v>
      </c>
      <c r="F94">
        <v>0.02</v>
      </c>
      <c r="G94" s="108">
        <v>0.3</v>
      </c>
      <c r="H94">
        <v>0</v>
      </c>
      <c r="I94">
        <v>0.05</v>
      </c>
      <c r="J94">
        <v>13</v>
      </c>
    </row>
    <row r="95" spans="1:10">
      <c r="A95" s="57"/>
      <c r="B95" s="324" t="s">
        <v>1159</v>
      </c>
      <c r="C95">
        <v>352197</v>
      </c>
      <c r="D95">
        <v>0.95</v>
      </c>
      <c r="E95">
        <v>54.2</v>
      </c>
      <c r="F95">
        <v>0.52</v>
      </c>
      <c r="G95" s="108">
        <v>7.7</v>
      </c>
      <c r="H95">
        <v>0.1</v>
      </c>
      <c r="I95">
        <v>0.42</v>
      </c>
      <c r="J95">
        <v>336</v>
      </c>
    </row>
    <row r="96" spans="1:10">
      <c r="B96" s="324" t="s">
        <v>1160</v>
      </c>
      <c r="C96">
        <v>267557</v>
      </c>
      <c r="D96">
        <v>0.2</v>
      </c>
      <c r="E96">
        <v>41.2</v>
      </c>
      <c r="F96">
        <v>0.08</v>
      </c>
      <c r="G96" s="108">
        <v>1.2</v>
      </c>
      <c r="H96">
        <v>0.02</v>
      </c>
      <c r="I96">
        <v>0.08</v>
      </c>
      <c r="J96">
        <v>54</v>
      </c>
    </row>
    <row r="97" spans="1:10">
      <c r="B97" s="324" t="s">
        <v>1161</v>
      </c>
      <c r="C97">
        <v>649706</v>
      </c>
      <c r="D97" t="s">
        <v>1162</v>
      </c>
      <c r="E97" t="s">
        <v>1162</v>
      </c>
      <c r="F97">
        <v>6.74</v>
      </c>
      <c r="G97" s="108">
        <v>100</v>
      </c>
      <c r="H97">
        <v>1.5</v>
      </c>
      <c r="I97" t="s">
        <v>1162</v>
      </c>
      <c r="J97">
        <v>4380</v>
      </c>
    </row>
    <row r="98" spans="1:10">
      <c r="B98" s="324"/>
      <c r="C98" s="325"/>
      <c r="D98" s="195"/>
      <c r="E98" s="195"/>
      <c r="F98" s="195"/>
      <c r="G98" s="195"/>
      <c r="H98" s="195"/>
      <c r="I98" s="195"/>
      <c r="J98" s="325"/>
    </row>
    <row r="99" spans="1:10">
      <c r="A99" s="57" t="s">
        <v>1175</v>
      </c>
      <c r="B99" s="324"/>
      <c r="C99" s="325"/>
      <c r="D99" s="195"/>
      <c r="E99" s="195"/>
      <c r="F99" s="195"/>
      <c r="G99" s="195"/>
      <c r="H99" s="195"/>
      <c r="I99" s="195"/>
      <c r="J99" s="325"/>
    </row>
    <row r="100" spans="1:10" ht="58">
      <c r="B100" s="195" t="s">
        <v>1135</v>
      </c>
      <c r="C100" s="56" t="s">
        <v>1136</v>
      </c>
      <c r="D100" s="17" t="s">
        <v>1137</v>
      </c>
      <c r="E100" s="17" t="s">
        <v>1138</v>
      </c>
      <c r="F100" s="17" t="s">
        <v>1139</v>
      </c>
      <c r="G100" s="17" t="s">
        <v>1140</v>
      </c>
      <c r="H100" s="17" t="s">
        <v>1141</v>
      </c>
      <c r="I100" s="17" t="s">
        <v>1142</v>
      </c>
      <c r="J100" s="180" t="s">
        <v>1143</v>
      </c>
    </row>
    <row r="101" spans="1:10">
      <c r="B101" s="324" t="s">
        <v>1147</v>
      </c>
      <c r="C101" s="322">
        <v>169347</v>
      </c>
      <c r="D101" s="323">
        <v>0.98</v>
      </c>
      <c r="E101" s="323">
        <v>72.8</v>
      </c>
      <c r="F101" s="323">
        <v>0.71</v>
      </c>
      <c r="G101" s="323">
        <v>3.6</v>
      </c>
      <c r="H101" s="323">
        <v>0.2</v>
      </c>
      <c r="I101" s="323" t="s">
        <v>1176</v>
      </c>
      <c r="J101" s="323">
        <v>166</v>
      </c>
    </row>
    <row r="102" spans="1:10">
      <c r="B102" s="324" t="s">
        <v>1149</v>
      </c>
      <c r="C102" s="322">
        <v>209977</v>
      </c>
      <c r="D102" s="323">
        <v>4.29</v>
      </c>
      <c r="E102" s="323">
        <v>90.3</v>
      </c>
      <c r="F102" s="323">
        <v>3.87</v>
      </c>
      <c r="G102" s="323">
        <v>19.8</v>
      </c>
      <c r="H102" s="323">
        <v>1.62</v>
      </c>
      <c r="I102" s="323" t="s">
        <v>1177</v>
      </c>
      <c r="J102" s="323">
        <v>901</v>
      </c>
    </row>
    <row r="103" spans="1:10">
      <c r="B103" s="324" t="s">
        <v>1151</v>
      </c>
      <c r="C103" s="322">
        <v>222221</v>
      </c>
      <c r="D103" s="323">
        <v>4.2300000000000004</v>
      </c>
      <c r="E103" s="323">
        <v>95.5</v>
      </c>
      <c r="F103" s="323">
        <v>4.04</v>
      </c>
      <c r="G103" s="323">
        <v>20.6</v>
      </c>
      <c r="H103" s="323">
        <v>0.54</v>
      </c>
      <c r="I103" s="323">
        <v>0.83</v>
      </c>
      <c r="J103" s="323">
        <v>940</v>
      </c>
    </row>
    <row r="104" spans="1:10">
      <c r="B104" s="324" t="s">
        <v>1152</v>
      </c>
      <c r="C104" s="322">
        <v>49940</v>
      </c>
      <c r="D104" s="323">
        <v>0.36</v>
      </c>
      <c r="E104" s="323">
        <v>21.5</v>
      </c>
      <c r="F104" s="323">
        <v>0.08</v>
      </c>
      <c r="G104" s="323">
        <v>0.4</v>
      </c>
      <c r="H104" s="323">
        <v>0.02</v>
      </c>
      <c r="I104" s="323">
        <v>0.09</v>
      </c>
      <c r="J104" s="323">
        <v>18</v>
      </c>
    </row>
    <row r="105" spans="1:10">
      <c r="B105" s="324" t="s">
        <v>1153</v>
      </c>
      <c r="C105" s="322">
        <v>230408</v>
      </c>
      <c r="D105" s="323">
        <v>0.44</v>
      </c>
      <c r="E105" s="323">
        <v>99.1</v>
      </c>
      <c r="F105" s="323">
        <v>0.43</v>
      </c>
      <c r="G105" s="323">
        <v>2.2000000000000002</v>
      </c>
      <c r="H105" s="323">
        <v>0.09</v>
      </c>
      <c r="I105" s="323">
        <v>0.95</v>
      </c>
      <c r="J105" s="323">
        <v>101</v>
      </c>
    </row>
    <row r="106" spans="1:10">
      <c r="B106" s="324" t="s">
        <v>1154</v>
      </c>
      <c r="C106" s="322">
        <v>232083</v>
      </c>
      <c r="D106" s="323">
        <v>0.71</v>
      </c>
      <c r="E106" s="323">
        <v>99.8</v>
      </c>
      <c r="F106" s="323">
        <v>0.71</v>
      </c>
      <c r="G106" s="323">
        <v>3.6</v>
      </c>
      <c r="H106" s="323">
        <v>0.09</v>
      </c>
      <c r="I106" s="323">
        <v>0.54</v>
      </c>
      <c r="J106" s="323">
        <v>166</v>
      </c>
    </row>
    <row r="107" spans="1:10">
      <c r="B107" s="324" t="s">
        <v>1155</v>
      </c>
      <c r="C107" s="322">
        <v>226738</v>
      </c>
      <c r="D107" s="323">
        <v>0.57999999999999996</v>
      </c>
      <c r="E107" s="323">
        <v>97.5</v>
      </c>
      <c r="F107" s="323">
        <v>0.56999999999999995</v>
      </c>
      <c r="G107" s="323">
        <v>2.9</v>
      </c>
      <c r="H107" s="323">
        <v>0.13</v>
      </c>
      <c r="I107" s="323">
        <v>0.13</v>
      </c>
      <c r="J107" s="323">
        <v>132</v>
      </c>
    </row>
    <row r="108" spans="1:10">
      <c r="B108" s="324" t="s">
        <v>1156</v>
      </c>
      <c r="C108" s="322">
        <v>232606</v>
      </c>
      <c r="D108" s="323">
        <v>4.8099999999999996</v>
      </c>
      <c r="E108" s="323">
        <v>100</v>
      </c>
      <c r="F108" s="323">
        <v>4.8099999999999996</v>
      </c>
      <c r="G108" s="323">
        <v>24.5</v>
      </c>
      <c r="H108" s="323">
        <v>0.74</v>
      </c>
      <c r="I108" s="323">
        <v>0.93</v>
      </c>
      <c r="J108" s="322">
        <v>1119</v>
      </c>
    </row>
    <row r="109" spans="1:10">
      <c r="B109" s="324" t="s">
        <v>1157</v>
      </c>
      <c r="C109" s="322">
        <v>232420</v>
      </c>
      <c r="D109" s="323">
        <v>0.86</v>
      </c>
      <c r="E109" s="323">
        <v>99.9</v>
      </c>
      <c r="F109" s="323">
        <v>0.86</v>
      </c>
      <c r="G109" s="323">
        <v>4.4000000000000004</v>
      </c>
      <c r="H109" s="323">
        <v>0.15</v>
      </c>
      <c r="I109" s="323">
        <v>0.56999999999999995</v>
      </c>
      <c r="J109" s="323">
        <v>200</v>
      </c>
    </row>
    <row r="110" spans="1:10">
      <c r="B110" s="324" t="s">
        <v>229</v>
      </c>
      <c r="C110" s="322">
        <v>230603</v>
      </c>
      <c r="D110" s="323">
        <v>2.54</v>
      </c>
      <c r="E110" s="323">
        <v>99.1</v>
      </c>
      <c r="F110" s="323">
        <v>2.52</v>
      </c>
      <c r="G110" s="323">
        <v>12.8</v>
      </c>
      <c r="H110" s="323">
        <v>0.43</v>
      </c>
      <c r="I110" s="323">
        <v>2.19</v>
      </c>
      <c r="J110" s="323">
        <v>586</v>
      </c>
    </row>
    <row r="111" spans="1:10">
      <c r="B111" s="324" t="s">
        <v>1158</v>
      </c>
      <c r="C111" s="322">
        <v>4716</v>
      </c>
      <c r="D111" s="323">
        <v>0.26</v>
      </c>
      <c r="E111" s="323">
        <v>2</v>
      </c>
      <c r="F111" s="323">
        <v>0.01</v>
      </c>
      <c r="G111" s="323">
        <v>0</v>
      </c>
      <c r="H111" s="323">
        <v>0</v>
      </c>
      <c r="I111" s="323">
        <v>0</v>
      </c>
      <c r="J111" s="323">
        <v>1</v>
      </c>
    </row>
    <row r="112" spans="1:10">
      <c r="B112" s="324" t="s">
        <v>1159</v>
      </c>
      <c r="C112" s="322">
        <v>172371</v>
      </c>
      <c r="D112" s="323">
        <v>1.05</v>
      </c>
      <c r="E112" s="323">
        <v>74.099999999999994</v>
      </c>
      <c r="F112" s="323">
        <v>0.78</v>
      </c>
      <c r="G112" s="323">
        <v>4</v>
      </c>
      <c r="H112" s="323">
        <v>0.12</v>
      </c>
      <c r="I112" s="323">
        <v>0.61</v>
      </c>
      <c r="J112" s="323">
        <v>181</v>
      </c>
    </row>
    <row r="113" spans="1:10">
      <c r="B113" s="324" t="s">
        <v>1160</v>
      </c>
      <c r="C113" s="322">
        <v>119943</v>
      </c>
      <c r="D113" s="323">
        <v>0.42</v>
      </c>
      <c r="E113" s="323">
        <v>51.6</v>
      </c>
      <c r="F113" s="323">
        <v>0.22</v>
      </c>
      <c r="G113" s="323">
        <v>1.1000000000000001</v>
      </c>
      <c r="H113" s="323">
        <v>0.04</v>
      </c>
      <c r="I113" s="323">
        <v>0.1</v>
      </c>
      <c r="J113" s="323">
        <v>50</v>
      </c>
    </row>
    <row r="114" spans="1:10">
      <c r="B114" s="324" t="s">
        <v>1161</v>
      </c>
      <c r="C114" s="322">
        <v>232606</v>
      </c>
      <c r="D114" s="323" t="s">
        <v>1162</v>
      </c>
      <c r="E114" s="323" t="s">
        <v>1162</v>
      </c>
      <c r="F114" s="323">
        <v>19.61</v>
      </c>
      <c r="G114" s="323">
        <v>100</v>
      </c>
      <c r="H114" s="323">
        <v>3.78</v>
      </c>
      <c r="I114" s="323" t="s">
        <v>1162</v>
      </c>
      <c r="J114" s="322">
        <v>4561</v>
      </c>
    </row>
    <row r="115" spans="1:10">
      <c r="B115" s="324"/>
      <c r="C115" s="325"/>
      <c r="D115" s="195"/>
      <c r="E115" s="195"/>
      <c r="F115" s="195"/>
      <c r="G115" s="195"/>
      <c r="H115" s="195"/>
      <c r="I115" s="195"/>
      <c r="J115" s="325"/>
    </row>
    <row r="116" spans="1:10">
      <c r="B116" s="324"/>
      <c r="C116" s="325"/>
      <c r="D116" s="195"/>
      <c r="E116" s="195"/>
      <c r="F116" s="195"/>
      <c r="G116" s="195"/>
      <c r="H116" s="195"/>
      <c r="I116" s="195"/>
      <c r="J116" s="325"/>
    </row>
    <row r="117" spans="1:10">
      <c r="A117" s="57" t="s">
        <v>1178</v>
      </c>
    </row>
    <row r="118" spans="1:10" ht="58">
      <c r="B118" s="195" t="s">
        <v>1135</v>
      </c>
      <c r="C118" s="56" t="s">
        <v>1179</v>
      </c>
      <c r="D118" s="56" t="s">
        <v>1180</v>
      </c>
      <c r="E118" s="56" t="s">
        <v>1138</v>
      </c>
      <c r="F118" s="56" t="s">
        <v>1181</v>
      </c>
      <c r="G118" s="56" t="s">
        <v>1182</v>
      </c>
      <c r="H118" s="56" t="s">
        <v>1183</v>
      </c>
      <c r="I118" s="56" t="s">
        <v>1184</v>
      </c>
      <c r="J118" s="180" t="s">
        <v>1185</v>
      </c>
    </row>
    <row r="119" spans="1:10">
      <c r="D119" t="s">
        <v>1144</v>
      </c>
      <c r="E119" t="s">
        <v>1145</v>
      </c>
      <c r="F119" t="s">
        <v>1146</v>
      </c>
    </row>
    <row r="120" spans="1:10">
      <c r="B120" s="324" t="s">
        <v>1147</v>
      </c>
      <c r="C120">
        <v>2752620</v>
      </c>
      <c r="D120">
        <v>16.91</v>
      </c>
      <c r="E120">
        <v>55.9</v>
      </c>
      <c r="F120">
        <v>9.4600000000000009</v>
      </c>
      <c r="G120">
        <v>36.4</v>
      </c>
      <c r="H120">
        <v>5.81</v>
      </c>
      <c r="I120" t="s">
        <v>1186</v>
      </c>
      <c r="J120">
        <v>46555</v>
      </c>
    </row>
    <row r="121" spans="1:10">
      <c r="B121" s="324" t="s">
        <v>1149</v>
      </c>
      <c r="C121">
        <v>74417</v>
      </c>
      <c r="D121">
        <v>25.68</v>
      </c>
      <c r="E121">
        <v>1.5</v>
      </c>
      <c r="F121">
        <v>0.39</v>
      </c>
      <c r="G121">
        <v>1.5</v>
      </c>
      <c r="H121">
        <v>0.19</v>
      </c>
      <c r="I121" t="s">
        <v>1187</v>
      </c>
      <c r="J121">
        <v>1911</v>
      </c>
    </row>
    <row r="122" spans="1:10">
      <c r="B122" s="324" t="s">
        <v>1152</v>
      </c>
      <c r="C122">
        <v>2810997</v>
      </c>
      <c r="D122">
        <v>14.47</v>
      </c>
      <c r="E122">
        <v>57.1</v>
      </c>
      <c r="F122">
        <v>8.27</v>
      </c>
      <c r="G122">
        <v>31.8</v>
      </c>
      <c r="H122">
        <v>1.7</v>
      </c>
      <c r="I122">
        <v>7.78</v>
      </c>
      <c r="J122">
        <v>40668</v>
      </c>
    </row>
    <row r="123" spans="1:10">
      <c r="B123" s="324" t="s">
        <v>1153</v>
      </c>
      <c r="C123">
        <v>1399091</v>
      </c>
      <c r="D123">
        <v>20.66</v>
      </c>
      <c r="E123">
        <v>28.4</v>
      </c>
      <c r="F123">
        <v>5.88</v>
      </c>
      <c r="G123">
        <v>22.6</v>
      </c>
      <c r="H123">
        <v>1.25</v>
      </c>
      <c r="I123">
        <v>4.5199999999999996</v>
      </c>
      <c r="J123">
        <v>28906</v>
      </c>
    </row>
    <row r="124" spans="1:10">
      <c r="B124" s="324" t="s">
        <v>229</v>
      </c>
      <c r="C124">
        <v>526933</v>
      </c>
      <c r="D124">
        <v>4.3600000000000003</v>
      </c>
      <c r="E124">
        <v>10.7</v>
      </c>
      <c r="F124">
        <v>0.47</v>
      </c>
      <c r="G124">
        <v>1.8</v>
      </c>
      <c r="H124">
        <v>0.1</v>
      </c>
      <c r="I124">
        <v>0.54</v>
      </c>
      <c r="J124">
        <v>2297</v>
      </c>
    </row>
    <row r="125" spans="1:10">
      <c r="B125" s="324" t="s">
        <v>1158</v>
      </c>
      <c r="C125">
        <v>160271</v>
      </c>
      <c r="D125">
        <v>46.92</v>
      </c>
      <c r="E125">
        <v>3.3</v>
      </c>
      <c r="F125">
        <v>1.53</v>
      </c>
      <c r="G125">
        <v>5.9</v>
      </c>
      <c r="H125">
        <v>0.33</v>
      </c>
      <c r="I125">
        <v>0.88</v>
      </c>
      <c r="J125">
        <v>7521</v>
      </c>
    </row>
    <row r="126" spans="1:10">
      <c r="B126" s="324" t="s">
        <v>1161</v>
      </c>
      <c r="C126">
        <v>4920114</v>
      </c>
      <c r="D126" s="195" t="s">
        <v>1162</v>
      </c>
      <c r="E126" s="195" t="s">
        <v>1162</v>
      </c>
      <c r="F126">
        <v>25.99</v>
      </c>
      <c r="G126">
        <v>100</v>
      </c>
      <c r="H126">
        <v>8.49</v>
      </c>
      <c r="I126" t="s">
        <v>1162</v>
      </c>
      <c r="J126">
        <v>127857</v>
      </c>
    </row>
    <row r="128" spans="1:10">
      <c r="A128" s="57" t="s">
        <v>1188</v>
      </c>
    </row>
    <row r="129" spans="1:10" ht="58">
      <c r="B129" s="195" t="s">
        <v>1135</v>
      </c>
      <c r="C129" s="56" t="s">
        <v>1179</v>
      </c>
      <c r="D129" s="56" t="s">
        <v>1180</v>
      </c>
      <c r="E129" s="56" t="s">
        <v>1138</v>
      </c>
      <c r="F129" s="56" t="s">
        <v>1181</v>
      </c>
      <c r="G129" s="56" t="s">
        <v>1182</v>
      </c>
      <c r="H129" s="56" t="s">
        <v>1183</v>
      </c>
      <c r="I129" s="56" t="s">
        <v>1184</v>
      </c>
      <c r="J129" s="180" t="s">
        <v>1185</v>
      </c>
    </row>
    <row r="130" spans="1:10">
      <c r="B130" s="324" t="s">
        <v>1147</v>
      </c>
      <c r="C130">
        <v>666179</v>
      </c>
      <c r="D130">
        <v>21.75</v>
      </c>
      <c r="E130">
        <v>65.2</v>
      </c>
      <c r="F130">
        <v>14.18</v>
      </c>
      <c r="G130">
        <v>79.2</v>
      </c>
      <c r="H130">
        <v>7.98</v>
      </c>
      <c r="I130" t="s">
        <v>1189</v>
      </c>
      <c r="J130">
        <v>14490</v>
      </c>
    </row>
    <row r="131" spans="1:10">
      <c r="B131" s="324" t="s">
        <v>1149</v>
      </c>
      <c r="C131">
        <v>12877</v>
      </c>
      <c r="D131">
        <v>27.92</v>
      </c>
      <c r="E131">
        <v>1.3</v>
      </c>
      <c r="F131">
        <v>0.35</v>
      </c>
      <c r="G131">
        <v>2</v>
      </c>
      <c r="H131">
        <v>0.15</v>
      </c>
      <c r="I131" t="s">
        <v>1187</v>
      </c>
      <c r="J131">
        <v>359</v>
      </c>
    </row>
    <row r="132" spans="1:10">
      <c r="B132" s="324" t="s">
        <v>1152</v>
      </c>
      <c r="C132">
        <v>502391</v>
      </c>
      <c r="D132">
        <v>4.6100000000000003</v>
      </c>
      <c r="E132">
        <v>49.2</v>
      </c>
      <c r="F132">
        <v>2.27</v>
      </c>
      <c r="G132">
        <v>12.7</v>
      </c>
      <c r="H132">
        <v>0.43</v>
      </c>
      <c r="I132">
        <v>2.42</v>
      </c>
      <c r="J132">
        <v>2315</v>
      </c>
    </row>
    <row r="133" spans="1:10">
      <c r="B133" s="324" t="s">
        <v>1153</v>
      </c>
      <c r="C133">
        <v>126268</v>
      </c>
      <c r="D133">
        <v>1.58</v>
      </c>
      <c r="E133">
        <v>12.4</v>
      </c>
      <c r="F133">
        <v>0.2</v>
      </c>
      <c r="G133">
        <v>1.1000000000000001</v>
      </c>
      <c r="H133">
        <v>7.0000000000000007E-2</v>
      </c>
      <c r="I133">
        <v>0.45</v>
      </c>
      <c r="J133">
        <v>200</v>
      </c>
    </row>
    <row r="134" spans="1:10">
      <c r="B134" s="324" t="s">
        <v>229</v>
      </c>
      <c r="C134">
        <v>47781</v>
      </c>
      <c r="D134">
        <v>1.74</v>
      </c>
      <c r="E134">
        <v>4.7</v>
      </c>
      <c r="F134">
        <v>0.08</v>
      </c>
      <c r="G134">
        <v>0.5</v>
      </c>
      <c r="H134">
        <v>0.02</v>
      </c>
      <c r="I134">
        <v>0.08</v>
      </c>
      <c r="J134">
        <v>83</v>
      </c>
    </row>
    <row r="135" spans="1:10">
      <c r="B135" s="324" t="s">
        <v>1158</v>
      </c>
      <c r="C135">
        <v>12955</v>
      </c>
      <c r="D135">
        <v>65.19</v>
      </c>
      <c r="E135">
        <v>1.3</v>
      </c>
      <c r="F135">
        <v>0.83</v>
      </c>
      <c r="G135">
        <v>4.5999999999999996</v>
      </c>
      <c r="H135">
        <v>0.13</v>
      </c>
      <c r="I135">
        <v>0.28999999999999998</v>
      </c>
      <c r="J135">
        <v>844</v>
      </c>
    </row>
    <row r="136" spans="1:10">
      <c r="B136" s="324" t="s">
        <v>1161</v>
      </c>
      <c r="C136">
        <v>1022012</v>
      </c>
      <c r="D136" t="s">
        <v>1162</v>
      </c>
      <c r="E136" t="s">
        <v>1162</v>
      </c>
      <c r="F136">
        <v>17.899999999999999</v>
      </c>
      <c r="G136">
        <v>100</v>
      </c>
      <c r="H136">
        <v>8.6199999999999992</v>
      </c>
      <c r="I136" t="s">
        <v>1162</v>
      </c>
      <c r="J136">
        <v>18292</v>
      </c>
    </row>
    <row r="137" spans="1:10">
      <c r="B137" s="1147"/>
      <c r="C137" s="1147"/>
      <c r="D137" s="1147"/>
      <c r="E137" s="1147"/>
      <c r="F137" s="1147"/>
      <c r="G137" s="1147"/>
      <c r="H137" s="1147"/>
      <c r="I137" s="1147"/>
      <c r="J137" s="1147"/>
    </row>
    <row r="138" spans="1:10">
      <c r="A138" s="57" t="s">
        <v>1190</v>
      </c>
    </row>
    <row r="139" spans="1:10" ht="58">
      <c r="B139" s="195" t="s">
        <v>1135</v>
      </c>
      <c r="C139" s="56" t="s">
        <v>1179</v>
      </c>
      <c r="D139" s="56" t="s">
        <v>1180</v>
      </c>
      <c r="E139" s="56" t="s">
        <v>1138</v>
      </c>
      <c r="F139" s="56" t="s">
        <v>1181</v>
      </c>
      <c r="G139" s="56" t="s">
        <v>1182</v>
      </c>
      <c r="H139" s="56" t="s">
        <v>1183</v>
      </c>
      <c r="I139" s="56" t="s">
        <v>1184</v>
      </c>
      <c r="J139" s="180" t="s">
        <v>1185</v>
      </c>
    </row>
    <row r="140" spans="1:10">
      <c r="B140" s="324" t="s">
        <v>1147</v>
      </c>
      <c r="C140">
        <v>487124</v>
      </c>
      <c r="D140">
        <v>23.35</v>
      </c>
      <c r="E140">
        <v>73.8</v>
      </c>
      <c r="F140">
        <v>17.22</v>
      </c>
      <c r="G140">
        <v>78.5</v>
      </c>
      <c r="H140">
        <v>8.6999999999999993</v>
      </c>
      <c r="I140" t="s">
        <v>1191</v>
      </c>
      <c r="J140">
        <v>11374</v>
      </c>
    </row>
    <row r="141" spans="1:10">
      <c r="B141" s="324" t="s">
        <v>1149</v>
      </c>
      <c r="C141">
        <v>12877</v>
      </c>
      <c r="D141">
        <v>27.92</v>
      </c>
      <c r="E141">
        <v>1.9</v>
      </c>
      <c r="F141">
        <v>0.54</v>
      </c>
      <c r="G141">
        <v>2.5</v>
      </c>
      <c r="H141">
        <v>0.24</v>
      </c>
      <c r="I141" t="s">
        <v>1187</v>
      </c>
      <c r="J141">
        <v>359</v>
      </c>
    </row>
    <row r="142" spans="1:10">
      <c r="B142" s="324" t="s">
        <v>1152</v>
      </c>
      <c r="C142">
        <v>387891</v>
      </c>
      <c r="D142">
        <v>4.43</v>
      </c>
      <c r="E142">
        <v>58.7</v>
      </c>
      <c r="F142">
        <v>2.6</v>
      </c>
      <c r="G142">
        <v>11.9</v>
      </c>
      <c r="H142">
        <v>0.49</v>
      </c>
      <c r="I142">
        <v>2.08</v>
      </c>
      <c r="J142">
        <v>1716</v>
      </c>
    </row>
    <row r="143" spans="1:10">
      <c r="B143" s="324" t="s">
        <v>1153</v>
      </c>
      <c r="C143">
        <v>114586</v>
      </c>
      <c r="D143">
        <v>1.35</v>
      </c>
      <c r="E143">
        <v>17.399999999999999</v>
      </c>
      <c r="F143">
        <v>0.23</v>
      </c>
      <c r="G143">
        <v>1.1000000000000001</v>
      </c>
      <c r="H143">
        <v>7.0000000000000007E-2</v>
      </c>
      <c r="I143">
        <v>0.3</v>
      </c>
      <c r="J143">
        <v>154</v>
      </c>
    </row>
    <row r="144" spans="1:10">
      <c r="B144" s="324" t="s">
        <v>229</v>
      </c>
      <c r="C144">
        <v>37225</v>
      </c>
      <c r="D144">
        <v>1.84</v>
      </c>
      <c r="E144">
        <v>5.6</v>
      </c>
      <c r="F144">
        <v>0.1</v>
      </c>
      <c r="G144">
        <v>0.5</v>
      </c>
      <c r="H144">
        <v>0.02</v>
      </c>
      <c r="I144">
        <v>7.0000000000000007E-2</v>
      </c>
      <c r="J144">
        <v>68</v>
      </c>
    </row>
    <row r="145" spans="1:10">
      <c r="B145" s="324" t="s">
        <v>1158</v>
      </c>
      <c r="C145">
        <v>12428</v>
      </c>
      <c r="D145">
        <v>65.11</v>
      </c>
      <c r="E145">
        <v>1.9</v>
      </c>
      <c r="F145">
        <v>1.23</v>
      </c>
      <c r="G145">
        <v>5.6</v>
      </c>
      <c r="H145">
        <v>0.19</v>
      </c>
      <c r="I145">
        <v>0.43</v>
      </c>
      <c r="J145">
        <v>809</v>
      </c>
    </row>
    <row r="146" spans="1:10">
      <c r="B146" s="324" t="s">
        <v>1161</v>
      </c>
      <c r="C146">
        <v>660429</v>
      </c>
      <c r="D146" t="s">
        <v>1162</v>
      </c>
      <c r="E146" t="s">
        <v>1162</v>
      </c>
      <c r="F146">
        <v>21.93</v>
      </c>
      <c r="G146">
        <v>100</v>
      </c>
      <c r="H146">
        <v>9.4</v>
      </c>
      <c r="I146" t="s">
        <v>1162</v>
      </c>
      <c r="J146">
        <v>14482</v>
      </c>
    </row>
    <row r="148" spans="1:10">
      <c r="A148" s="57" t="s">
        <v>1192</v>
      </c>
    </row>
    <row r="149" spans="1:10" ht="58">
      <c r="B149" s="195" t="s">
        <v>1135</v>
      </c>
      <c r="C149" s="56" t="s">
        <v>1179</v>
      </c>
      <c r="D149" s="56" t="s">
        <v>1180</v>
      </c>
      <c r="E149" s="56" t="s">
        <v>1138</v>
      </c>
      <c r="F149" s="56" t="s">
        <v>1181</v>
      </c>
      <c r="G149" s="56" t="s">
        <v>1182</v>
      </c>
      <c r="H149" s="56" t="s">
        <v>1183</v>
      </c>
      <c r="I149" s="56" t="s">
        <v>1184</v>
      </c>
      <c r="J149" s="180" t="s">
        <v>1185</v>
      </c>
    </row>
    <row r="150" spans="1:10">
      <c r="B150" s="324" t="s">
        <v>1147</v>
      </c>
      <c r="C150">
        <v>179055</v>
      </c>
      <c r="D150">
        <v>17.399999999999999</v>
      </c>
      <c r="E150">
        <v>49.5</v>
      </c>
      <c r="F150">
        <v>8.6199999999999992</v>
      </c>
      <c r="G150">
        <v>81.8</v>
      </c>
      <c r="H150">
        <v>7.97</v>
      </c>
      <c r="I150" t="s">
        <v>1193</v>
      </c>
      <c r="J150">
        <v>3116</v>
      </c>
    </row>
    <row r="151" spans="1:10">
      <c r="B151" s="324" t="s">
        <v>1149</v>
      </c>
      <c r="C151">
        <v>0</v>
      </c>
      <c r="D151">
        <v>0</v>
      </c>
      <c r="E151">
        <v>0</v>
      </c>
      <c r="F151">
        <v>0</v>
      </c>
      <c r="G151">
        <v>0</v>
      </c>
      <c r="H151">
        <v>0</v>
      </c>
      <c r="I151" t="s">
        <v>1187</v>
      </c>
      <c r="J151">
        <v>0</v>
      </c>
    </row>
    <row r="152" spans="1:10">
      <c r="B152" s="324" t="s">
        <v>1152</v>
      </c>
      <c r="C152">
        <v>114500</v>
      </c>
      <c r="D152">
        <v>5.23</v>
      </c>
      <c r="E152">
        <v>31.7</v>
      </c>
      <c r="F152">
        <v>1.66</v>
      </c>
      <c r="G152">
        <v>15.7</v>
      </c>
      <c r="H152">
        <v>0.33</v>
      </c>
      <c r="I152">
        <v>3.03</v>
      </c>
      <c r="J152">
        <v>599</v>
      </c>
    </row>
    <row r="153" spans="1:10">
      <c r="B153" s="324" t="s">
        <v>1153</v>
      </c>
      <c r="C153">
        <v>11682</v>
      </c>
      <c r="D153">
        <v>3.86</v>
      </c>
      <c r="E153">
        <v>3.2</v>
      </c>
      <c r="F153">
        <v>0.12</v>
      </c>
      <c r="G153">
        <v>1.2</v>
      </c>
      <c r="H153">
        <v>0.06</v>
      </c>
      <c r="I153">
        <v>0.73</v>
      </c>
      <c r="J153">
        <v>45</v>
      </c>
    </row>
    <row r="154" spans="1:10">
      <c r="B154" s="324" t="s">
        <v>229</v>
      </c>
      <c r="C154">
        <v>10556</v>
      </c>
      <c r="D154">
        <v>1.37</v>
      </c>
      <c r="E154">
        <v>2.9</v>
      </c>
      <c r="F154">
        <v>0.04</v>
      </c>
      <c r="G154">
        <v>0.4</v>
      </c>
      <c r="H154">
        <v>0.01</v>
      </c>
      <c r="I154">
        <v>0.11</v>
      </c>
      <c r="J154">
        <v>14</v>
      </c>
    </row>
    <row r="155" spans="1:10">
      <c r="B155" s="324" t="s">
        <v>1158</v>
      </c>
      <c r="C155">
        <v>527</v>
      </c>
      <c r="D155">
        <v>67.08</v>
      </c>
      <c r="E155">
        <v>0.1</v>
      </c>
      <c r="F155">
        <v>0.1</v>
      </c>
      <c r="G155">
        <v>0.9</v>
      </c>
      <c r="H155">
        <v>0.02</v>
      </c>
      <c r="I155">
        <v>0.03</v>
      </c>
      <c r="J155">
        <v>35</v>
      </c>
    </row>
    <row r="156" spans="1:10">
      <c r="B156" s="324" t="s">
        <v>1161</v>
      </c>
      <c r="C156">
        <v>361584</v>
      </c>
      <c r="D156" t="s">
        <v>1162</v>
      </c>
      <c r="E156" t="s">
        <v>1162</v>
      </c>
      <c r="F156">
        <v>10.54</v>
      </c>
      <c r="G156">
        <v>100</v>
      </c>
      <c r="H156">
        <v>8.3000000000000007</v>
      </c>
      <c r="I156" t="s">
        <v>1162</v>
      </c>
      <c r="J156">
        <v>3810</v>
      </c>
    </row>
    <row r="158" spans="1:10">
      <c r="A158" s="57" t="s">
        <v>1194</v>
      </c>
    </row>
    <row r="159" spans="1:10" ht="58">
      <c r="B159" s="195" t="s">
        <v>1135</v>
      </c>
      <c r="C159" s="56" t="s">
        <v>1179</v>
      </c>
      <c r="D159" s="56" t="s">
        <v>1180</v>
      </c>
      <c r="E159" s="56" t="s">
        <v>1138</v>
      </c>
      <c r="F159" s="56" t="s">
        <v>1181</v>
      </c>
      <c r="G159" s="56" t="s">
        <v>1182</v>
      </c>
      <c r="H159" s="56" t="s">
        <v>1183</v>
      </c>
      <c r="I159" s="56" t="s">
        <v>1184</v>
      </c>
      <c r="J159" s="180" t="s">
        <v>1185</v>
      </c>
    </row>
    <row r="160" spans="1:10">
      <c r="B160" s="324" t="s">
        <v>1147</v>
      </c>
      <c r="C160">
        <v>128379</v>
      </c>
      <c r="D160">
        <v>12.15</v>
      </c>
      <c r="E160">
        <v>19.8</v>
      </c>
      <c r="F160">
        <v>2.4</v>
      </c>
      <c r="G160">
        <v>69.7</v>
      </c>
      <c r="H160">
        <v>2.4500000000000002</v>
      </c>
      <c r="I160" t="s">
        <v>1195</v>
      </c>
      <c r="J160">
        <v>1560</v>
      </c>
    </row>
    <row r="161" spans="1:10">
      <c r="B161" s="324" t="s">
        <v>1149</v>
      </c>
      <c r="C161">
        <v>0</v>
      </c>
      <c r="D161">
        <v>0</v>
      </c>
      <c r="E161">
        <v>0</v>
      </c>
      <c r="F161">
        <v>0</v>
      </c>
      <c r="G161">
        <v>0</v>
      </c>
      <c r="H161">
        <v>0</v>
      </c>
      <c r="I161" t="s">
        <v>1187</v>
      </c>
      <c r="J161">
        <v>0</v>
      </c>
    </row>
    <row r="162" spans="1:10">
      <c r="B162" s="324" t="s">
        <v>1152</v>
      </c>
      <c r="C162">
        <v>231687</v>
      </c>
      <c r="D162">
        <v>1.1000000000000001</v>
      </c>
      <c r="E162">
        <v>35.700000000000003</v>
      </c>
      <c r="F162">
        <v>0.39</v>
      </c>
      <c r="G162">
        <v>11.4</v>
      </c>
      <c r="H162">
        <v>0.09</v>
      </c>
      <c r="I162">
        <v>0.77</v>
      </c>
      <c r="J162">
        <v>256</v>
      </c>
    </row>
    <row r="163" spans="1:10">
      <c r="B163" s="324" t="s">
        <v>1153</v>
      </c>
      <c r="C163">
        <v>18761</v>
      </c>
      <c r="D163">
        <v>6.6</v>
      </c>
      <c r="E163">
        <v>2.9</v>
      </c>
      <c r="F163">
        <v>0.19</v>
      </c>
      <c r="G163">
        <v>5.5</v>
      </c>
      <c r="H163">
        <v>0.03</v>
      </c>
      <c r="I163">
        <v>0.06</v>
      </c>
      <c r="J163">
        <v>124</v>
      </c>
    </row>
    <row r="164" spans="1:10">
      <c r="B164" s="324" t="s">
        <v>229</v>
      </c>
      <c r="C164">
        <v>27247</v>
      </c>
      <c r="D164">
        <v>0.77</v>
      </c>
      <c r="E164">
        <v>4.2</v>
      </c>
      <c r="F164">
        <v>0.03</v>
      </c>
      <c r="G164">
        <v>0.9</v>
      </c>
      <c r="H164">
        <v>0.01</v>
      </c>
      <c r="I164">
        <v>0.14000000000000001</v>
      </c>
      <c r="J164">
        <v>21</v>
      </c>
    </row>
    <row r="165" spans="1:10">
      <c r="B165" s="324" t="s">
        <v>1158</v>
      </c>
      <c r="C165">
        <v>14916</v>
      </c>
      <c r="D165">
        <v>18.53</v>
      </c>
      <c r="E165">
        <v>2.2999999999999998</v>
      </c>
      <c r="F165">
        <v>0.43</v>
      </c>
      <c r="G165">
        <v>12.4</v>
      </c>
      <c r="H165">
        <v>0.11</v>
      </c>
      <c r="I165">
        <v>0.61</v>
      </c>
      <c r="J165">
        <v>276</v>
      </c>
    </row>
    <row r="166" spans="1:10">
      <c r="B166" s="324" t="s">
        <v>1161</v>
      </c>
      <c r="C166">
        <v>649706</v>
      </c>
      <c r="D166" t="s">
        <v>1162</v>
      </c>
      <c r="E166" t="s">
        <v>1162</v>
      </c>
      <c r="F166">
        <v>3.44</v>
      </c>
      <c r="G166">
        <v>100</v>
      </c>
      <c r="H166">
        <v>2.68</v>
      </c>
      <c r="I166" t="s">
        <v>1162</v>
      </c>
      <c r="J166">
        <v>2237</v>
      </c>
    </row>
    <row r="168" spans="1:10">
      <c r="A168" s="57" t="s">
        <v>1196</v>
      </c>
    </row>
    <row r="169" spans="1:10" ht="58">
      <c r="B169" s="195" t="s">
        <v>1135</v>
      </c>
      <c r="C169" s="56" t="s">
        <v>1179</v>
      </c>
      <c r="D169" s="56" t="s">
        <v>1180</v>
      </c>
      <c r="E169" s="56" t="s">
        <v>1138</v>
      </c>
      <c r="F169" s="56" t="s">
        <v>1181</v>
      </c>
      <c r="G169" s="56" t="s">
        <v>1182</v>
      </c>
      <c r="H169" s="56" t="s">
        <v>1183</v>
      </c>
      <c r="I169" s="56" t="s">
        <v>1184</v>
      </c>
      <c r="J169" s="180" t="s">
        <v>1185</v>
      </c>
    </row>
    <row r="170" spans="1:10">
      <c r="B170" s="324" t="s">
        <v>1147</v>
      </c>
      <c r="C170">
        <v>199273</v>
      </c>
      <c r="D170">
        <v>38.18</v>
      </c>
      <c r="E170">
        <v>85.7</v>
      </c>
      <c r="F170">
        <v>32.700000000000003</v>
      </c>
      <c r="G170">
        <v>43.3</v>
      </c>
      <c r="H170">
        <v>9.61</v>
      </c>
      <c r="I170" t="s">
        <v>1197</v>
      </c>
      <c r="J170">
        <v>7607</v>
      </c>
    </row>
    <row r="171" spans="1:10">
      <c r="B171" s="324" t="s">
        <v>1149</v>
      </c>
      <c r="C171">
        <v>5193</v>
      </c>
      <c r="D171">
        <v>69.62</v>
      </c>
      <c r="E171">
        <v>2.2000000000000002</v>
      </c>
      <c r="F171">
        <v>1.55</v>
      </c>
      <c r="G171">
        <v>2.1</v>
      </c>
      <c r="H171">
        <v>0.63</v>
      </c>
      <c r="I171" t="s">
        <v>1187</v>
      </c>
      <c r="J171">
        <v>362</v>
      </c>
    </row>
    <row r="172" spans="1:10">
      <c r="B172" s="324" t="s">
        <v>1152</v>
      </c>
      <c r="C172">
        <v>205366</v>
      </c>
      <c r="D172">
        <v>35.53</v>
      </c>
      <c r="E172">
        <v>88.3</v>
      </c>
      <c r="F172">
        <v>31.37</v>
      </c>
      <c r="G172">
        <v>41.5</v>
      </c>
      <c r="H172">
        <v>5.63</v>
      </c>
      <c r="I172">
        <v>17.690000000000001</v>
      </c>
      <c r="J172">
        <v>7297</v>
      </c>
    </row>
    <row r="173" spans="1:10">
      <c r="B173" s="324" t="s">
        <v>1153</v>
      </c>
      <c r="C173">
        <v>175022</v>
      </c>
      <c r="D173">
        <v>4.4800000000000004</v>
      </c>
      <c r="E173">
        <v>75.2</v>
      </c>
      <c r="F173">
        <v>3.37</v>
      </c>
      <c r="G173">
        <v>4.5</v>
      </c>
      <c r="H173">
        <v>0.65</v>
      </c>
      <c r="I173">
        <v>6.61</v>
      </c>
      <c r="J173">
        <v>783</v>
      </c>
    </row>
    <row r="174" spans="1:10">
      <c r="B174" s="324" t="s">
        <v>229</v>
      </c>
      <c r="C174">
        <v>80125</v>
      </c>
      <c r="D174">
        <v>4.2</v>
      </c>
      <c r="E174">
        <v>34.4</v>
      </c>
      <c r="F174">
        <v>1.45</v>
      </c>
      <c r="G174">
        <v>1.9</v>
      </c>
      <c r="H174">
        <v>0.23</v>
      </c>
      <c r="I174">
        <v>1.29</v>
      </c>
      <c r="J174">
        <v>336</v>
      </c>
    </row>
    <row r="175" spans="1:10">
      <c r="B175" s="324" t="s">
        <v>1158</v>
      </c>
      <c r="C175">
        <v>53046</v>
      </c>
      <c r="D175">
        <v>22.31</v>
      </c>
      <c r="E175">
        <v>22.8</v>
      </c>
      <c r="F175">
        <v>5.09</v>
      </c>
      <c r="G175">
        <v>6.7</v>
      </c>
      <c r="H175">
        <v>0.83</v>
      </c>
      <c r="I175">
        <v>2.7</v>
      </c>
      <c r="J175">
        <v>1183</v>
      </c>
    </row>
    <row r="176" spans="1:10">
      <c r="B176" s="324" t="s">
        <v>1161</v>
      </c>
      <c r="C176">
        <v>232606</v>
      </c>
      <c r="D176" t="s">
        <v>1162</v>
      </c>
      <c r="E176" t="s">
        <v>1162</v>
      </c>
      <c r="F176">
        <v>75.53</v>
      </c>
      <c r="G176">
        <v>100</v>
      </c>
      <c r="H176">
        <v>16.68</v>
      </c>
      <c r="I176" t="s">
        <v>1162</v>
      </c>
      <c r="J176">
        <v>17569</v>
      </c>
    </row>
  </sheetData>
  <mergeCells count="1">
    <mergeCell ref="B137:J137"/>
  </mergeCells>
  <pageMargins left="0.7" right="0.7" top="0.75" bottom="0.75" header="0.3" footer="0.3"/>
  <pageSetup orientation="portrai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1">
    <tabColor theme="0" tint="-0.249977111117893"/>
  </sheetPr>
  <dimension ref="B2:AJ157"/>
  <sheetViews>
    <sheetView workbookViewId="0">
      <selection activeCell="C121" sqref="C121"/>
    </sheetView>
  </sheetViews>
  <sheetFormatPr defaultColWidth="8.81640625" defaultRowHeight="14.5"/>
  <cols>
    <col min="1" max="1" width="8.81640625" style="576"/>
    <col min="2" max="2" width="40.26953125" style="576" customWidth="1"/>
    <col min="3" max="3" width="12" style="576" customWidth="1"/>
    <col min="4" max="5" width="8.81640625" style="576"/>
    <col min="6" max="6" width="12.453125" style="576" customWidth="1"/>
    <col min="7" max="7" width="18.81640625" style="576" customWidth="1"/>
    <col min="8" max="8" width="10.453125" style="576" customWidth="1"/>
    <col min="9" max="9" width="13.453125" style="576" customWidth="1"/>
    <col min="10" max="10" width="11.81640625" style="576" customWidth="1"/>
    <col min="11" max="11" width="18.7265625" style="576" customWidth="1"/>
    <col min="12" max="12" width="10.26953125" style="576" customWidth="1"/>
    <col min="13" max="16384" width="8.81640625" style="576"/>
  </cols>
  <sheetData>
    <row r="2" spans="2:15">
      <c r="B2" s="576" t="s">
        <v>1198</v>
      </c>
    </row>
    <row r="3" spans="2:15" ht="25.5" customHeight="1">
      <c r="B3" s="818"/>
      <c r="C3" s="612" t="s">
        <v>169</v>
      </c>
      <c r="D3" s="612" t="s">
        <v>172</v>
      </c>
      <c r="E3" s="612" t="s">
        <v>175</v>
      </c>
      <c r="F3" s="612" t="s">
        <v>174</v>
      </c>
      <c r="G3" s="612" t="s">
        <v>178</v>
      </c>
      <c r="H3" s="612" t="s">
        <v>179</v>
      </c>
      <c r="I3" s="612" t="s">
        <v>176</v>
      </c>
      <c r="J3" s="612" t="s">
        <v>177</v>
      </c>
      <c r="K3" s="612" t="s">
        <v>180</v>
      </c>
      <c r="L3" s="612" t="s">
        <v>181</v>
      </c>
      <c r="M3" s="613" t="s">
        <v>171</v>
      </c>
      <c r="N3" s="821" t="s">
        <v>253</v>
      </c>
      <c r="O3" s="614"/>
    </row>
    <row r="4" spans="2:15" ht="15" customHeight="1">
      <c r="B4" s="822"/>
      <c r="C4" s="615">
        <f t="shared" ref="C4:M4" si="0">VLOOKUP(C3, stat_factors, 5, FALSE)</f>
        <v>0</v>
      </c>
      <c r="D4" s="615">
        <f t="shared" si="0"/>
        <v>0.1380952380952381</v>
      </c>
      <c r="E4" s="615">
        <f t="shared" si="0"/>
        <v>0</v>
      </c>
      <c r="F4" s="615">
        <f t="shared" si="0"/>
        <v>9.1999999999999998E-2</v>
      </c>
      <c r="G4" s="615">
        <f t="shared" si="0"/>
        <v>9.0999999999999998E-2</v>
      </c>
      <c r="H4" s="615">
        <f t="shared" si="0"/>
        <v>0.10299999999999999</v>
      </c>
      <c r="I4" s="615">
        <f t="shared" si="0"/>
        <v>0.14000000000000001</v>
      </c>
      <c r="J4" s="615">
        <f t="shared" si="0"/>
        <v>0.15</v>
      </c>
      <c r="K4" s="615">
        <f t="shared" si="0"/>
        <v>0.13500000000000001</v>
      </c>
      <c r="L4" s="615" t="e">
        <f t="shared" si="0"/>
        <v>#N/A</v>
      </c>
      <c r="M4" s="616">
        <f t="shared" si="0"/>
        <v>0.65500000000000003</v>
      </c>
      <c r="N4" s="822"/>
    </row>
    <row r="5" spans="2:15">
      <c r="B5" s="617" t="str">
        <f>'Background Controls'!O5</f>
        <v>Residential: Single Family Units</v>
      </c>
      <c r="C5" s="576">
        <f t="shared" ref="C5:M20" si="1">SUMIFS(stat_data_consump, stat_data_bldgtype, $B5, stat_data_FuelType, C$3)*C$4</f>
        <v>0</v>
      </c>
      <c r="D5" s="576">
        <f t="shared" si="1"/>
        <v>0</v>
      </c>
      <c r="E5" s="576">
        <f t="shared" si="1"/>
        <v>0</v>
      </c>
      <c r="F5" s="576">
        <f t="shared" si="1"/>
        <v>0</v>
      </c>
      <c r="G5" s="576">
        <f t="shared" si="1"/>
        <v>0</v>
      </c>
      <c r="H5" s="576">
        <f t="shared" si="1"/>
        <v>0</v>
      </c>
      <c r="I5" s="576">
        <f t="shared" si="1"/>
        <v>0</v>
      </c>
      <c r="J5" s="576">
        <f t="shared" si="1"/>
        <v>0</v>
      </c>
      <c r="K5" s="576">
        <f t="shared" si="1"/>
        <v>0</v>
      </c>
      <c r="L5" s="576" t="e">
        <f t="shared" si="1"/>
        <v>#N/A</v>
      </c>
      <c r="M5" s="606">
        <f t="shared" si="1"/>
        <v>0</v>
      </c>
      <c r="N5" s="599" t="e">
        <f>SUM(C5:M5)</f>
        <v>#N/A</v>
      </c>
    </row>
    <row r="6" spans="2:15">
      <c r="B6" s="618" t="str">
        <f>'Background Controls'!O6</f>
        <v>Residential: Apartment Buildings</v>
      </c>
      <c r="C6" s="576">
        <f t="shared" si="1"/>
        <v>0</v>
      </c>
      <c r="D6" s="576">
        <f t="shared" si="1"/>
        <v>0</v>
      </c>
      <c r="E6" s="576">
        <f t="shared" si="1"/>
        <v>0</v>
      </c>
      <c r="F6" s="576">
        <f t="shared" si="1"/>
        <v>0</v>
      </c>
      <c r="G6" s="576">
        <f t="shared" si="1"/>
        <v>0</v>
      </c>
      <c r="H6" s="576">
        <f t="shared" si="1"/>
        <v>0</v>
      </c>
      <c r="I6" s="576">
        <f t="shared" si="1"/>
        <v>0</v>
      </c>
      <c r="J6" s="576">
        <f t="shared" si="1"/>
        <v>0</v>
      </c>
      <c r="K6" s="576">
        <f t="shared" si="1"/>
        <v>0</v>
      </c>
      <c r="L6" s="576" t="e">
        <f t="shared" si="1"/>
        <v>#N/A</v>
      </c>
      <c r="M6" s="606">
        <f t="shared" si="1"/>
        <v>0</v>
      </c>
      <c r="N6" s="599" t="e">
        <f>SUM(C6:M6)</f>
        <v>#N/A</v>
      </c>
    </row>
    <row r="7" spans="2:15">
      <c r="B7" s="618" t="str">
        <f>'Background Controls'!O7</f>
        <v>Residential: Mobile Homes</v>
      </c>
      <c r="C7" s="576">
        <f t="shared" si="1"/>
        <v>0</v>
      </c>
      <c r="D7" s="576">
        <f t="shared" si="1"/>
        <v>0</v>
      </c>
      <c r="E7" s="576">
        <f t="shared" si="1"/>
        <v>0</v>
      </c>
      <c r="F7" s="576">
        <f t="shared" si="1"/>
        <v>0</v>
      </c>
      <c r="G7" s="576">
        <f t="shared" si="1"/>
        <v>0</v>
      </c>
      <c r="H7" s="576">
        <f t="shared" si="1"/>
        <v>0</v>
      </c>
      <c r="I7" s="576">
        <f t="shared" si="1"/>
        <v>0</v>
      </c>
      <c r="J7" s="576">
        <f t="shared" si="1"/>
        <v>0</v>
      </c>
      <c r="K7" s="576">
        <f t="shared" si="1"/>
        <v>0</v>
      </c>
      <c r="L7" s="576" t="e">
        <f t="shared" si="1"/>
        <v>#N/A</v>
      </c>
      <c r="M7" s="606">
        <f t="shared" si="1"/>
        <v>0</v>
      </c>
      <c r="N7" s="599" t="e">
        <f>SUM(C7:M7)</f>
        <v>#N/A</v>
      </c>
    </row>
    <row r="8" spans="2:15">
      <c r="B8" s="618" t="str">
        <f>'Background Controls'!O8</f>
        <v>Commercial/Institutional: Education</v>
      </c>
      <c r="C8" s="576">
        <f t="shared" si="1"/>
        <v>0</v>
      </c>
      <c r="D8" s="576">
        <f t="shared" si="1"/>
        <v>0</v>
      </c>
      <c r="E8" s="576">
        <f t="shared" si="1"/>
        <v>0</v>
      </c>
      <c r="F8" s="576">
        <f t="shared" si="1"/>
        <v>0</v>
      </c>
      <c r="G8" s="576">
        <f t="shared" si="1"/>
        <v>0</v>
      </c>
      <c r="H8" s="576">
        <f t="shared" si="1"/>
        <v>0</v>
      </c>
      <c r="I8" s="576">
        <f t="shared" si="1"/>
        <v>0</v>
      </c>
      <c r="J8" s="576">
        <f t="shared" si="1"/>
        <v>0</v>
      </c>
      <c r="K8" s="576">
        <f t="shared" si="1"/>
        <v>0</v>
      </c>
      <c r="L8" s="576" t="e">
        <f t="shared" si="1"/>
        <v>#N/A</v>
      </c>
      <c r="M8" s="606">
        <f t="shared" si="1"/>
        <v>0</v>
      </c>
      <c r="N8" s="599" t="e">
        <f>SUM(C8:M8)</f>
        <v>#N/A</v>
      </c>
    </row>
    <row r="9" spans="2:15" ht="4.5" customHeight="1">
      <c r="B9" s="618" t="str">
        <f>'Background Controls'!O9</f>
        <v>Commercial/Institutional: Food Sales</v>
      </c>
      <c r="C9" s="576">
        <f t="shared" si="1"/>
        <v>0</v>
      </c>
      <c r="D9" s="576">
        <f t="shared" si="1"/>
        <v>0</v>
      </c>
      <c r="E9" s="576">
        <f t="shared" si="1"/>
        <v>0</v>
      </c>
      <c r="F9" s="576">
        <f t="shared" si="1"/>
        <v>0</v>
      </c>
      <c r="G9" s="576">
        <f t="shared" si="1"/>
        <v>0</v>
      </c>
      <c r="H9" s="576">
        <f t="shared" si="1"/>
        <v>0</v>
      </c>
      <c r="I9" s="576">
        <f t="shared" si="1"/>
        <v>0</v>
      </c>
      <c r="J9" s="576">
        <f t="shared" si="1"/>
        <v>0</v>
      </c>
      <c r="K9" s="576">
        <f t="shared" si="1"/>
        <v>0</v>
      </c>
      <c r="L9" s="576" t="e">
        <f t="shared" si="1"/>
        <v>#N/A</v>
      </c>
      <c r="M9" s="606">
        <f t="shared" si="1"/>
        <v>0</v>
      </c>
      <c r="N9" s="599" t="e">
        <f t="shared" ref="N9:N72" si="2">SUM(C9:M9)</f>
        <v>#N/A</v>
      </c>
    </row>
    <row r="10" spans="2:15" hidden="1">
      <c r="B10" s="618" t="str">
        <f>'Background Controls'!O10</f>
        <v>Commercial/Institutional: Food Service</v>
      </c>
      <c r="C10" s="576">
        <f t="shared" si="1"/>
        <v>0</v>
      </c>
      <c r="D10" s="576">
        <f t="shared" si="1"/>
        <v>0</v>
      </c>
      <c r="E10" s="576">
        <f t="shared" si="1"/>
        <v>0</v>
      </c>
      <c r="F10" s="576">
        <f t="shared" si="1"/>
        <v>0</v>
      </c>
      <c r="G10" s="576">
        <f t="shared" si="1"/>
        <v>0</v>
      </c>
      <c r="H10" s="576">
        <f t="shared" si="1"/>
        <v>0</v>
      </c>
      <c r="I10" s="576">
        <f t="shared" si="1"/>
        <v>0</v>
      </c>
      <c r="J10" s="576">
        <f t="shared" si="1"/>
        <v>0</v>
      </c>
      <c r="K10" s="576">
        <f t="shared" si="1"/>
        <v>0</v>
      </c>
      <c r="L10" s="576" t="e">
        <f t="shared" si="1"/>
        <v>#N/A</v>
      </c>
      <c r="M10" s="606">
        <f t="shared" si="1"/>
        <v>0</v>
      </c>
      <c r="N10" s="599" t="e">
        <f t="shared" si="2"/>
        <v>#N/A</v>
      </c>
    </row>
    <row r="11" spans="2:15" hidden="1">
      <c r="B11" s="618" t="str">
        <f>'Background Controls'!O11</f>
        <v>Commercial/Institutional: Health Care</v>
      </c>
      <c r="C11" s="576">
        <f t="shared" si="1"/>
        <v>0</v>
      </c>
      <c r="D11" s="576">
        <f t="shared" si="1"/>
        <v>0</v>
      </c>
      <c r="E11" s="576">
        <f t="shared" si="1"/>
        <v>0</v>
      </c>
      <c r="F11" s="576">
        <f t="shared" si="1"/>
        <v>0</v>
      </c>
      <c r="G11" s="576">
        <f t="shared" si="1"/>
        <v>0</v>
      </c>
      <c r="H11" s="576">
        <f t="shared" si="1"/>
        <v>0</v>
      </c>
      <c r="I11" s="576">
        <f t="shared" si="1"/>
        <v>0</v>
      </c>
      <c r="J11" s="576">
        <f t="shared" si="1"/>
        <v>0</v>
      </c>
      <c r="K11" s="576">
        <f t="shared" si="1"/>
        <v>0</v>
      </c>
      <c r="L11" s="576" t="e">
        <f t="shared" si="1"/>
        <v>#N/A</v>
      </c>
      <c r="M11" s="606">
        <f t="shared" si="1"/>
        <v>0</v>
      </c>
      <c r="N11" s="599" t="e">
        <f t="shared" si="2"/>
        <v>#N/A</v>
      </c>
    </row>
    <row r="12" spans="2:15" hidden="1">
      <c r="B12" s="619" t="str">
        <f>'Background Controls'!O12</f>
        <v>Commercial/Institutional: Lodging</v>
      </c>
      <c r="C12" s="608">
        <f t="shared" si="1"/>
        <v>0</v>
      </c>
      <c r="D12" s="576">
        <f t="shared" si="1"/>
        <v>0</v>
      </c>
      <c r="E12" s="576">
        <f t="shared" si="1"/>
        <v>0</v>
      </c>
      <c r="F12" s="576">
        <f t="shared" si="1"/>
        <v>0</v>
      </c>
      <c r="G12" s="576">
        <f t="shared" si="1"/>
        <v>0</v>
      </c>
      <c r="H12" s="576">
        <f t="shared" si="1"/>
        <v>0</v>
      </c>
      <c r="I12" s="576">
        <f t="shared" si="1"/>
        <v>0</v>
      </c>
      <c r="J12" s="576">
        <f t="shared" si="1"/>
        <v>0</v>
      </c>
      <c r="K12" s="576">
        <f t="shared" si="1"/>
        <v>0</v>
      </c>
      <c r="L12" s="576" t="e">
        <f t="shared" si="1"/>
        <v>#N/A</v>
      </c>
      <c r="M12" s="606">
        <f t="shared" si="1"/>
        <v>0</v>
      </c>
      <c r="N12" s="599" t="e">
        <f t="shared" si="2"/>
        <v>#N/A</v>
      </c>
    </row>
    <row r="13" spans="2:15" hidden="1">
      <c r="B13" s="619" t="str">
        <f>'Background Controls'!O13</f>
        <v>Commercial/Institutional: Mercantile</v>
      </c>
      <c r="D13" s="576">
        <f t="shared" si="1"/>
        <v>0</v>
      </c>
      <c r="E13" s="576">
        <f t="shared" si="1"/>
        <v>0</v>
      </c>
      <c r="F13" s="576">
        <f t="shared" si="1"/>
        <v>0</v>
      </c>
      <c r="G13" s="576">
        <f t="shared" si="1"/>
        <v>0</v>
      </c>
      <c r="H13" s="576">
        <f t="shared" si="1"/>
        <v>0</v>
      </c>
      <c r="I13" s="576">
        <f t="shared" si="1"/>
        <v>0</v>
      </c>
      <c r="J13" s="576">
        <f t="shared" si="1"/>
        <v>0</v>
      </c>
      <c r="K13" s="576">
        <f t="shared" si="1"/>
        <v>0</v>
      </c>
      <c r="L13" s="576" t="e">
        <f t="shared" si="1"/>
        <v>#N/A</v>
      </c>
      <c r="M13" s="606">
        <f t="shared" si="1"/>
        <v>0</v>
      </c>
      <c r="N13" s="599" t="e">
        <f t="shared" si="2"/>
        <v>#N/A</v>
      </c>
    </row>
    <row r="14" spans="2:15" hidden="1">
      <c r="B14" s="619" t="str">
        <f>'Background Controls'!O14</f>
        <v>Commercial/Institutional: Office</v>
      </c>
      <c r="D14" s="576">
        <f t="shared" si="1"/>
        <v>0</v>
      </c>
      <c r="E14" s="576">
        <f t="shared" si="1"/>
        <v>0</v>
      </c>
      <c r="F14" s="576">
        <f t="shared" si="1"/>
        <v>0</v>
      </c>
      <c r="G14" s="576">
        <f t="shared" si="1"/>
        <v>0</v>
      </c>
      <c r="H14" s="576">
        <f t="shared" si="1"/>
        <v>0</v>
      </c>
      <c r="I14" s="576">
        <f t="shared" si="1"/>
        <v>0</v>
      </c>
      <c r="J14" s="576">
        <f t="shared" si="1"/>
        <v>0</v>
      </c>
      <c r="K14" s="576">
        <f t="shared" si="1"/>
        <v>0</v>
      </c>
      <c r="L14" s="576" t="e">
        <f t="shared" si="1"/>
        <v>#N/A</v>
      </c>
      <c r="M14" s="606">
        <f t="shared" si="1"/>
        <v>0</v>
      </c>
      <c r="N14" s="599" t="e">
        <f t="shared" si="2"/>
        <v>#N/A</v>
      </c>
    </row>
    <row r="15" spans="2:15" hidden="1">
      <c r="B15" s="619" t="str">
        <f>'Background Controls'!O15</f>
        <v>Commercial/Institutional: Public Assembly</v>
      </c>
      <c r="D15" s="576">
        <f t="shared" si="1"/>
        <v>0</v>
      </c>
      <c r="E15" s="576">
        <f t="shared" si="1"/>
        <v>0</v>
      </c>
      <c r="F15" s="576">
        <f t="shared" si="1"/>
        <v>0</v>
      </c>
      <c r="G15" s="576">
        <f t="shared" si="1"/>
        <v>0</v>
      </c>
      <c r="H15" s="576">
        <f t="shared" si="1"/>
        <v>0</v>
      </c>
      <c r="I15" s="576">
        <f t="shared" si="1"/>
        <v>0</v>
      </c>
      <c r="J15" s="576">
        <f t="shared" si="1"/>
        <v>0</v>
      </c>
      <c r="K15" s="576">
        <f t="shared" si="1"/>
        <v>0</v>
      </c>
      <c r="L15" s="576" t="e">
        <f t="shared" si="1"/>
        <v>#N/A</v>
      </c>
      <c r="M15" s="606">
        <f t="shared" si="1"/>
        <v>0</v>
      </c>
      <c r="N15" s="599" t="e">
        <f t="shared" si="2"/>
        <v>#N/A</v>
      </c>
    </row>
    <row r="16" spans="2:15" hidden="1">
      <c r="B16" s="619" t="str">
        <f>'Background Controls'!O16</f>
        <v>Commercial/Institutional: Public Order and Safety</v>
      </c>
      <c r="D16" s="576">
        <f t="shared" si="1"/>
        <v>0</v>
      </c>
      <c r="E16" s="576">
        <f t="shared" si="1"/>
        <v>0</v>
      </c>
      <c r="F16" s="576">
        <f t="shared" si="1"/>
        <v>0</v>
      </c>
      <c r="G16" s="576">
        <f t="shared" si="1"/>
        <v>0</v>
      </c>
      <c r="H16" s="576">
        <f t="shared" si="1"/>
        <v>0</v>
      </c>
      <c r="I16" s="576">
        <f t="shared" si="1"/>
        <v>0</v>
      </c>
      <c r="J16" s="576">
        <f t="shared" si="1"/>
        <v>0</v>
      </c>
      <c r="K16" s="576">
        <f t="shared" si="1"/>
        <v>0</v>
      </c>
      <c r="L16" s="576" t="e">
        <f t="shared" si="1"/>
        <v>#N/A</v>
      </c>
      <c r="M16" s="606">
        <f t="shared" si="1"/>
        <v>0</v>
      </c>
      <c r="N16" s="599" t="e">
        <f t="shared" si="2"/>
        <v>#N/A</v>
      </c>
    </row>
    <row r="17" spans="2:14" hidden="1">
      <c r="B17" s="619" t="str">
        <f>'Background Controls'!O17</f>
        <v>Commercial/Institutional: Religious Worship</v>
      </c>
      <c r="D17" s="576">
        <f t="shared" si="1"/>
        <v>0</v>
      </c>
      <c r="E17" s="576">
        <f t="shared" si="1"/>
        <v>0</v>
      </c>
      <c r="F17" s="576">
        <f t="shared" si="1"/>
        <v>0</v>
      </c>
      <c r="G17" s="576">
        <f t="shared" si="1"/>
        <v>0</v>
      </c>
      <c r="H17" s="576">
        <f t="shared" si="1"/>
        <v>0</v>
      </c>
      <c r="I17" s="576">
        <f t="shared" si="1"/>
        <v>0</v>
      </c>
      <c r="J17" s="576">
        <f t="shared" si="1"/>
        <v>0</v>
      </c>
      <c r="K17" s="576">
        <f t="shared" si="1"/>
        <v>0</v>
      </c>
      <c r="L17" s="576" t="e">
        <f t="shared" si="1"/>
        <v>#N/A</v>
      </c>
      <c r="M17" s="606">
        <f t="shared" si="1"/>
        <v>0</v>
      </c>
      <c r="N17" s="599" t="e">
        <f t="shared" si="2"/>
        <v>#N/A</v>
      </c>
    </row>
    <row r="18" spans="2:14" hidden="1">
      <c r="B18" s="619" t="str">
        <f>'Background Controls'!O18</f>
        <v>Commercial/Institutional: Service</v>
      </c>
      <c r="D18" s="576">
        <f t="shared" si="1"/>
        <v>0</v>
      </c>
      <c r="E18" s="576">
        <f t="shared" si="1"/>
        <v>0</v>
      </c>
      <c r="F18" s="576">
        <f t="shared" si="1"/>
        <v>0</v>
      </c>
      <c r="G18" s="576">
        <f t="shared" si="1"/>
        <v>0</v>
      </c>
      <c r="H18" s="576">
        <f t="shared" si="1"/>
        <v>0</v>
      </c>
      <c r="I18" s="576">
        <f t="shared" si="1"/>
        <v>0</v>
      </c>
      <c r="J18" s="576">
        <f t="shared" si="1"/>
        <v>0</v>
      </c>
      <c r="K18" s="576">
        <f t="shared" si="1"/>
        <v>0</v>
      </c>
      <c r="L18" s="576" t="e">
        <f t="shared" si="1"/>
        <v>#N/A</v>
      </c>
      <c r="M18" s="606">
        <f t="shared" si="1"/>
        <v>0</v>
      </c>
      <c r="N18" s="599" t="e">
        <f t="shared" si="2"/>
        <v>#N/A</v>
      </c>
    </row>
    <row r="19" spans="2:14" hidden="1">
      <c r="B19" s="619" t="str">
        <f>'Background Controls'!O19</f>
        <v>Commercial/Institutional: Warehouse and Storage</v>
      </c>
      <c r="D19" s="576">
        <f t="shared" si="1"/>
        <v>0</v>
      </c>
      <c r="E19" s="576">
        <f t="shared" si="1"/>
        <v>0</v>
      </c>
      <c r="F19" s="576">
        <f t="shared" si="1"/>
        <v>0</v>
      </c>
      <c r="G19" s="576">
        <f t="shared" si="1"/>
        <v>0</v>
      </c>
      <c r="H19" s="576">
        <f t="shared" si="1"/>
        <v>0</v>
      </c>
      <c r="I19" s="576">
        <f t="shared" si="1"/>
        <v>0</v>
      </c>
      <c r="J19" s="576">
        <f t="shared" si="1"/>
        <v>0</v>
      </c>
      <c r="K19" s="576">
        <f t="shared" si="1"/>
        <v>0</v>
      </c>
      <c r="L19" s="576" t="e">
        <f t="shared" si="1"/>
        <v>#N/A</v>
      </c>
      <c r="M19" s="606">
        <f t="shared" si="1"/>
        <v>0</v>
      </c>
      <c r="N19" s="599" t="e">
        <f t="shared" si="2"/>
        <v>#N/A</v>
      </c>
    </row>
    <row r="20" spans="2:14" hidden="1">
      <c r="B20" s="619" t="str">
        <f>'Background Controls'!O20</f>
        <v>Commercial/Institutional: Other</v>
      </c>
      <c r="D20" s="576">
        <f t="shared" si="1"/>
        <v>0</v>
      </c>
      <c r="E20" s="576">
        <f t="shared" si="1"/>
        <v>0</v>
      </c>
      <c r="F20" s="576">
        <f t="shared" si="1"/>
        <v>0</v>
      </c>
      <c r="G20" s="576">
        <f t="shared" si="1"/>
        <v>0</v>
      </c>
      <c r="H20" s="576">
        <f t="shared" si="1"/>
        <v>0</v>
      </c>
      <c r="I20" s="576">
        <f t="shared" si="1"/>
        <v>0</v>
      </c>
      <c r="J20" s="576">
        <f t="shared" si="1"/>
        <v>0</v>
      </c>
      <c r="K20" s="576">
        <f t="shared" si="1"/>
        <v>0</v>
      </c>
      <c r="L20" s="576" t="e">
        <f t="shared" si="1"/>
        <v>#N/A</v>
      </c>
      <c r="M20" s="606">
        <f t="shared" si="1"/>
        <v>0</v>
      </c>
      <c r="N20" s="599" t="e">
        <f t="shared" si="2"/>
        <v>#N/A</v>
      </c>
    </row>
    <row r="21" spans="2:14" hidden="1">
      <c r="B21" s="619" t="str">
        <f>'Background Controls'!O21</f>
        <v>Commercial/Institutional: Vacant</v>
      </c>
      <c r="D21" s="576">
        <f t="shared" ref="D21:M46" si="3">SUMIFS(stat_data_consump, stat_data_bldgtype, $B21, stat_data_FuelType, D$3)*D$4</f>
        <v>0</v>
      </c>
      <c r="E21" s="576">
        <f t="shared" si="3"/>
        <v>0</v>
      </c>
      <c r="F21" s="576">
        <f t="shared" si="3"/>
        <v>0</v>
      </c>
      <c r="G21" s="576">
        <f t="shared" si="3"/>
        <v>0</v>
      </c>
      <c r="H21" s="576">
        <f t="shared" si="3"/>
        <v>0</v>
      </c>
      <c r="I21" s="576">
        <f t="shared" si="3"/>
        <v>0</v>
      </c>
      <c r="J21" s="576">
        <f t="shared" si="3"/>
        <v>0</v>
      </c>
      <c r="K21" s="576">
        <f t="shared" si="3"/>
        <v>0</v>
      </c>
      <c r="L21" s="576" t="e">
        <f t="shared" si="3"/>
        <v>#N/A</v>
      </c>
      <c r="M21" s="606">
        <f t="shared" si="3"/>
        <v>0</v>
      </c>
      <c r="N21" s="599" t="e">
        <f t="shared" si="2"/>
        <v>#N/A</v>
      </c>
    </row>
    <row r="22" spans="2:14" hidden="1">
      <c r="B22" s="619" t="str">
        <f>'Background Controls'!O22</f>
        <v>Industrial: Food</v>
      </c>
      <c r="D22" s="576">
        <f t="shared" si="3"/>
        <v>0</v>
      </c>
      <c r="E22" s="576">
        <f t="shared" si="3"/>
        <v>0</v>
      </c>
      <c r="F22" s="576">
        <f t="shared" si="3"/>
        <v>0</v>
      </c>
      <c r="G22" s="576">
        <f t="shared" si="3"/>
        <v>0</v>
      </c>
      <c r="H22" s="576">
        <f t="shared" si="3"/>
        <v>0</v>
      </c>
      <c r="I22" s="576">
        <f t="shared" si="3"/>
        <v>0</v>
      </c>
      <c r="J22" s="576">
        <f t="shared" si="3"/>
        <v>0</v>
      </c>
      <c r="K22" s="576">
        <f t="shared" si="3"/>
        <v>0</v>
      </c>
      <c r="L22" s="576" t="e">
        <f t="shared" si="3"/>
        <v>#N/A</v>
      </c>
      <c r="M22" s="606">
        <f t="shared" si="3"/>
        <v>0</v>
      </c>
      <c r="N22" s="599" t="e">
        <f t="shared" si="2"/>
        <v>#N/A</v>
      </c>
    </row>
    <row r="23" spans="2:14" hidden="1">
      <c r="B23" s="619" t="str">
        <f>'Background Controls'!O23</f>
        <v>Industrial: Beverage and Tobacco Products</v>
      </c>
      <c r="D23" s="576">
        <f t="shared" si="3"/>
        <v>0</v>
      </c>
      <c r="E23" s="576">
        <f t="shared" si="3"/>
        <v>0</v>
      </c>
      <c r="F23" s="576">
        <f t="shared" si="3"/>
        <v>0</v>
      </c>
      <c r="G23" s="576">
        <f t="shared" si="3"/>
        <v>0</v>
      </c>
      <c r="H23" s="576">
        <f t="shared" si="3"/>
        <v>0</v>
      </c>
      <c r="I23" s="576">
        <f t="shared" si="3"/>
        <v>0</v>
      </c>
      <c r="J23" s="576">
        <f t="shared" si="3"/>
        <v>0</v>
      </c>
      <c r="K23" s="576">
        <f t="shared" si="3"/>
        <v>0</v>
      </c>
      <c r="L23" s="576" t="e">
        <f t="shared" si="3"/>
        <v>#N/A</v>
      </c>
      <c r="M23" s="606">
        <f t="shared" si="3"/>
        <v>0</v>
      </c>
      <c r="N23" s="599" t="e">
        <f t="shared" si="2"/>
        <v>#N/A</v>
      </c>
    </row>
    <row r="24" spans="2:14" hidden="1">
      <c r="B24" s="619" t="str">
        <f>'Background Controls'!O24</f>
        <v>Industrial: Textile Mills</v>
      </c>
      <c r="D24" s="576">
        <f t="shared" si="3"/>
        <v>0</v>
      </c>
      <c r="E24" s="576">
        <f t="shared" si="3"/>
        <v>0</v>
      </c>
      <c r="F24" s="576">
        <f t="shared" si="3"/>
        <v>0</v>
      </c>
      <c r="G24" s="576">
        <f t="shared" si="3"/>
        <v>0</v>
      </c>
      <c r="H24" s="576">
        <f t="shared" si="3"/>
        <v>0</v>
      </c>
      <c r="I24" s="576">
        <f t="shared" si="3"/>
        <v>0</v>
      </c>
      <c r="J24" s="576">
        <f t="shared" si="3"/>
        <v>0</v>
      </c>
      <c r="K24" s="576">
        <f t="shared" si="3"/>
        <v>0</v>
      </c>
      <c r="L24" s="576" t="e">
        <f t="shared" si="3"/>
        <v>#N/A</v>
      </c>
      <c r="M24" s="606">
        <f t="shared" si="3"/>
        <v>0</v>
      </c>
      <c r="N24" s="599" t="e">
        <f t="shared" si="2"/>
        <v>#N/A</v>
      </c>
    </row>
    <row r="25" spans="2:14" hidden="1">
      <c r="B25" s="619" t="str">
        <f>'Background Controls'!O25</f>
        <v>Industrial: Textile Product Mills</v>
      </c>
      <c r="D25" s="576">
        <f t="shared" si="3"/>
        <v>0</v>
      </c>
      <c r="E25" s="576">
        <f t="shared" si="3"/>
        <v>0</v>
      </c>
      <c r="F25" s="576">
        <f t="shared" si="3"/>
        <v>0</v>
      </c>
      <c r="G25" s="576">
        <f t="shared" si="3"/>
        <v>0</v>
      </c>
      <c r="H25" s="576">
        <f t="shared" si="3"/>
        <v>0</v>
      </c>
      <c r="I25" s="576">
        <f t="shared" si="3"/>
        <v>0</v>
      </c>
      <c r="J25" s="576">
        <f t="shared" si="3"/>
        <v>0</v>
      </c>
      <c r="K25" s="576">
        <f t="shared" si="3"/>
        <v>0</v>
      </c>
      <c r="L25" s="576" t="e">
        <f t="shared" si="3"/>
        <v>#N/A</v>
      </c>
      <c r="M25" s="606">
        <f t="shared" si="3"/>
        <v>0</v>
      </c>
      <c r="N25" s="599" t="e">
        <f t="shared" si="2"/>
        <v>#N/A</v>
      </c>
    </row>
    <row r="26" spans="2:14" hidden="1">
      <c r="B26" s="619" t="str">
        <f>'Background Controls'!O26</f>
        <v>Industrial: Apparel</v>
      </c>
      <c r="D26" s="576">
        <f t="shared" si="3"/>
        <v>0</v>
      </c>
      <c r="E26" s="576">
        <f t="shared" si="3"/>
        <v>0</v>
      </c>
      <c r="F26" s="576">
        <f t="shared" si="3"/>
        <v>0</v>
      </c>
      <c r="G26" s="576">
        <f t="shared" si="3"/>
        <v>0</v>
      </c>
      <c r="H26" s="576">
        <f t="shared" si="3"/>
        <v>0</v>
      </c>
      <c r="I26" s="576">
        <f t="shared" si="3"/>
        <v>0</v>
      </c>
      <c r="J26" s="576">
        <f t="shared" si="3"/>
        <v>0</v>
      </c>
      <c r="K26" s="576">
        <f t="shared" si="3"/>
        <v>0</v>
      </c>
      <c r="L26" s="576" t="e">
        <f t="shared" si="3"/>
        <v>#N/A</v>
      </c>
      <c r="M26" s="606">
        <f t="shared" si="3"/>
        <v>0</v>
      </c>
      <c r="N26" s="599" t="e">
        <f t="shared" si="2"/>
        <v>#N/A</v>
      </c>
    </row>
    <row r="27" spans="2:14" hidden="1">
      <c r="B27" s="619" t="str">
        <f>'Background Controls'!O27</f>
        <v>Industrial: Leather and Allied Products</v>
      </c>
      <c r="D27" s="576">
        <f t="shared" si="3"/>
        <v>0</v>
      </c>
      <c r="E27" s="576">
        <f t="shared" si="3"/>
        <v>0</v>
      </c>
      <c r="F27" s="576">
        <f t="shared" si="3"/>
        <v>0</v>
      </c>
      <c r="G27" s="576">
        <f t="shared" si="3"/>
        <v>0</v>
      </c>
      <c r="H27" s="576">
        <f t="shared" si="3"/>
        <v>0</v>
      </c>
      <c r="I27" s="576">
        <f t="shared" si="3"/>
        <v>0</v>
      </c>
      <c r="J27" s="576">
        <f t="shared" si="3"/>
        <v>0</v>
      </c>
      <c r="K27" s="576">
        <f t="shared" si="3"/>
        <v>0</v>
      </c>
      <c r="L27" s="576" t="e">
        <f t="shared" si="3"/>
        <v>#N/A</v>
      </c>
      <c r="M27" s="606">
        <f t="shared" si="3"/>
        <v>0</v>
      </c>
      <c r="N27" s="599" t="e">
        <f t="shared" si="2"/>
        <v>#N/A</v>
      </c>
    </row>
    <row r="28" spans="2:14" hidden="1">
      <c r="B28" s="619" t="str">
        <f>'Background Controls'!O28</f>
        <v>Industrial: Wood Products</v>
      </c>
      <c r="D28" s="576">
        <f t="shared" si="3"/>
        <v>0</v>
      </c>
      <c r="E28" s="576">
        <f t="shared" si="3"/>
        <v>0</v>
      </c>
      <c r="F28" s="576">
        <f t="shared" si="3"/>
        <v>0</v>
      </c>
      <c r="G28" s="576">
        <f t="shared" si="3"/>
        <v>0</v>
      </c>
      <c r="H28" s="576">
        <f t="shared" si="3"/>
        <v>0</v>
      </c>
      <c r="I28" s="576">
        <f t="shared" si="3"/>
        <v>0</v>
      </c>
      <c r="J28" s="576">
        <f t="shared" si="3"/>
        <v>0</v>
      </c>
      <c r="K28" s="576">
        <f t="shared" si="3"/>
        <v>0</v>
      </c>
      <c r="L28" s="576" t="e">
        <f t="shared" si="3"/>
        <v>#N/A</v>
      </c>
      <c r="M28" s="606">
        <f t="shared" si="3"/>
        <v>0</v>
      </c>
      <c r="N28" s="599" t="e">
        <f t="shared" si="2"/>
        <v>#N/A</v>
      </c>
    </row>
    <row r="29" spans="2:14" hidden="1">
      <c r="B29" s="619" t="str">
        <f>'Background Controls'!O29</f>
        <v>Industrial: Paper</v>
      </c>
      <c r="D29" s="576">
        <f t="shared" si="3"/>
        <v>0</v>
      </c>
      <c r="E29" s="576">
        <f t="shared" si="3"/>
        <v>0</v>
      </c>
      <c r="F29" s="576">
        <f t="shared" si="3"/>
        <v>0</v>
      </c>
      <c r="G29" s="576">
        <f t="shared" si="3"/>
        <v>0</v>
      </c>
      <c r="H29" s="576">
        <f t="shared" si="3"/>
        <v>0</v>
      </c>
      <c r="I29" s="576">
        <f t="shared" si="3"/>
        <v>0</v>
      </c>
      <c r="J29" s="576">
        <f t="shared" si="3"/>
        <v>0</v>
      </c>
      <c r="K29" s="576">
        <f t="shared" si="3"/>
        <v>0</v>
      </c>
      <c r="L29" s="576" t="e">
        <f t="shared" si="3"/>
        <v>#N/A</v>
      </c>
      <c r="M29" s="606">
        <f t="shared" si="3"/>
        <v>0</v>
      </c>
      <c r="N29" s="599" t="e">
        <f t="shared" si="2"/>
        <v>#N/A</v>
      </c>
    </row>
    <row r="30" spans="2:14" hidden="1">
      <c r="B30" s="619" t="str">
        <f>'Background Controls'!O30</f>
        <v>Industrial: Printing and Related Support</v>
      </c>
      <c r="D30" s="576">
        <f t="shared" si="3"/>
        <v>0</v>
      </c>
      <c r="E30" s="576">
        <f t="shared" si="3"/>
        <v>0</v>
      </c>
      <c r="F30" s="576">
        <f t="shared" si="3"/>
        <v>0</v>
      </c>
      <c r="G30" s="576">
        <f t="shared" si="3"/>
        <v>0</v>
      </c>
      <c r="H30" s="576">
        <f t="shared" si="3"/>
        <v>0</v>
      </c>
      <c r="I30" s="576">
        <f t="shared" si="3"/>
        <v>0</v>
      </c>
      <c r="J30" s="576">
        <f t="shared" si="3"/>
        <v>0</v>
      </c>
      <c r="K30" s="576">
        <f t="shared" si="3"/>
        <v>0</v>
      </c>
      <c r="L30" s="576" t="e">
        <f t="shared" si="3"/>
        <v>#N/A</v>
      </c>
      <c r="M30" s="606">
        <f t="shared" si="3"/>
        <v>0</v>
      </c>
      <c r="N30" s="599" t="e">
        <f t="shared" si="2"/>
        <v>#N/A</v>
      </c>
    </row>
    <row r="31" spans="2:14" hidden="1">
      <c r="B31" s="619" t="str">
        <f>'Background Controls'!O31</f>
        <v>Industrial: Petroleum and Coal Products</v>
      </c>
      <c r="D31" s="576">
        <f t="shared" si="3"/>
        <v>0</v>
      </c>
      <c r="E31" s="576">
        <f t="shared" si="3"/>
        <v>0</v>
      </c>
      <c r="F31" s="576">
        <f t="shared" si="3"/>
        <v>0</v>
      </c>
      <c r="G31" s="576">
        <f t="shared" si="3"/>
        <v>0</v>
      </c>
      <c r="H31" s="576">
        <f t="shared" si="3"/>
        <v>0</v>
      </c>
      <c r="I31" s="576">
        <f t="shared" si="3"/>
        <v>0</v>
      </c>
      <c r="J31" s="576">
        <f t="shared" si="3"/>
        <v>0</v>
      </c>
      <c r="K31" s="576">
        <f t="shared" si="3"/>
        <v>0</v>
      </c>
      <c r="L31" s="576" t="e">
        <f t="shared" si="3"/>
        <v>#N/A</v>
      </c>
      <c r="M31" s="606">
        <f t="shared" si="3"/>
        <v>0</v>
      </c>
      <c r="N31" s="599" t="e">
        <f t="shared" si="2"/>
        <v>#N/A</v>
      </c>
    </row>
    <row r="32" spans="2:14" hidden="1">
      <c r="B32" s="619" t="str">
        <f>'Background Controls'!O32</f>
        <v>Industrial: Chemicals</v>
      </c>
      <c r="D32" s="576">
        <f t="shared" si="3"/>
        <v>0</v>
      </c>
      <c r="E32" s="576">
        <f t="shared" si="3"/>
        <v>0</v>
      </c>
      <c r="F32" s="576">
        <f t="shared" si="3"/>
        <v>0</v>
      </c>
      <c r="G32" s="576">
        <f t="shared" si="3"/>
        <v>0</v>
      </c>
      <c r="H32" s="576">
        <f t="shared" si="3"/>
        <v>0</v>
      </c>
      <c r="I32" s="576">
        <f t="shared" si="3"/>
        <v>0</v>
      </c>
      <c r="J32" s="576">
        <f t="shared" si="3"/>
        <v>0</v>
      </c>
      <c r="K32" s="576">
        <f t="shared" si="3"/>
        <v>0</v>
      </c>
      <c r="L32" s="576" t="e">
        <f t="shared" si="3"/>
        <v>#N/A</v>
      </c>
      <c r="M32" s="606">
        <f t="shared" si="3"/>
        <v>0</v>
      </c>
      <c r="N32" s="599" t="e">
        <f t="shared" si="2"/>
        <v>#N/A</v>
      </c>
    </row>
    <row r="33" spans="2:14" hidden="1">
      <c r="B33" s="619" t="str">
        <f>'Background Controls'!O33</f>
        <v>Industrial: Plastics and Rubber Products</v>
      </c>
      <c r="D33" s="576">
        <f t="shared" si="3"/>
        <v>0</v>
      </c>
      <c r="E33" s="576">
        <f t="shared" si="3"/>
        <v>0</v>
      </c>
      <c r="F33" s="576">
        <f t="shared" si="3"/>
        <v>0</v>
      </c>
      <c r="G33" s="576">
        <f t="shared" si="3"/>
        <v>0</v>
      </c>
      <c r="H33" s="576">
        <f t="shared" si="3"/>
        <v>0</v>
      </c>
      <c r="I33" s="576">
        <f t="shared" si="3"/>
        <v>0</v>
      </c>
      <c r="J33" s="576">
        <f t="shared" si="3"/>
        <v>0</v>
      </c>
      <c r="K33" s="576">
        <f t="shared" si="3"/>
        <v>0</v>
      </c>
      <c r="L33" s="576" t="e">
        <f t="shared" si="3"/>
        <v>#N/A</v>
      </c>
      <c r="M33" s="606">
        <f t="shared" si="3"/>
        <v>0</v>
      </c>
      <c r="N33" s="599" t="e">
        <f t="shared" si="2"/>
        <v>#N/A</v>
      </c>
    </row>
    <row r="34" spans="2:14" hidden="1">
      <c r="B34" s="619" t="str">
        <f>'Background Controls'!O34</f>
        <v>Industrial: Nonmetallic Mineral Products</v>
      </c>
      <c r="D34" s="576">
        <f t="shared" si="3"/>
        <v>0</v>
      </c>
      <c r="E34" s="576">
        <f t="shared" si="3"/>
        <v>0</v>
      </c>
      <c r="F34" s="576">
        <f t="shared" si="3"/>
        <v>0</v>
      </c>
      <c r="G34" s="576">
        <f t="shared" si="3"/>
        <v>0</v>
      </c>
      <c r="H34" s="576">
        <f t="shared" si="3"/>
        <v>0</v>
      </c>
      <c r="I34" s="576">
        <f t="shared" si="3"/>
        <v>0</v>
      </c>
      <c r="J34" s="576">
        <f t="shared" si="3"/>
        <v>0</v>
      </c>
      <c r="K34" s="576">
        <f t="shared" si="3"/>
        <v>0</v>
      </c>
      <c r="L34" s="576" t="e">
        <f t="shared" si="3"/>
        <v>#N/A</v>
      </c>
      <c r="M34" s="606">
        <f t="shared" si="3"/>
        <v>0</v>
      </c>
      <c r="N34" s="599" t="e">
        <f t="shared" si="2"/>
        <v>#N/A</v>
      </c>
    </row>
    <row r="35" spans="2:14" hidden="1">
      <c r="B35" s="619" t="str">
        <f>'Background Controls'!O35</f>
        <v>Industrial: Primary Metals</v>
      </c>
      <c r="D35" s="576">
        <f t="shared" si="3"/>
        <v>0</v>
      </c>
      <c r="E35" s="576">
        <f t="shared" si="3"/>
        <v>0</v>
      </c>
      <c r="F35" s="576">
        <f t="shared" si="3"/>
        <v>0</v>
      </c>
      <c r="G35" s="576">
        <f t="shared" si="3"/>
        <v>0</v>
      </c>
      <c r="H35" s="576">
        <f t="shared" si="3"/>
        <v>0</v>
      </c>
      <c r="I35" s="576">
        <f t="shared" si="3"/>
        <v>0</v>
      </c>
      <c r="J35" s="576">
        <f t="shared" si="3"/>
        <v>0</v>
      </c>
      <c r="K35" s="576">
        <f t="shared" si="3"/>
        <v>0</v>
      </c>
      <c r="L35" s="576" t="e">
        <f t="shared" si="3"/>
        <v>#N/A</v>
      </c>
      <c r="M35" s="606">
        <f t="shared" si="3"/>
        <v>0</v>
      </c>
      <c r="N35" s="599" t="e">
        <f t="shared" si="2"/>
        <v>#N/A</v>
      </c>
    </row>
    <row r="36" spans="2:14" hidden="1">
      <c r="B36" s="619" t="str">
        <f>'Background Controls'!O36</f>
        <v>Industrial: Fabricated Metal Products</v>
      </c>
      <c r="D36" s="576">
        <f t="shared" si="3"/>
        <v>0</v>
      </c>
      <c r="E36" s="576">
        <f t="shared" si="3"/>
        <v>0</v>
      </c>
      <c r="F36" s="576">
        <f t="shared" si="3"/>
        <v>0</v>
      </c>
      <c r="G36" s="576">
        <f t="shared" si="3"/>
        <v>0</v>
      </c>
      <c r="H36" s="576">
        <f t="shared" si="3"/>
        <v>0</v>
      </c>
      <c r="I36" s="576">
        <f t="shared" si="3"/>
        <v>0</v>
      </c>
      <c r="J36" s="576">
        <f t="shared" si="3"/>
        <v>0</v>
      </c>
      <c r="K36" s="576">
        <f t="shared" si="3"/>
        <v>0</v>
      </c>
      <c r="L36" s="576" t="e">
        <f t="shared" si="3"/>
        <v>#N/A</v>
      </c>
      <c r="M36" s="606">
        <f t="shared" si="3"/>
        <v>0</v>
      </c>
      <c r="N36" s="599" t="e">
        <f t="shared" si="2"/>
        <v>#N/A</v>
      </c>
    </row>
    <row r="37" spans="2:14" hidden="1">
      <c r="B37" s="619" t="str">
        <f>'Background Controls'!O37</f>
        <v>Industrial: Machinery</v>
      </c>
      <c r="D37" s="576">
        <f t="shared" si="3"/>
        <v>0</v>
      </c>
      <c r="E37" s="576">
        <f t="shared" si="3"/>
        <v>0</v>
      </c>
      <c r="F37" s="576">
        <f t="shared" si="3"/>
        <v>0</v>
      </c>
      <c r="G37" s="576">
        <f t="shared" si="3"/>
        <v>0</v>
      </c>
      <c r="H37" s="576">
        <f t="shared" si="3"/>
        <v>0</v>
      </c>
      <c r="I37" s="576">
        <f t="shared" si="3"/>
        <v>0</v>
      </c>
      <c r="J37" s="576">
        <f t="shared" si="3"/>
        <v>0</v>
      </c>
      <c r="K37" s="576">
        <f t="shared" si="3"/>
        <v>0</v>
      </c>
      <c r="L37" s="576" t="e">
        <f t="shared" si="3"/>
        <v>#N/A</v>
      </c>
      <c r="M37" s="606">
        <f t="shared" si="3"/>
        <v>0</v>
      </c>
      <c r="N37" s="599" t="e">
        <f t="shared" si="2"/>
        <v>#N/A</v>
      </c>
    </row>
    <row r="38" spans="2:14" hidden="1">
      <c r="B38" s="619" t="str">
        <f>'Background Controls'!O38</f>
        <v>Industrial: Computer and Electronic Products</v>
      </c>
      <c r="D38" s="576">
        <f t="shared" si="3"/>
        <v>0</v>
      </c>
      <c r="E38" s="576">
        <f t="shared" si="3"/>
        <v>0</v>
      </c>
      <c r="F38" s="576">
        <f t="shared" si="3"/>
        <v>0</v>
      </c>
      <c r="G38" s="576">
        <f t="shared" si="3"/>
        <v>0</v>
      </c>
      <c r="H38" s="576">
        <f t="shared" si="3"/>
        <v>0</v>
      </c>
      <c r="I38" s="576">
        <f t="shared" si="3"/>
        <v>0</v>
      </c>
      <c r="J38" s="576">
        <f t="shared" si="3"/>
        <v>0</v>
      </c>
      <c r="K38" s="576">
        <f t="shared" si="3"/>
        <v>0</v>
      </c>
      <c r="L38" s="576" t="e">
        <f t="shared" si="3"/>
        <v>#N/A</v>
      </c>
      <c r="M38" s="606">
        <f t="shared" si="3"/>
        <v>0</v>
      </c>
      <c r="N38" s="599" t="e">
        <f t="shared" si="2"/>
        <v>#N/A</v>
      </c>
    </row>
    <row r="39" spans="2:14" hidden="1">
      <c r="B39" s="619" t="str">
        <f>'Background Controls'!O39</f>
        <v>Industrial: Electrical Equip., Appliances, and Components</v>
      </c>
      <c r="D39" s="576">
        <f t="shared" si="3"/>
        <v>0</v>
      </c>
      <c r="E39" s="576">
        <f t="shared" si="3"/>
        <v>0</v>
      </c>
      <c r="F39" s="576">
        <f t="shared" si="3"/>
        <v>0</v>
      </c>
      <c r="G39" s="576">
        <f t="shared" si="3"/>
        <v>0</v>
      </c>
      <c r="H39" s="576">
        <f t="shared" si="3"/>
        <v>0</v>
      </c>
      <c r="I39" s="576">
        <f t="shared" si="3"/>
        <v>0</v>
      </c>
      <c r="J39" s="576">
        <f t="shared" si="3"/>
        <v>0</v>
      </c>
      <c r="K39" s="576">
        <f t="shared" si="3"/>
        <v>0</v>
      </c>
      <c r="L39" s="576" t="e">
        <f t="shared" si="3"/>
        <v>#N/A</v>
      </c>
      <c r="M39" s="606">
        <f t="shared" si="3"/>
        <v>0</v>
      </c>
      <c r="N39" s="599" t="e">
        <f t="shared" si="2"/>
        <v>#N/A</v>
      </c>
    </row>
    <row r="40" spans="2:14" hidden="1">
      <c r="B40" s="619" t="str">
        <f>'Background Controls'!O40</f>
        <v>Industrial: Transportation Equipment</v>
      </c>
      <c r="D40" s="576">
        <f t="shared" si="3"/>
        <v>0</v>
      </c>
      <c r="E40" s="576">
        <f t="shared" si="3"/>
        <v>0</v>
      </c>
      <c r="F40" s="576">
        <f t="shared" si="3"/>
        <v>0</v>
      </c>
      <c r="G40" s="576">
        <f t="shared" si="3"/>
        <v>0</v>
      </c>
      <c r="H40" s="576">
        <f t="shared" si="3"/>
        <v>0</v>
      </c>
      <c r="I40" s="576">
        <f t="shared" si="3"/>
        <v>0</v>
      </c>
      <c r="J40" s="576">
        <f t="shared" si="3"/>
        <v>0</v>
      </c>
      <c r="K40" s="576">
        <f t="shared" si="3"/>
        <v>0</v>
      </c>
      <c r="L40" s="576" t="e">
        <f t="shared" si="3"/>
        <v>#N/A</v>
      </c>
      <c r="M40" s="606">
        <f t="shared" si="3"/>
        <v>0</v>
      </c>
      <c r="N40" s="599" t="e">
        <f t="shared" si="2"/>
        <v>#N/A</v>
      </c>
    </row>
    <row r="41" spans="2:14" hidden="1">
      <c r="B41" s="619" t="str">
        <f>'Background Controls'!O41</f>
        <v>Industrial: Furniture and Related Products</v>
      </c>
      <c r="D41" s="576">
        <f t="shared" si="3"/>
        <v>0</v>
      </c>
      <c r="E41" s="576">
        <f t="shared" si="3"/>
        <v>0</v>
      </c>
      <c r="F41" s="576">
        <f t="shared" si="3"/>
        <v>0</v>
      </c>
      <c r="G41" s="576">
        <f t="shared" si="3"/>
        <v>0</v>
      </c>
      <c r="H41" s="576">
        <f t="shared" si="3"/>
        <v>0</v>
      </c>
      <c r="I41" s="576">
        <f t="shared" si="3"/>
        <v>0</v>
      </c>
      <c r="J41" s="576">
        <f t="shared" si="3"/>
        <v>0</v>
      </c>
      <c r="K41" s="576">
        <f t="shared" si="3"/>
        <v>0</v>
      </c>
      <c r="L41" s="576" t="e">
        <f t="shared" si="3"/>
        <v>#N/A</v>
      </c>
      <c r="M41" s="606">
        <f t="shared" si="3"/>
        <v>0</v>
      </c>
      <c r="N41" s="599" t="e">
        <f t="shared" si="2"/>
        <v>#N/A</v>
      </c>
    </row>
    <row r="42" spans="2:14" hidden="1">
      <c r="B42" s="619" t="str">
        <f>'Background Controls'!O42</f>
        <v>Industrial: Miscellaneous</v>
      </c>
      <c r="D42" s="576">
        <f t="shared" si="3"/>
        <v>0</v>
      </c>
      <c r="E42" s="576">
        <f t="shared" si="3"/>
        <v>0</v>
      </c>
      <c r="F42" s="576">
        <f t="shared" si="3"/>
        <v>0</v>
      </c>
      <c r="G42" s="576">
        <f t="shared" si="3"/>
        <v>0</v>
      </c>
      <c r="H42" s="576">
        <f t="shared" si="3"/>
        <v>0</v>
      </c>
      <c r="I42" s="576">
        <f t="shared" si="3"/>
        <v>0</v>
      </c>
      <c r="J42" s="576">
        <f t="shared" si="3"/>
        <v>0</v>
      </c>
      <c r="K42" s="576">
        <f t="shared" si="3"/>
        <v>0</v>
      </c>
      <c r="L42" s="576" t="e">
        <f t="shared" si="3"/>
        <v>#N/A</v>
      </c>
      <c r="M42" s="606">
        <f t="shared" si="3"/>
        <v>0</v>
      </c>
      <c r="N42" s="599" t="e">
        <f t="shared" si="2"/>
        <v>#N/A</v>
      </c>
    </row>
    <row r="43" spans="2:14" hidden="1">
      <c r="B43" s="620"/>
      <c r="D43" s="576">
        <f t="shared" si="3"/>
        <v>0</v>
      </c>
      <c r="E43" s="576">
        <f t="shared" si="3"/>
        <v>0</v>
      </c>
      <c r="F43" s="576">
        <f t="shared" si="3"/>
        <v>0</v>
      </c>
      <c r="G43" s="576">
        <f t="shared" si="3"/>
        <v>0</v>
      </c>
      <c r="H43" s="576">
        <f t="shared" si="3"/>
        <v>0</v>
      </c>
      <c r="I43" s="576">
        <f t="shared" si="3"/>
        <v>0</v>
      </c>
      <c r="J43" s="576">
        <f t="shared" si="3"/>
        <v>0</v>
      </c>
      <c r="K43" s="576">
        <f t="shared" si="3"/>
        <v>0</v>
      </c>
      <c r="L43" s="576" t="e">
        <f t="shared" si="3"/>
        <v>#N/A</v>
      </c>
      <c r="M43" s="606">
        <f t="shared" si="3"/>
        <v>0</v>
      </c>
      <c r="N43" s="599" t="e">
        <f t="shared" si="2"/>
        <v>#N/A</v>
      </c>
    </row>
    <row r="44" spans="2:14" hidden="1">
      <c r="B44" s="621"/>
      <c r="D44" s="576">
        <f t="shared" si="3"/>
        <v>0</v>
      </c>
      <c r="E44" s="576">
        <f t="shared" si="3"/>
        <v>0</v>
      </c>
      <c r="F44" s="576">
        <f t="shared" si="3"/>
        <v>0</v>
      </c>
      <c r="G44" s="576">
        <f t="shared" si="3"/>
        <v>0</v>
      </c>
      <c r="H44" s="576">
        <f t="shared" si="3"/>
        <v>0</v>
      </c>
      <c r="I44" s="576">
        <f t="shared" si="3"/>
        <v>0</v>
      </c>
      <c r="J44" s="576">
        <f t="shared" si="3"/>
        <v>0</v>
      </c>
      <c r="K44" s="576">
        <f t="shared" si="3"/>
        <v>0</v>
      </c>
      <c r="L44" s="576" t="e">
        <f t="shared" si="3"/>
        <v>#N/A</v>
      </c>
      <c r="M44" s="606">
        <f t="shared" si="3"/>
        <v>0</v>
      </c>
      <c r="N44" s="599" t="e">
        <f t="shared" si="2"/>
        <v>#N/A</v>
      </c>
    </row>
    <row r="45" spans="2:14" hidden="1">
      <c r="B45" s="621"/>
      <c r="D45" s="576">
        <f t="shared" si="3"/>
        <v>0</v>
      </c>
      <c r="E45" s="576">
        <f t="shared" si="3"/>
        <v>0</v>
      </c>
      <c r="F45" s="576">
        <f t="shared" si="3"/>
        <v>0</v>
      </c>
      <c r="G45" s="576">
        <f t="shared" si="3"/>
        <v>0</v>
      </c>
      <c r="H45" s="576">
        <f t="shared" si="3"/>
        <v>0</v>
      </c>
      <c r="I45" s="576">
        <f t="shared" si="3"/>
        <v>0</v>
      </c>
      <c r="J45" s="576">
        <f t="shared" si="3"/>
        <v>0</v>
      </c>
      <c r="K45" s="576">
        <f t="shared" si="3"/>
        <v>0</v>
      </c>
      <c r="L45" s="576" t="e">
        <f t="shared" si="3"/>
        <v>#N/A</v>
      </c>
      <c r="M45" s="606">
        <f t="shared" si="3"/>
        <v>0</v>
      </c>
      <c r="N45" s="599" t="e">
        <f t="shared" si="2"/>
        <v>#N/A</v>
      </c>
    </row>
    <row r="46" spans="2:14" hidden="1">
      <c r="D46" s="576">
        <f t="shared" si="3"/>
        <v>0</v>
      </c>
      <c r="E46" s="576">
        <f t="shared" si="3"/>
        <v>0</v>
      </c>
      <c r="F46" s="576">
        <f t="shared" si="3"/>
        <v>0</v>
      </c>
      <c r="G46" s="576">
        <f t="shared" si="3"/>
        <v>0</v>
      </c>
      <c r="H46" s="576">
        <f t="shared" si="3"/>
        <v>0</v>
      </c>
      <c r="I46" s="576">
        <f t="shared" ref="D46:M71" si="4">SUMIFS(stat_data_consump, stat_data_bldgtype, $B46, stat_data_FuelType, I$3)*I$4</f>
        <v>0</v>
      </c>
      <c r="J46" s="576">
        <f t="shared" si="4"/>
        <v>0</v>
      </c>
      <c r="K46" s="576">
        <f t="shared" si="4"/>
        <v>0</v>
      </c>
      <c r="L46" s="576" t="e">
        <f t="shared" si="4"/>
        <v>#N/A</v>
      </c>
      <c r="M46" s="606">
        <f t="shared" si="4"/>
        <v>0</v>
      </c>
      <c r="N46" s="599" t="e">
        <f t="shared" si="2"/>
        <v>#N/A</v>
      </c>
    </row>
    <row r="47" spans="2:14" hidden="1">
      <c r="B47" s="576" t="s">
        <v>1199</v>
      </c>
      <c r="D47" s="576">
        <f t="shared" si="4"/>
        <v>0</v>
      </c>
      <c r="E47" s="576">
        <f t="shared" si="4"/>
        <v>0</v>
      </c>
      <c r="F47" s="576">
        <f t="shared" si="4"/>
        <v>0</v>
      </c>
      <c r="G47" s="576">
        <f t="shared" si="4"/>
        <v>0</v>
      </c>
      <c r="H47" s="576">
        <f t="shared" si="4"/>
        <v>0</v>
      </c>
      <c r="I47" s="576">
        <f t="shared" si="4"/>
        <v>0</v>
      </c>
      <c r="J47" s="576">
        <f t="shared" si="4"/>
        <v>0</v>
      </c>
      <c r="K47" s="576">
        <f t="shared" si="4"/>
        <v>0</v>
      </c>
      <c r="L47" s="576" t="e">
        <f t="shared" si="4"/>
        <v>#N/A</v>
      </c>
      <c r="M47" s="606">
        <f t="shared" si="4"/>
        <v>0</v>
      </c>
      <c r="N47" s="599" t="e">
        <f t="shared" si="2"/>
        <v>#N/A</v>
      </c>
    </row>
    <row r="48" spans="2:14" hidden="1">
      <c r="B48" s="818"/>
      <c r="C48" s="622" t="s">
        <v>51</v>
      </c>
      <c r="D48" s="576">
        <f t="shared" si="4"/>
        <v>0</v>
      </c>
      <c r="E48" s="576">
        <f t="shared" si="4"/>
        <v>0</v>
      </c>
      <c r="F48" s="576">
        <f t="shared" si="4"/>
        <v>0</v>
      </c>
      <c r="G48" s="576">
        <f t="shared" si="4"/>
        <v>0</v>
      </c>
      <c r="H48" s="576">
        <f t="shared" si="4"/>
        <v>0</v>
      </c>
      <c r="I48" s="576">
        <f t="shared" si="4"/>
        <v>0</v>
      </c>
      <c r="J48" s="576">
        <f t="shared" si="4"/>
        <v>0</v>
      </c>
      <c r="K48" s="576">
        <f t="shared" si="4"/>
        <v>0</v>
      </c>
      <c r="L48" s="576" t="e">
        <f t="shared" si="4"/>
        <v>#N/A</v>
      </c>
      <c r="M48" s="606">
        <f t="shared" si="4"/>
        <v>0</v>
      </c>
      <c r="N48" s="599" t="e">
        <f t="shared" si="2"/>
        <v>#N/A</v>
      </c>
    </row>
    <row r="49" spans="2:14" hidden="1">
      <c r="B49" s="617" t="str">
        <f>'Background Controls'!O5</f>
        <v>Residential: Single Family Units</v>
      </c>
      <c r="C49" s="597">
        <f t="shared" ref="C49:C86" si="5">SUMIF(elec_data_bldgtype, B49, elec_data_consump)</f>
        <v>0</v>
      </c>
      <c r="D49" s="576">
        <f t="shared" si="4"/>
        <v>0</v>
      </c>
      <c r="E49" s="576">
        <f t="shared" si="4"/>
        <v>0</v>
      </c>
      <c r="F49" s="576">
        <f t="shared" si="4"/>
        <v>0</v>
      </c>
      <c r="G49" s="576">
        <f t="shared" si="4"/>
        <v>0</v>
      </c>
      <c r="H49" s="576">
        <f t="shared" si="4"/>
        <v>0</v>
      </c>
      <c r="I49" s="576">
        <f t="shared" si="4"/>
        <v>0</v>
      </c>
      <c r="J49" s="576">
        <f t="shared" si="4"/>
        <v>0</v>
      </c>
      <c r="K49" s="576">
        <f t="shared" si="4"/>
        <v>0</v>
      </c>
      <c r="L49" s="576" t="e">
        <f t="shared" si="4"/>
        <v>#N/A</v>
      </c>
      <c r="M49" s="606">
        <f t="shared" si="4"/>
        <v>0</v>
      </c>
      <c r="N49" s="599" t="e">
        <f t="shared" si="2"/>
        <v>#N/A</v>
      </c>
    </row>
    <row r="50" spans="2:14" hidden="1">
      <c r="B50" s="618" t="str">
        <f>'Background Controls'!O6</f>
        <v>Residential: Apartment Buildings</v>
      </c>
      <c r="C50" s="599">
        <f t="shared" si="5"/>
        <v>0</v>
      </c>
      <c r="D50" s="576">
        <f t="shared" si="4"/>
        <v>0</v>
      </c>
      <c r="E50" s="576">
        <f t="shared" si="4"/>
        <v>0</v>
      </c>
      <c r="F50" s="576">
        <f t="shared" si="4"/>
        <v>0</v>
      </c>
      <c r="G50" s="576">
        <f t="shared" si="4"/>
        <v>0</v>
      </c>
      <c r="H50" s="576">
        <f t="shared" si="4"/>
        <v>0</v>
      </c>
      <c r="I50" s="576">
        <f t="shared" si="4"/>
        <v>0</v>
      </c>
      <c r="J50" s="576">
        <f t="shared" si="4"/>
        <v>0</v>
      </c>
      <c r="K50" s="576">
        <f t="shared" si="4"/>
        <v>0</v>
      </c>
      <c r="L50" s="576" t="e">
        <f t="shared" si="4"/>
        <v>#N/A</v>
      </c>
      <c r="M50" s="606">
        <f t="shared" si="4"/>
        <v>0</v>
      </c>
      <c r="N50" s="599" t="e">
        <f t="shared" si="2"/>
        <v>#N/A</v>
      </c>
    </row>
    <row r="51" spans="2:14" hidden="1">
      <c r="B51" s="618" t="str">
        <f>'Background Controls'!O7</f>
        <v>Residential: Mobile Homes</v>
      </c>
      <c r="C51" s="599">
        <f t="shared" si="5"/>
        <v>0</v>
      </c>
      <c r="D51" s="576">
        <f t="shared" si="4"/>
        <v>0</v>
      </c>
      <c r="E51" s="576">
        <f t="shared" si="4"/>
        <v>0</v>
      </c>
      <c r="F51" s="576">
        <f t="shared" si="4"/>
        <v>0</v>
      </c>
      <c r="G51" s="576">
        <f t="shared" si="4"/>
        <v>0</v>
      </c>
      <c r="H51" s="576">
        <f t="shared" si="4"/>
        <v>0</v>
      </c>
      <c r="I51" s="576">
        <f t="shared" si="4"/>
        <v>0</v>
      </c>
      <c r="J51" s="576">
        <f t="shared" si="4"/>
        <v>0</v>
      </c>
      <c r="K51" s="576">
        <f t="shared" si="4"/>
        <v>0</v>
      </c>
      <c r="L51" s="576" t="e">
        <f t="shared" si="4"/>
        <v>#N/A</v>
      </c>
      <c r="M51" s="606">
        <f t="shared" si="4"/>
        <v>0</v>
      </c>
      <c r="N51" s="599" t="e">
        <f t="shared" si="2"/>
        <v>#N/A</v>
      </c>
    </row>
    <row r="52" spans="2:14" hidden="1">
      <c r="B52" s="618" t="str">
        <f>'Background Controls'!O8</f>
        <v>Commercial/Institutional: Education</v>
      </c>
      <c r="C52" s="599">
        <f t="shared" si="5"/>
        <v>0</v>
      </c>
      <c r="D52" s="576">
        <f t="shared" si="4"/>
        <v>0</v>
      </c>
      <c r="E52" s="576">
        <f t="shared" si="4"/>
        <v>0</v>
      </c>
      <c r="F52" s="576">
        <f t="shared" si="4"/>
        <v>0</v>
      </c>
      <c r="G52" s="576">
        <f t="shared" si="4"/>
        <v>0</v>
      </c>
      <c r="H52" s="576">
        <f t="shared" si="4"/>
        <v>0</v>
      </c>
      <c r="I52" s="576">
        <f t="shared" si="4"/>
        <v>0</v>
      </c>
      <c r="J52" s="576">
        <f t="shared" si="4"/>
        <v>0</v>
      </c>
      <c r="K52" s="576">
        <f t="shared" si="4"/>
        <v>0</v>
      </c>
      <c r="L52" s="576" t="e">
        <f t="shared" si="4"/>
        <v>#N/A</v>
      </c>
      <c r="M52" s="606">
        <f t="shared" si="4"/>
        <v>0</v>
      </c>
      <c r="N52" s="599" t="e">
        <f t="shared" si="2"/>
        <v>#N/A</v>
      </c>
    </row>
    <row r="53" spans="2:14" hidden="1">
      <c r="B53" s="618" t="str">
        <f>'Background Controls'!O9</f>
        <v>Commercial/Institutional: Food Sales</v>
      </c>
      <c r="C53" s="599">
        <f t="shared" si="5"/>
        <v>0</v>
      </c>
      <c r="D53" s="576">
        <f t="shared" si="4"/>
        <v>0</v>
      </c>
      <c r="E53" s="576">
        <f t="shared" si="4"/>
        <v>0</v>
      </c>
      <c r="F53" s="576">
        <f t="shared" si="4"/>
        <v>0</v>
      </c>
      <c r="G53" s="576">
        <f t="shared" si="4"/>
        <v>0</v>
      </c>
      <c r="H53" s="576">
        <f t="shared" si="4"/>
        <v>0</v>
      </c>
      <c r="I53" s="576">
        <f t="shared" si="4"/>
        <v>0</v>
      </c>
      <c r="J53" s="576">
        <f t="shared" si="4"/>
        <v>0</v>
      </c>
      <c r="K53" s="576">
        <f t="shared" si="4"/>
        <v>0</v>
      </c>
      <c r="L53" s="576" t="e">
        <f t="shared" si="4"/>
        <v>#N/A</v>
      </c>
      <c r="M53" s="606">
        <f t="shared" si="4"/>
        <v>0</v>
      </c>
      <c r="N53" s="599" t="e">
        <f t="shared" si="2"/>
        <v>#N/A</v>
      </c>
    </row>
    <row r="54" spans="2:14" hidden="1">
      <c r="B54" s="618" t="str">
        <f>'Background Controls'!O10</f>
        <v>Commercial/Institutional: Food Service</v>
      </c>
      <c r="C54" s="599">
        <f t="shared" si="5"/>
        <v>0</v>
      </c>
      <c r="D54" s="576">
        <f t="shared" si="4"/>
        <v>0</v>
      </c>
      <c r="E54" s="576">
        <f t="shared" si="4"/>
        <v>0</v>
      </c>
      <c r="F54" s="576">
        <f t="shared" si="4"/>
        <v>0</v>
      </c>
      <c r="G54" s="576">
        <f t="shared" si="4"/>
        <v>0</v>
      </c>
      <c r="H54" s="576">
        <f t="shared" si="4"/>
        <v>0</v>
      </c>
      <c r="I54" s="576">
        <f t="shared" si="4"/>
        <v>0</v>
      </c>
      <c r="J54" s="576">
        <f t="shared" si="4"/>
        <v>0</v>
      </c>
      <c r="K54" s="576">
        <f t="shared" si="4"/>
        <v>0</v>
      </c>
      <c r="L54" s="576" t="e">
        <f t="shared" si="4"/>
        <v>#N/A</v>
      </c>
      <c r="M54" s="606">
        <f t="shared" si="4"/>
        <v>0</v>
      </c>
      <c r="N54" s="599" t="e">
        <f t="shared" si="2"/>
        <v>#N/A</v>
      </c>
    </row>
    <row r="55" spans="2:14" hidden="1">
      <c r="B55" s="618" t="str">
        <f>'Background Controls'!O11</f>
        <v>Commercial/Institutional: Health Care</v>
      </c>
      <c r="C55" s="599">
        <f t="shared" si="5"/>
        <v>0</v>
      </c>
      <c r="D55" s="576">
        <f t="shared" si="4"/>
        <v>0</v>
      </c>
      <c r="E55" s="576">
        <f t="shared" si="4"/>
        <v>0</v>
      </c>
      <c r="F55" s="576">
        <f t="shared" si="4"/>
        <v>0</v>
      </c>
      <c r="G55" s="576">
        <f t="shared" si="4"/>
        <v>0</v>
      </c>
      <c r="H55" s="576">
        <f t="shared" si="4"/>
        <v>0</v>
      </c>
      <c r="I55" s="576">
        <f t="shared" si="4"/>
        <v>0</v>
      </c>
      <c r="J55" s="576">
        <f t="shared" si="4"/>
        <v>0</v>
      </c>
      <c r="K55" s="576">
        <f t="shared" si="4"/>
        <v>0</v>
      </c>
      <c r="L55" s="576" t="e">
        <f t="shared" si="4"/>
        <v>#N/A</v>
      </c>
      <c r="M55" s="606">
        <f t="shared" si="4"/>
        <v>0</v>
      </c>
      <c r="N55" s="599" t="e">
        <f t="shared" si="2"/>
        <v>#N/A</v>
      </c>
    </row>
    <row r="56" spans="2:14" hidden="1">
      <c r="B56" s="618" t="str">
        <f>'Background Controls'!O12</f>
        <v>Commercial/Institutional: Lodging</v>
      </c>
      <c r="C56" s="599">
        <f t="shared" si="5"/>
        <v>0</v>
      </c>
      <c r="D56" s="576">
        <f t="shared" si="4"/>
        <v>0</v>
      </c>
      <c r="E56" s="576">
        <f t="shared" si="4"/>
        <v>0</v>
      </c>
      <c r="F56" s="576">
        <f t="shared" si="4"/>
        <v>0</v>
      </c>
      <c r="G56" s="576">
        <f t="shared" si="4"/>
        <v>0</v>
      </c>
      <c r="H56" s="576">
        <f t="shared" si="4"/>
        <v>0</v>
      </c>
      <c r="I56" s="576">
        <f t="shared" si="4"/>
        <v>0</v>
      </c>
      <c r="J56" s="576">
        <f t="shared" si="4"/>
        <v>0</v>
      </c>
      <c r="K56" s="576">
        <f t="shared" si="4"/>
        <v>0</v>
      </c>
      <c r="L56" s="576" t="e">
        <f t="shared" si="4"/>
        <v>#N/A</v>
      </c>
      <c r="M56" s="606">
        <f t="shared" si="4"/>
        <v>0</v>
      </c>
      <c r="N56" s="599" t="e">
        <f t="shared" si="2"/>
        <v>#N/A</v>
      </c>
    </row>
    <row r="57" spans="2:14" hidden="1">
      <c r="B57" s="618" t="str">
        <f>'Background Controls'!O13</f>
        <v>Commercial/Institutional: Mercantile</v>
      </c>
      <c r="C57" s="599">
        <f t="shared" si="5"/>
        <v>0</v>
      </c>
      <c r="D57" s="576">
        <f t="shared" si="4"/>
        <v>0</v>
      </c>
      <c r="E57" s="576">
        <f t="shared" si="4"/>
        <v>0</v>
      </c>
      <c r="F57" s="576">
        <f t="shared" si="4"/>
        <v>0</v>
      </c>
      <c r="G57" s="576">
        <f t="shared" si="4"/>
        <v>0</v>
      </c>
      <c r="H57" s="576">
        <f t="shared" si="4"/>
        <v>0</v>
      </c>
      <c r="I57" s="576">
        <f t="shared" si="4"/>
        <v>0</v>
      </c>
      <c r="J57" s="576">
        <f t="shared" si="4"/>
        <v>0</v>
      </c>
      <c r="K57" s="576">
        <f t="shared" si="4"/>
        <v>0</v>
      </c>
      <c r="L57" s="576" t="e">
        <f t="shared" si="4"/>
        <v>#N/A</v>
      </c>
      <c r="M57" s="606">
        <f t="shared" si="4"/>
        <v>0</v>
      </c>
      <c r="N57" s="599" t="e">
        <f t="shared" si="2"/>
        <v>#N/A</v>
      </c>
    </row>
    <row r="58" spans="2:14">
      <c r="B58" s="618" t="str">
        <f>'Background Controls'!O14</f>
        <v>Commercial/Institutional: Office</v>
      </c>
      <c r="C58" s="599">
        <f t="shared" si="5"/>
        <v>0</v>
      </c>
      <c r="D58" s="576">
        <f t="shared" si="4"/>
        <v>0</v>
      </c>
      <c r="E58" s="576">
        <f t="shared" si="4"/>
        <v>0</v>
      </c>
      <c r="F58" s="576">
        <f t="shared" si="4"/>
        <v>0</v>
      </c>
      <c r="G58" s="576">
        <f t="shared" si="4"/>
        <v>0</v>
      </c>
      <c r="H58" s="576">
        <f t="shared" si="4"/>
        <v>0</v>
      </c>
      <c r="I58" s="576">
        <f t="shared" si="4"/>
        <v>0</v>
      </c>
      <c r="J58" s="576">
        <f t="shared" si="4"/>
        <v>0</v>
      </c>
      <c r="K58" s="576">
        <f t="shared" si="4"/>
        <v>0</v>
      </c>
      <c r="L58" s="576" t="e">
        <f t="shared" si="4"/>
        <v>#N/A</v>
      </c>
      <c r="M58" s="606">
        <f t="shared" si="4"/>
        <v>0</v>
      </c>
      <c r="N58" s="599" t="e">
        <f t="shared" si="2"/>
        <v>#N/A</v>
      </c>
    </row>
    <row r="59" spans="2:14">
      <c r="B59" s="618" t="str">
        <f>'Background Controls'!O15</f>
        <v>Commercial/Institutional: Public Assembly</v>
      </c>
      <c r="C59" s="599">
        <f t="shared" si="5"/>
        <v>0</v>
      </c>
      <c r="D59" s="576">
        <f t="shared" si="4"/>
        <v>0</v>
      </c>
      <c r="E59" s="576">
        <f t="shared" si="4"/>
        <v>0</v>
      </c>
      <c r="F59" s="576">
        <f t="shared" si="4"/>
        <v>0</v>
      </c>
      <c r="G59" s="576">
        <f t="shared" si="4"/>
        <v>0</v>
      </c>
      <c r="H59" s="576">
        <f t="shared" si="4"/>
        <v>0</v>
      </c>
      <c r="I59" s="576">
        <f t="shared" si="4"/>
        <v>0</v>
      </c>
      <c r="J59" s="576">
        <f t="shared" si="4"/>
        <v>0</v>
      </c>
      <c r="K59" s="576">
        <f t="shared" si="4"/>
        <v>0</v>
      </c>
      <c r="L59" s="576" t="e">
        <f t="shared" si="4"/>
        <v>#N/A</v>
      </c>
      <c r="M59" s="606">
        <f t="shared" si="4"/>
        <v>0</v>
      </c>
      <c r="N59" s="599" t="e">
        <f t="shared" si="2"/>
        <v>#N/A</v>
      </c>
    </row>
    <row r="60" spans="2:14">
      <c r="B60" s="618" t="str">
        <f>'Background Controls'!O16</f>
        <v>Commercial/Institutional: Public Order and Safety</v>
      </c>
      <c r="C60" s="599">
        <f t="shared" si="5"/>
        <v>0</v>
      </c>
      <c r="D60" s="576">
        <f t="shared" si="4"/>
        <v>0</v>
      </c>
      <c r="E60" s="576">
        <f t="shared" si="4"/>
        <v>0</v>
      </c>
      <c r="F60" s="576">
        <f t="shared" si="4"/>
        <v>0</v>
      </c>
      <c r="G60" s="576">
        <f t="shared" si="4"/>
        <v>0</v>
      </c>
      <c r="H60" s="576">
        <f t="shared" si="4"/>
        <v>0</v>
      </c>
      <c r="I60" s="576">
        <f t="shared" si="4"/>
        <v>0</v>
      </c>
      <c r="J60" s="576">
        <f t="shared" si="4"/>
        <v>0</v>
      </c>
      <c r="K60" s="576">
        <f t="shared" si="4"/>
        <v>0</v>
      </c>
      <c r="L60" s="576" t="e">
        <f t="shared" si="4"/>
        <v>#N/A</v>
      </c>
      <c r="M60" s="606">
        <f t="shared" si="4"/>
        <v>0</v>
      </c>
      <c r="N60" s="599" t="e">
        <f t="shared" si="2"/>
        <v>#N/A</v>
      </c>
    </row>
    <row r="61" spans="2:14">
      <c r="B61" s="618" t="str">
        <f>'Background Controls'!O17</f>
        <v>Commercial/Institutional: Religious Worship</v>
      </c>
      <c r="C61" s="599">
        <f t="shared" si="5"/>
        <v>0</v>
      </c>
      <c r="D61" s="576">
        <f t="shared" si="4"/>
        <v>0</v>
      </c>
      <c r="E61" s="576">
        <f t="shared" si="4"/>
        <v>0</v>
      </c>
      <c r="F61" s="576">
        <f t="shared" si="4"/>
        <v>0</v>
      </c>
      <c r="G61" s="576">
        <f t="shared" si="4"/>
        <v>0</v>
      </c>
      <c r="H61" s="576">
        <f t="shared" si="4"/>
        <v>0</v>
      </c>
      <c r="I61" s="576">
        <f t="shared" si="4"/>
        <v>0</v>
      </c>
      <c r="J61" s="576">
        <f t="shared" si="4"/>
        <v>0</v>
      </c>
      <c r="K61" s="576">
        <f t="shared" si="4"/>
        <v>0</v>
      </c>
      <c r="L61" s="576" t="e">
        <f t="shared" si="4"/>
        <v>#N/A</v>
      </c>
      <c r="M61" s="606">
        <f t="shared" si="4"/>
        <v>0</v>
      </c>
      <c r="N61" s="599" t="e">
        <f t="shared" si="2"/>
        <v>#N/A</v>
      </c>
    </row>
    <row r="62" spans="2:14">
      <c r="B62" s="618" t="str">
        <f>'Background Controls'!O18</f>
        <v>Commercial/Institutional: Service</v>
      </c>
      <c r="C62" s="599">
        <f t="shared" si="5"/>
        <v>0</v>
      </c>
      <c r="D62" s="576">
        <f t="shared" si="4"/>
        <v>0</v>
      </c>
      <c r="E62" s="576">
        <f t="shared" si="4"/>
        <v>0</v>
      </c>
      <c r="F62" s="576">
        <f t="shared" si="4"/>
        <v>0</v>
      </c>
      <c r="G62" s="576">
        <f t="shared" si="4"/>
        <v>0</v>
      </c>
      <c r="H62" s="576">
        <f t="shared" si="4"/>
        <v>0</v>
      </c>
      <c r="I62" s="576">
        <f t="shared" si="4"/>
        <v>0</v>
      </c>
      <c r="J62" s="576">
        <f t="shared" si="4"/>
        <v>0</v>
      </c>
      <c r="K62" s="576">
        <f t="shared" si="4"/>
        <v>0</v>
      </c>
      <c r="L62" s="576" t="e">
        <f t="shared" si="4"/>
        <v>#N/A</v>
      </c>
      <c r="M62" s="606">
        <f t="shared" si="4"/>
        <v>0</v>
      </c>
      <c r="N62" s="599" t="e">
        <f t="shared" si="2"/>
        <v>#N/A</v>
      </c>
    </row>
    <row r="63" spans="2:14">
      <c r="B63" s="618" t="str">
        <f>'Background Controls'!O19</f>
        <v>Commercial/Institutional: Warehouse and Storage</v>
      </c>
      <c r="C63" s="599">
        <f t="shared" si="5"/>
        <v>0</v>
      </c>
      <c r="D63" s="576">
        <f t="shared" si="4"/>
        <v>0</v>
      </c>
      <c r="E63" s="576">
        <f t="shared" si="4"/>
        <v>0</v>
      </c>
      <c r="F63" s="576">
        <f t="shared" si="4"/>
        <v>0</v>
      </c>
      <c r="G63" s="576">
        <f t="shared" si="4"/>
        <v>0</v>
      </c>
      <c r="H63" s="576">
        <f t="shared" si="4"/>
        <v>0</v>
      </c>
      <c r="I63" s="576">
        <f t="shared" si="4"/>
        <v>0</v>
      </c>
      <c r="J63" s="576">
        <f t="shared" si="4"/>
        <v>0</v>
      </c>
      <c r="K63" s="576">
        <f t="shared" si="4"/>
        <v>0</v>
      </c>
      <c r="L63" s="576" t="e">
        <f t="shared" si="4"/>
        <v>#N/A</v>
      </c>
      <c r="M63" s="606">
        <f t="shared" si="4"/>
        <v>0</v>
      </c>
      <c r="N63" s="599" t="e">
        <f t="shared" si="2"/>
        <v>#N/A</v>
      </c>
    </row>
    <row r="64" spans="2:14">
      <c r="B64" s="618" t="str">
        <f>'Background Controls'!O20</f>
        <v>Commercial/Institutional: Other</v>
      </c>
      <c r="C64" s="599">
        <f t="shared" si="5"/>
        <v>0</v>
      </c>
      <c r="D64" s="576">
        <f t="shared" si="4"/>
        <v>0</v>
      </c>
      <c r="E64" s="576">
        <f t="shared" si="4"/>
        <v>0</v>
      </c>
      <c r="F64" s="576">
        <f t="shared" si="4"/>
        <v>0</v>
      </c>
      <c r="G64" s="576">
        <f t="shared" si="4"/>
        <v>0</v>
      </c>
      <c r="H64" s="576">
        <f t="shared" si="4"/>
        <v>0</v>
      </c>
      <c r="I64" s="576">
        <f t="shared" si="4"/>
        <v>0</v>
      </c>
      <c r="J64" s="576">
        <f t="shared" si="4"/>
        <v>0</v>
      </c>
      <c r="K64" s="576">
        <f t="shared" si="4"/>
        <v>0</v>
      </c>
      <c r="L64" s="576" t="e">
        <f t="shared" si="4"/>
        <v>#N/A</v>
      </c>
      <c r="M64" s="606">
        <f t="shared" si="4"/>
        <v>0</v>
      </c>
      <c r="N64" s="599" t="e">
        <f t="shared" si="2"/>
        <v>#N/A</v>
      </c>
    </row>
    <row r="65" spans="2:14">
      <c r="B65" s="618" t="str">
        <f>'Background Controls'!O21</f>
        <v>Commercial/Institutional: Vacant</v>
      </c>
      <c r="C65" s="599">
        <f t="shared" si="5"/>
        <v>0</v>
      </c>
      <c r="D65" s="576">
        <f t="shared" si="4"/>
        <v>0</v>
      </c>
      <c r="E65" s="576">
        <f t="shared" si="4"/>
        <v>0</v>
      </c>
      <c r="F65" s="576">
        <f t="shared" si="4"/>
        <v>0</v>
      </c>
      <c r="G65" s="576">
        <f t="shared" si="4"/>
        <v>0</v>
      </c>
      <c r="H65" s="576">
        <f t="shared" si="4"/>
        <v>0</v>
      </c>
      <c r="I65" s="576">
        <f t="shared" si="4"/>
        <v>0</v>
      </c>
      <c r="J65" s="576">
        <f t="shared" si="4"/>
        <v>0</v>
      </c>
      <c r="K65" s="576">
        <f t="shared" si="4"/>
        <v>0</v>
      </c>
      <c r="L65" s="576" t="e">
        <f t="shared" si="4"/>
        <v>#N/A</v>
      </c>
      <c r="M65" s="606">
        <f t="shared" si="4"/>
        <v>0</v>
      </c>
      <c r="N65" s="599" t="e">
        <f t="shared" si="2"/>
        <v>#N/A</v>
      </c>
    </row>
    <row r="66" spans="2:14">
      <c r="B66" s="618" t="str">
        <f>'Background Controls'!O22</f>
        <v>Industrial: Food</v>
      </c>
      <c r="C66" s="599">
        <f t="shared" si="5"/>
        <v>0</v>
      </c>
      <c r="D66" s="576">
        <f t="shared" si="4"/>
        <v>0</v>
      </c>
      <c r="E66" s="576">
        <f t="shared" si="4"/>
        <v>0</v>
      </c>
      <c r="F66" s="576">
        <f t="shared" si="4"/>
        <v>0</v>
      </c>
      <c r="G66" s="576">
        <f t="shared" si="4"/>
        <v>0</v>
      </c>
      <c r="H66" s="576">
        <f t="shared" si="4"/>
        <v>0</v>
      </c>
      <c r="I66" s="576">
        <f t="shared" si="4"/>
        <v>0</v>
      </c>
      <c r="J66" s="576">
        <f t="shared" si="4"/>
        <v>0</v>
      </c>
      <c r="K66" s="576">
        <f t="shared" si="4"/>
        <v>0</v>
      </c>
      <c r="L66" s="576" t="e">
        <f t="shared" si="4"/>
        <v>#N/A</v>
      </c>
      <c r="M66" s="606">
        <f t="shared" si="4"/>
        <v>0</v>
      </c>
      <c r="N66" s="599" t="e">
        <f t="shared" si="2"/>
        <v>#N/A</v>
      </c>
    </row>
    <row r="67" spans="2:14">
      <c r="B67" s="618" t="str">
        <f>'Background Controls'!O23</f>
        <v>Industrial: Beverage and Tobacco Products</v>
      </c>
      <c r="C67" s="599">
        <f t="shared" si="5"/>
        <v>0</v>
      </c>
      <c r="D67" s="576">
        <f t="shared" si="4"/>
        <v>0</v>
      </c>
      <c r="E67" s="576">
        <f t="shared" si="4"/>
        <v>0</v>
      </c>
      <c r="F67" s="576">
        <f t="shared" si="4"/>
        <v>0</v>
      </c>
      <c r="G67" s="576">
        <f t="shared" si="4"/>
        <v>0</v>
      </c>
      <c r="H67" s="576">
        <f t="shared" si="4"/>
        <v>0</v>
      </c>
      <c r="I67" s="576">
        <f t="shared" si="4"/>
        <v>0</v>
      </c>
      <c r="J67" s="576">
        <f t="shared" si="4"/>
        <v>0</v>
      </c>
      <c r="K67" s="576">
        <f t="shared" si="4"/>
        <v>0</v>
      </c>
      <c r="L67" s="576" t="e">
        <f t="shared" si="4"/>
        <v>#N/A</v>
      </c>
      <c r="M67" s="606">
        <f t="shared" si="4"/>
        <v>0</v>
      </c>
      <c r="N67" s="599" t="e">
        <f t="shared" si="2"/>
        <v>#N/A</v>
      </c>
    </row>
    <row r="68" spans="2:14">
      <c r="B68" s="618" t="str">
        <f>'Background Controls'!O24</f>
        <v>Industrial: Textile Mills</v>
      </c>
      <c r="C68" s="599">
        <f t="shared" si="5"/>
        <v>0</v>
      </c>
      <c r="D68" s="576">
        <f t="shared" si="4"/>
        <v>0</v>
      </c>
      <c r="E68" s="576">
        <f t="shared" si="4"/>
        <v>0</v>
      </c>
      <c r="F68" s="576">
        <f t="shared" si="4"/>
        <v>0</v>
      </c>
      <c r="G68" s="576">
        <f t="shared" si="4"/>
        <v>0</v>
      </c>
      <c r="H68" s="576">
        <f t="shared" si="4"/>
        <v>0</v>
      </c>
      <c r="I68" s="576">
        <f t="shared" si="4"/>
        <v>0</v>
      </c>
      <c r="J68" s="576">
        <f t="shared" si="4"/>
        <v>0</v>
      </c>
      <c r="K68" s="576">
        <f t="shared" si="4"/>
        <v>0</v>
      </c>
      <c r="L68" s="576" t="e">
        <f t="shared" si="4"/>
        <v>#N/A</v>
      </c>
      <c r="M68" s="606">
        <f t="shared" si="4"/>
        <v>0</v>
      </c>
      <c r="N68" s="599" t="e">
        <f t="shared" si="2"/>
        <v>#N/A</v>
      </c>
    </row>
    <row r="69" spans="2:14">
      <c r="B69" s="618" t="str">
        <f>'Background Controls'!O25</f>
        <v>Industrial: Textile Product Mills</v>
      </c>
      <c r="C69" s="599">
        <f t="shared" si="5"/>
        <v>0</v>
      </c>
      <c r="D69" s="576">
        <f t="shared" si="4"/>
        <v>0</v>
      </c>
      <c r="E69" s="576">
        <f t="shared" si="4"/>
        <v>0</v>
      </c>
      <c r="F69" s="576">
        <f t="shared" si="4"/>
        <v>0</v>
      </c>
      <c r="G69" s="576">
        <f t="shared" si="4"/>
        <v>0</v>
      </c>
      <c r="H69" s="576">
        <f t="shared" si="4"/>
        <v>0</v>
      </c>
      <c r="I69" s="576">
        <f t="shared" si="4"/>
        <v>0</v>
      </c>
      <c r="J69" s="576">
        <f t="shared" si="4"/>
        <v>0</v>
      </c>
      <c r="K69" s="576">
        <f t="shared" si="4"/>
        <v>0</v>
      </c>
      <c r="L69" s="576" t="e">
        <f t="shared" si="4"/>
        <v>#N/A</v>
      </c>
      <c r="M69" s="606">
        <f t="shared" si="4"/>
        <v>0</v>
      </c>
      <c r="N69" s="599" t="e">
        <f t="shared" si="2"/>
        <v>#N/A</v>
      </c>
    </row>
    <row r="70" spans="2:14">
      <c r="B70" s="618" t="str">
        <f>'Background Controls'!O26</f>
        <v>Industrial: Apparel</v>
      </c>
      <c r="C70" s="599">
        <f t="shared" si="5"/>
        <v>0</v>
      </c>
      <c r="D70" s="576">
        <f t="shared" si="4"/>
        <v>0</v>
      </c>
      <c r="E70" s="576">
        <f t="shared" si="4"/>
        <v>0</v>
      </c>
      <c r="F70" s="576">
        <f t="shared" si="4"/>
        <v>0</v>
      </c>
      <c r="G70" s="576">
        <f t="shared" si="4"/>
        <v>0</v>
      </c>
      <c r="H70" s="576">
        <f t="shared" si="4"/>
        <v>0</v>
      </c>
      <c r="I70" s="576">
        <f t="shared" si="4"/>
        <v>0</v>
      </c>
      <c r="J70" s="576">
        <f t="shared" si="4"/>
        <v>0</v>
      </c>
      <c r="K70" s="576">
        <f t="shared" si="4"/>
        <v>0</v>
      </c>
      <c r="L70" s="576" t="e">
        <f t="shared" si="4"/>
        <v>#N/A</v>
      </c>
      <c r="M70" s="606">
        <f t="shared" si="4"/>
        <v>0</v>
      </c>
      <c r="N70" s="599" t="e">
        <f t="shared" si="2"/>
        <v>#N/A</v>
      </c>
    </row>
    <row r="71" spans="2:14">
      <c r="B71" s="618" t="str">
        <f>'Background Controls'!O27</f>
        <v>Industrial: Leather and Allied Products</v>
      </c>
      <c r="C71" s="599">
        <f t="shared" si="5"/>
        <v>0</v>
      </c>
      <c r="D71" s="576">
        <f t="shared" si="4"/>
        <v>0</v>
      </c>
      <c r="E71" s="576">
        <f t="shared" si="4"/>
        <v>0</v>
      </c>
      <c r="F71" s="576">
        <f t="shared" si="4"/>
        <v>0</v>
      </c>
      <c r="G71" s="576">
        <f t="shared" si="4"/>
        <v>0</v>
      </c>
      <c r="H71" s="576">
        <f t="shared" si="4"/>
        <v>0</v>
      </c>
      <c r="I71" s="576">
        <f t="shared" si="4"/>
        <v>0</v>
      </c>
      <c r="J71" s="576">
        <f t="shared" si="4"/>
        <v>0</v>
      </c>
      <c r="K71" s="576">
        <f t="shared" si="4"/>
        <v>0</v>
      </c>
      <c r="L71" s="576" t="e">
        <f t="shared" si="4"/>
        <v>#N/A</v>
      </c>
      <c r="M71" s="606">
        <f t="shared" si="4"/>
        <v>0</v>
      </c>
      <c r="N71" s="599" t="e">
        <f t="shared" si="2"/>
        <v>#N/A</v>
      </c>
    </row>
    <row r="72" spans="2:14">
      <c r="B72" s="618" t="str">
        <f>'Background Controls'!O28</f>
        <v>Industrial: Wood Products</v>
      </c>
      <c r="C72" s="599">
        <f t="shared" si="5"/>
        <v>0</v>
      </c>
      <c r="D72" s="576">
        <f t="shared" ref="D72:M86" si="6">SUMIFS(stat_data_consump, stat_data_bldgtype, $B72, stat_data_FuelType, D$3)*D$4</f>
        <v>0</v>
      </c>
      <c r="E72" s="576">
        <f t="shared" si="6"/>
        <v>0</v>
      </c>
      <c r="F72" s="576">
        <f t="shared" si="6"/>
        <v>0</v>
      </c>
      <c r="G72" s="576">
        <f t="shared" si="6"/>
        <v>0</v>
      </c>
      <c r="H72" s="576">
        <f t="shared" si="6"/>
        <v>0</v>
      </c>
      <c r="I72" s="576">
        <f t="shared" si="6"/>
        <v>0</v>
      </c>
      <c r="J72" s="576">
        <f t="shared" si="6"/>
        <v>0</v>
      </c>
      <c r="K72" s="576">
        <f t="shared" si="6"/>
        <v>0</v>
      </c>
      <c r="L72" s="576" t="e">
        <f t="shared" si="6"/>
        <v>#N/A</v>
      </c>
      <c r="M72" s="606">
        <f t="shared" si="6"/>
        <v>0</v>
      </c>
      <c r="N72" s="599" t="e">
        <f t="shared" si="2"/>
        <v>#N/A</v>
      </c>
    </row>
    <row r="73" spans="2:14">
      <c r="B73" s="618" t="str">
        <f>'Background Controls'!O29</f>
        <v>Industrial: Paper</v>
      </c>
      <c r="C73" s="599">
        <f t="shared" si="5"/>
        <v>0</v>
      </c>
      <c r="D73" s="576">
        <f t="shared" si="6"/>
        <v>0</v>
      </c>
      <c r="E73" s="576">
        <f t="shared" si="6"/>
        <v>0</v>
      </c>
      <c r="F73" s="576">
        <f t="shared" si="6"/>
        <v>0</v>
      </c>
      <c r="G73" s="576">
        <f t="shared" si="6"/>
        <v>0</v>
      </c>
      <c r="H73" s="576">
        <f t="shared" si="6"/>
        <v>0</v>
      </c>
      <c r="I73" s="576">
        <f t="shared" si="6"/>
        <v>0</v>
      </c>
      <c r="J73" s="576">
        <f t="shared" si="6"/>
        <v>0</v>
      </c>
      <c r="K73" s="576">
        <f t="shared" si="6"/>
        <v>0</v>
      </c>
      <c r="L73" s="576" t="e">
        <f t="shared" si="6"/>
        <v>#N/A</v>
      </c>
      <c r="M73" s="606">
        <f t="shared" si="6"/>
        <v>0</v>
      </c>
      <c r="N73" s="599" t="e">
        <f t="shared" ref="N73:N86" si="7">SUM(C73:M73)</f>
        <v>#N/A</v>
      </c>
    </row>
    <row r="74" spans="2:14">
      <c r="B74" s="618" t="str">
        <f>'Background Controls'!O30</f>
        <v>Industrial: Printing and Related Support</v>
      </c>
      <c r="C74" s="599">
        <f t="shared" si="5"/>
        <v>0</v>
      </c>
      <c r="D74" s="576">
        <f t="shared" si="6"/>
        <v>0</v>
      </c>
      <c r="E74" s="576">
        <f t="shared" si="6"/>
        <v>0</v>
      </c>
      <c r="F74" s="576">
        <f t="shared" si="6"/>
        <v>0</v>
      </c>
      <c r="G74" s="576">
        <f t="shared" si="6"/>
        <v>0</v>
      </c>
      <c r="H74" s="576">
        <f t="shared" si="6"/>
        <v>0</v>
      </c>
      <c r="I74" s="576">
        <f t="shared" si="6"/>
        <v>0</v>
      </c>
      <c r="J74" s="576">
        <f t="shared" si="6"/>
        <v>0</v>
      </c>
      <c r="K74" s="576">
        <f t="shared" si="6"/>
        <v>0</v>
      </c>
      <c r="L74" s="576" t="e">
        <f t="shared" si="6"/>
        <v>#N/A</v>
      </c>
      <c r="M74" s="606">
        <f t="shared" si="6"/>
        <v>0</v>
      </c>
      <c r="N74" s="599" t="e">
        <f t="shared" si="7"/>
        <v>#N/A</v>
      </c>
    </row>
    <row r="75" spans="2:14">
      <c r="B75" s="618" t="str">
        <f>'Background Controls'!O31</f>
        <v>Industrial: Petroleum and Coal Products</v>
      </c>
      <c r="C75" s="599">
        <f t="shared" si="5"/>
        <v>0</v>
      </c>
      <c r="D75" s="576">
        <f t="shared" si="6"/>
        <v>0</v>
      </c>
      <c r="E75" s="576">
        <f t="shared" si="6"/>
        <v>0</v>
      </c>
      <c r="F75" s="576">
        <f t="shared" si="6"/>
        <v>0</v>
      </c>
      <c r="G75" s="576">
        <f t="shared" si="6"/>
        <v>0</v>
      </c>
      <c r="H75" s="576">
        <f t="shared" si="6"/>
        <v>0</v>
      </c>
      <c r="I75" s="576">
        <f t="shared" si="6"/>
        <v>0</v>
      </c>
      <c r="J75" s="576">
        <f t="shared" si="6"/>
        <v>0</v>
      </c>
      <c r="K75" s="576">
        <f t="shared" si="6"/>
        <v>0</v>
      </c>
      <c r="L75" s="576" t="e">
        <f t="shared" si="6"/>
        <v>#N/A</v>
      </c>
      <c r="M75" s="606">
        <f t="shared" si="6"/>
        <v>0</v>
      </c>
      <c r="N75" s="599" t="e">
        <f t="shared" si="7"/>
        <v>#N/A</v>
      </c>
    </row>
    <row r="76" spans="2:14">
      <c r="B76" s="618" t="str">
        <f>'Background Controls'!O32</f>
        <v>Industrial: Chemicals</v>
      </c>
      <c r="C76" s="599">
        <f t="shared" si="5"/>
        <v>0</v>
      </c>
      <c r="D76" s="576">
        <f t="shared" si="6"/>
        <v>0</v>
      </c>
      <c r="E76" s="576">
        <f t="shared" si="6"/>
        <v>0</v>
      </c>
      <c r="F76" s="576">
        <f t="shared" si="6"/>
        <v>0</v>
      </c>
      <c r="G76" s="576">
        <f t="shared" si="6"/>
        <v>0</v>
      </c>
      <c r="H76" s="576">
        <f t="shared" si="6"/>
        <v>0</v>
      </c>
      <c r="I76" s="576">
        <f t="shared" si="6"/>
        <v>0</v>
      </c>
      <c r="J76" s="576">
        <f t="shared" si="6"/>
        <v>0</v>
      </c>
      <c r="K76" s="576">
        <f t="shared" si="6"/>
        <v>0</v>
      </c>
      <c r="L76" s="576" t="e">
        <f t="shared" si="6"/>
        <v>#N/A</v>
      </c>
      <c r="M76" s="606">
        <f t="shared" si="6"/>
        <v>0</v>
      </c>
      <c r="N76" s="599" t="e">
        <f t="shared" si="7"/>
        <v>#N/A</v>
      </c>
    </row>
    <row r="77" spans="2:14">
      <c r="B77" s="618" t="str">
        <f>'Background Controls'!O33</f>
        <v>Industrial: Plastics and Rubber Products</v>
      </c>
      <c r="C77" s="599">
        <f t="shared" si="5"/>
        <v>0</v>
      </c>
      <c r="D77" s="576">
        <f t="shared" si="6"/>
        <v>0</v>
      </c>
      <c r="E77" s="576">
        <f t="shared" si="6"/>
        <v>0</v>
      </c>
      <c r="F77" s="576">
        <f t="shared" si="6"/>
        <v>0</v>
      </c>
      <c r="G77" s="576">
        <f t="shared" si="6"/>
        <v>0</v>
      </c>
      <c r="H77" s="576">
        <f t="shared" si="6"/>
        <v>0</v>
      </c>
      <c r="I77" s="576">
        <f t="shared" si="6"/>
        <v>0</v>
      </c>
      <c r="J77" s="576">
        <f t="shared" si="6"/>
        <v>0</v>
      </c>
      <c r="K77" s="576">
        <f t="shared" si="6"/>
        <v>0</v>
      </c>
      <c r="L77" s="576" t="e">
        <f t="shared" si="6"/>
        <v>#N/A</v>
      </c>
      <c r="M77" s="606">
        <f t="shared" si="6"/>
        <v>0</v>
      </c>
      <c r="N77" s="599" t="e">
        <f t="shared" si="7"/>
        <v>#N/A</v>
      </c>
    </row>
    <row r="78" spans="2:14">
      <c r="B78" s="618" t="str">
        <f>'Background Controls'!O34</f>
        <v>Industrial: Nonmetallic Mineral Products</v>
      </c>
      <c r="C78" s="599">
        <f t="shared" si="5"/>
        <v>0</v>
      </c>
      <c r="D78" s="576">
        <f t="shared" si="6"/>
        <v>0</v>
      </c>
      <c r="E78" s="576">
        <f t="shared" si="6"/>
        <v>0</v>
      </c>
      <c r="F78" s="576">
        <f t="shared" si="6"/>
        <v>0</v>
      </c>
      <c r="G78" s="576">
        <f t="shared" si="6"/>
        <v>0</v>
      </c>
      <c r="H78" s="576">
        <f t="shared" si="6"/>
        <v>0</v>
      </c>
      <c r="I78" s="576">
        <f t="shared" si="6"/>
        <v>0</v>
      </c>
      <c r="J78" s="576">
        <f t="shared" si="6"/>
        <v>0</v>
      </c>
      <c r="K78" s="576">
        <f t="shared" si="6"/>
        <v>0</v>
      </c>
      <c r="L78" s="576" t="e">
        <f t="shared" si="6"/>
        <v>#N/A</v>
      </c>
      <c r="M78" s="606">
        <f t="shared" si="6"/>
        <v>0</v>
      </c>
      <c r="N78" s="599" t="e">
        <f t="shared" si="7"/>
        <v>#N/A</v>
      </c>
    </row>
    <row r="79" spans="2:14">
      <c r="B79" s="618" t="str">
        <f>'Background Controls'!O35</f>
        <v>Industrial: Primary Metals</v>
      </c>
      <c r="C79" s="599">
        <f t="shared" si="5"/>
        <v>0</v>
      </c>
      <c r="D79" s="576">
        <f t="shared" si="6"/>
        <v>0</v>
      </c>
      <c r="E79" s="576">
        <f t="shared" si="6"/>
        <v>0</v>
      </c>
      <c r="F79" s="576">
        <f t="shared" si="6"/>
        <v>0</v>
      </c>
      <c r="G79" s="576">
        <f t="shared" si="6"/>
        <v>0</v>
      </c>
      <c r="H79" s="576">
        <f t="shared" si="6"/>
        <v>0</v>
      </c>
      <c r="I79" s="576">
        <f t="shared" si="6"/>
        <v>0</v>
      </c>
      <c r="J79" s="576">
        <f t="shared" si="6"/>
        <v>0</v>
      </c>
      <c r="K79" s="576">
        <f t="shared" si="6"/>
        <v>0</v>
      </c>
      <c r="L79" s="576" t="e">
        <f t="shared" si="6"/>
        <v>#N/A</v>
      </c>
      <c r="M79" s="606">
        <f t="shared" si="6"/>
        <v>0</v>
      </c>
      <c r="N79" s="599" t="e">
        <f t="shared" si="7"/>
        <v>#N/A</v>
      </c>
    </row>
    <row r="80" spans="2:14">
      <c r="B80" s="618" t="str">
        <f>'Background Controls'!O36</f>
        <v>Industrial: Fabricated Metal Products</v>
      </c>
      <c r="C80" s="599">
        <f t="shared" si="5"/>
        <v>0</v>
      </c>
      <c r="D80" s="576">
        <f t="shared" si="6"/>
        <v>0</v>
      </c>
      <c r="E80" s="576">
        <f t="shared" si="6"/>
        <v>0</v>
      </c>
      <c r="F80" s="576">
        <f t="shared" si="6"/>
        <v>0</v>
      </c>
      <c r="G80" s="576">
        <f t="shared" si="6"/>
        <v>0</v>
      </c>
      <c r="H80" s="576">
        <f t="shared" si="6"/>
        <v>0</v>
      </c>
      <c r="I80" s="576">
        <f t="shared" si="6"/>
        <v>0</v>
      </c>
      <c r="J80" s="576">
        <f t="shared" si="6"/>
        <v>0</v>
      </c>
      <c r="K80" s="576">
        <f t="shared" si="6"/>
        <v>0</v>
      </c>
      <c r="L80" s="576" t="e">
        <f t="shared" si="6"/>
        <v>#N/A</v>
      </c>
      <c r="M80" s="606">
        <f t="shared" si="6"/>
        <v>0</v>
      </c>
      <c r="N80" s="599" t="e">
        <f t="shared" si="7"/>
        <v>#N/A</v>
      </c>
    </row>
    <row r="81" spans="2:36">
      <c r="B81" s="618" t="str">
        <f>'Background Controls'!O37</f>
        <v>Industrial: Machinery</v>
      </c>
      <c r="C81" s="599">
        <f t="shared" si="5"/>
        <v>0</v>
      </c>
      <c r="D81" s="576">
        <f t="shared" si="6"/>
        <v>0</v>
      </c>
      <c r="E81" s="576">
        <f t="shared" si="6"/>
        <v>0</v>
      </c>
      <c r="F81" s="576">
        <f t="shared" si="6"/>
        <v>0</v>
      </c>
      <c r="G81" s="576">
        <f t="shared" si="6"/>
        <v>0</v>
      </c>
      <c r="H81" s="576">
        <f t="shared" si="6"/>
        <v>0</v>
      </c>
      <c r="I81" s="576">
        <f t="shared" si="6"/>
        <v>0</v>
      </c>
      <c r="J81" s="576">
        <f t="shared" si="6"/>
        <v>0</v>
      </c>
      <c r="K81" s="576">
        <f t="shared" si="6"/>
        <v>0</v>
      </c>
      <c r="L81" s="576" t="e">
        <f t="shared" si="6"/>
        <v>#N/A</v>
      </c>
      <c r="M81" s="606">
        <f t="shared" si="6"/>
        <v>0</v>
      </c>
      <c r="N81" s="599" t="e">
        <f t="shared" si="7"/>
        <v>#N/A</v>
      </c>
    </row>
    <row r="82" spans="2:36">
      <c r="B82" s="618" t="str">
        <f>'Background Controls'!O38</f>
        <v>Industrial: Computer and Electronic Products</v>
      </c>
      <c r="C82" s="599">
        <f t="shared" si="5"/>
        <v>0</v>
      </c>
      <c r="D82" s="576">
        <f t="shared" si="6"/>
        <v>0</v>
      </c>
      <c r="E82" s="576">
        <f t="shared" si="6"/>
        <v>0</v>
      </c>
      <c r="F82" s="576">
        <f t="shared" si="6"/>
        <v>0</v>
      </c>
      <c r="G82" s="576">
        <f t="shared" si="6"/>
        <v>0</v>
      </c>
      <c r="H82" s="576">
        <f t="shared" si="6"/>
        <v>0</v>
      </c>
      <c r="I82" s="576">
        <f t="shared" si="6"/>
        <v>0</v>
      </c>
      <c r="J82" s="576">
        <f t="shared" si="6"/>
        <v>0</v>
      </c>
      <c r="K82" s="576">
        <f t="shared" si="6"/>
        <v>0</v>
      </c>
      <c r="L82" s="576" t="e">
        <f t="shared" si="6"/>
        <v>#N/A</v>
      </c>
      <c r="M82" s="606">
        <f t="shared" si="6"/>
        <v>0</v>
      </c>
      <c r="N82" s="599" t="e">
        <f t="shared" si="7"/>
        <v>#N/A</v>
      </c>
    </row>
    <row r="83" spans="2:36">
      <c r="B83" s="618" t="str">
        <f>'Background Controls'!O39</f>
        <v>Industrial: Electrical Equip., Appliances, and Components</v>
      </c>
      <c r="C83" s="599">
        <f t="shared" si="5"/>
        <v>0</v>
      </c>
      <c r="D83" s="576">
        <f t="shared" si="6"/>
        <v>0</v>
      </c>
      <c r="E83" s="576">
        <f t="shared" si="6"/>
        <v>0</v>
      </c>
      <c r="F83" s="576">
        <f t="shared" si="6"/>
        <v>0</v>
      </c>
      <c r="G83" s="576">
        <f t="shared" si="6"/>
        <v>0</v>
      </c>
      <c r="H83" s="576">
        <f t="shared" si="6"/>
        <v>0</v>
      </c>
      <c r="I83" s="576">
        <f t="shared" si="6"/>
        <v>0</v>
      </c>
      <c r="J83" s="576">
        <f t="shared" si="6"/>
        <v>0</v>
      </c>
      <c r="K83" s="576">
        <f t="shared" si="6"/>
        <v>0</v>
      </c>
      <c r="L83" s="576" t="e">
        <f t="shared" si="6"/>
        <v>#N/A</v>
      </c>
      <c r="M83" s="606">
        <f t="shared" si="6"/>
        <v>0</v>
      </c>
      <c r="N83" s="599" t="e">
        <f t="shared" si="7"/>
        <v>#N/A</v>
      </c>
    </row>
    <row r="84" spans="2:36">
      <c r="B84" s="618" t="str">
        <f>'Background Controls'!O40</f>
        <v>Industrial: Transportation Equipment</v>
      </c>
      <c r="C84" s="599">
        <f t="shared" si="5"/>
        <v>0</v>
      </c>
      <c r="D84" s="576">
        <f t="shared" si="6"/>
        <v>0</v>
      </c>
      <c r="E84" s="576">
        <f t="shared" si="6"/>
        <v>0</v>
      </c>
      <c r="F84" s="576">
        <f t="shared" si="6"/>
        <v>0</v>
      </c>
      <c r="G84" s="576">
        <f t="shared" si="6"/>
        <v>0</v>
      </c>
      <c r="H84" s="576">
        <f t="shared" si="6"/>
        <v>0</v>
      </c>
      <c r="I84" s="576">
        <f t="shared" si="6"/>
        <v>0</v>
      </c>
      <c r="J84" s="576">
        <f t="shared" si="6"/>
        <v>0</v>
      </c>
      <c r="K84" s="576">
        <f t="shared" si="6"/>
        <v>0</v>
      </c>
      <c r="L84" s="576" t="e">
        <f t="shared" si="6"/>
        <v>#N/A</v>
      </c>
      <c r="M84" s="606">
        <f t="shared" si="6"/>
        <v>0</v>
      </c>
      <c r="N84" s="599" t="e">
        <f t="shared" si="7"/>
        <v>#N/A</v>
      </c>
    </row>
    <row r="85" spans="2:36">
      <c r="B85" s="618" t="str">
        <f>'Background Controls'!O41</f>
        <v>Industrial: Furniture and Related Products</v>
      </c>
      <c r="C85" s="599">
        <f t="shared" si="5"/>
        <v>0</v>
      </c>
      <c r="D85" s="576">
        <f t="shared" si="6"/>
        <v>0</v>
      </c>
      <c r="E85" s="576">
        <f t="shared" si="6"/>
        <v>0</v>
      </c>
      <c r="F85" s="576">
        <f t="shared" si="6"/>
        <v>0</v>
      </c>
      <c r="G85" s="576">
        <f t="shared" si="6"/>
        <v>0</v>
      </c>
      <c r="H85" s="576">
        <f t="shared" si="6"/>
        <v>0</v>
      </c>
      <c r="I85" s="576">
        <f t="shared" si="6"/>
        <v>0</v>
      </c>
      <c r="J85" s="576">
        <f t="shared" si="6"/>
        <v>0</v>
      </c>
      <c r="K85" s="576">
        <f t="shared" si="6"/>
        <v>0</v>
      </c>
      <c r="L85" s="576" t="e">
        <f t="shared" si="6"/>
        <v>#N/A</v>
      </c>
      <c r="M85" s="606">
        <f t="shared" si="6"/>
        <v>0</v>
      </c>
      <c r="N85" s="599" t="e">
        <f t="shared" si="7"/>
        <v>#N/A</v>
      </c>
    </row>
    <row r="86" spans="2:36">
      <c r="B86" s="618" t="str">
        <f>'Background Controls'!O42</f>
        <v>Industrial: Miscellaneous</v>
      </c>
      <c r="C86" s="599">
        <f t="shared" si="5"/>
        <v>0</v>
      </c>
      <c r="D86" s="576">
        <f t="shared" si="6"/>
        <v>0</v>
      </c>
      <c r="E86" s="576">
        <f t="shared" si="6"/>
        <v>0</v>
      </c>
      <c r="F86" s="576">
        <f t="shared" si="6"/>
        <v>0</v>
      </c>
      <c r="G86" s="576">
        <f t="shared" si="6"/>
        <v>0</v>
      </c>
      <c r="H86" s="576">
        <f t="shared" si="6"/>
        <v>0</v>
      </c>
      <c r="I86" s="576">
        <f t="shared" si="6"/>
        <v>0</v>
      </c>
      <c r="J86" s="576">
        <f t="shared" si="6"/>
        <v>0</v>
      </c>
      <c r="K86" s="576">
        <f t="shared" si="6"/>
        <v>0</v>
      </c>
      <c r="L86" s="576" t="e">
        <f t="shared" si="6"/>
        <v>#N/A</v>
      </c>
      <c r="M86" s="606">
        <f t="shared" si="6"/>
        <v>0</v>
      </c>
      <c r="N86" s="599" t="e">
        <f t="shared" si="7"/>
        <v>#N/A</v>
      </c>
    </row>
    <row r="87" spans="2:36">
      <c r="C87" s="818">
        <f>SUM(C49:C86)</f>
        <v>0</v>
      </c>
      <c r="M87" s="606"/>
      <c r="N87" s="599"/>
    </row>
    <row r="91" spans="2:36">
      <c r="B91" s="576" t="s">
        <v>1200</v>
      </c>
      <c r="J91" s="623" t="str">
        <f>"Temporary Values - Current Department "&amp;mob_nonCO2_current_dept</f>
        <v>Temporary Values - Current Department Residential</v>
      </c>
      <c r="K91" s="623"/>
      <c r="L91" s="623"/>
      <c r="M91" s="623"/>
      <c r="N91" s="623"/>
    </row>
    <row r="92" spans="2:36" ht="16.5">
      <c r="B92" s="819" t="s">
        <v>1201</v>
      </c>
      <c r="C92" s="819" t="s">
        <v>167</v>
      </c>
      <c r="D92" s="1148" t="s">
        <v>16</v>
      </c>
      <c r="E92" s="1148"/>
      <c r="F92" s="1148"/>
      <c r="G92" s="823" t="s">
        <v>1202</v>
      </c>
      <c r="H92" s="823" t="s">
        <v>253</v>
      </c>
      <c r="J92" s="819" t="s">
        <v>1201</v>
      </c>
      <c r="K92" s="819" t="s">
        <v>167</v>
      </c>
      <c r="L92" s="823" t="s">
        <v>20</v>
      </c>
      <c r="M92" s="823" t="s">
        <v>73</v>
      </c>
      <c r="N92" s="823" t="s">
        <v>253</v>
      </c>
      <c r="P92" s="576" t="s">
        <v>1203</v>
      </c>
    </row>
    <row r="93" spans="2:36" ht="37" thickBot="1">
      <c r="B93" s="824"/>
      <c r="C93" s="824"/>
      <c r="D93" s="825" t="s">
        <v>1204</v>
      </c>
      <c r="E93" s="825" t="s">
        <v>1205</v>
      </c>
      <c r="F93" s="825" t="s">
        <v>1206</v>
      </c>
      <c r="G93" s="825"/>
      <c r="H93" s="824"/>
      <c r="J93" s="1149" t="s">
        <v>1207</v>
      </c>
      <c r="K93" s="1150"/>
      <c r="L93" s="1150"/>
      <c r="M93" s="1151"/>
      <c r="N93" s="826"/>
      <c r="P93" s="624" t="str">
        <f>'Background Controls'!$I$5</f>
        <v>Residential</v>
      </c>
      <c r="Q93" s="624" t="str">
        <f>'Background Controls'!$I$6</f>
        <v>Commercial/Institutional</v>
      </c>
      <c r="R93" s="624" t="str">
        <f>'Background Controls'!$I$7</f>
        <v>Industrial</v>
      </c>
      <c r="S93" s="624" t="str">
        <f>'Background Controls'!$I$8</f>
        <v>Energy Generation</v>
      </c>
      <c r="T93" s="624">
        <f>'Background Controls'!$I$9</f>
        <v>0</v>
      </c>
      <c r="U93" s="624">
        <f>'Background Controls'!$I$10</f>
        <v>0</v>
      </c>
      <c r="V93" s="624">
        <f>'Background Controls'!$I$11</f>
        <v>0</v>
      </c>
      <c r="W93" s="624">
        <f>'Background Controls'!$I$12</f>
        <v>0</v>
      </c>
      <c r="X93" s="624">
        <f>'Background Controls'!$I$13</f>
        <v>0</v>
      </c>
      <c r="Y93" s="624">
        <f>'Background Controls'!$I$14</f>
        <v>0</v>
      </c>
      <c r="Z93" s="624">
        <f>'Background Controls'!$I$15</f>
        <v>0</v>
      </c>
      <c r="AA93" s="624">
        <f>'Background Controls'!$I$16</f>
        <v>0</v>
      </c>
      <c r="AB93" s="624">
        <f>'Background Controls'!$I$17</f>
        <v>0</v>
      </c>
      <c r="AC93" s="624">
        <f>'Background Controls'!$I$18</f>
        <v>0</v>
      </c>
      <c r="AD93" s="624">
        <f>'Background Controls'!$I$19</f>
        <v>0</v>
      </c>
      <c r="AE93" s="624">
        <f>'Background Controls'!$I$20</f>
        <v>0</v>
      </c>
      <c r="AF93" s="624">
        <f>'Background Controls'!$I$21</f>
        <v>0</v>
      </c>
      <c r="AG93" s="624">
        <f>'Background Controls'!$I$22</f>
        <v>0</v>
      </c>
      <c r="AH93" s="624">
        <f>'Background Controls'!$I$23</f>
        <v>0</v>
      </c>
      <c r="AI93" s="624">
        <f>'Background Controls'!$I$24</f>
        <v>0</v>
      </c>
      <c r="AJ93" s="625" t="s">
        <v>1208</v>
      </c>
    </row>
    <row r="94" spans="2:36" ht="15" thickTop="1">
      <c r="B94" s="626" t="s">
        <v>347</v>
      </c>
      <c r="C94" s="627" t="s">
        <v>175</v>
      </c>
      <c r="D94" s="628">
        <f>IF(SUMIF('Mobile-Data'!$G$9:$G$1048576,C94, 'Mobile-Data'!$H$9:$H$1048576)=0,0,SUMIFS('Mobile-Data'!$H$9:$H$1048576, 'Mobile-Data'!$E$9:$E$1048576,B94, 'Mobile-Data'!$G$9:$G$1048576,C94)/SUMIF('Mobile-Data'!$G$9:$G$1048576,C94, 'Mobile-Data'!$H$9:$H$1048576))</f>
        <v>0</v>
      </c>
      <c r="E94" s="628">
        <f>'Mobile-Detail Calcs'!$C$149</f>
        <v>0</v>
      </c>
      <c r="F94" s="600">
        <f t="shared" ref="F94:F106" si="8">D94*E94</f>
        <v>0</v>
      </c>
      <c r="G94" s="600">
        <f>AJ94</f>
        <v>0.36814000000000002</v>
      </c>
      <c r="H94" s="629">
        <f>SUM(F94:G94)</f>
        <v>0.36814000000000002</v>
      </c>
      <c r="J94" s="626" t="s">
        <v>347</v>
      </c>
      <c r="K94" s="627" t="s">
        <v>175</v>
      </c>
      <c r="L94" s="629">
        <f>'Mobile-Detail Calcs'!L210</f>
        <v>0</v>
      </c>
      <c r="M94" s="629">
        <f>'Mobile-Detail Calcs'!$U$210</f>
        <v>0</v>
      </c>
      <c r="N94" s="629">
        <f>SUM(L94:M94)</f>
        <v>0</v>
      </c>
      <c r="O94" s="630"/>
      <c r="P94" s="631">
        <v>0.36814000000000002</v>
      </c>
      <c r="Q94" s="631">
        <v>0</v>
      </c>
      <c r="R94" s="631">
        <v>0</v>
      </c>
      <c r="S94" s="631">
        <v>0</v>
      </c>
      <c r="T94" s="631">
        <v>0</v>
      </c>
      <c r="U94" s="631">
        <v>0</v>
      </c>
      <c r="V94" s="631">
        <v>0</v>
      </c>
      <c r="W94" s="631">
        <v>0</v>
      </c>
      <c r="X94" s="631">
        <v>0</v>
      </c>
      <c r="Y94" s="631">
        <v>0</v>
      </c>
      <c r="Z94" s="631">
        <v>0</v>
      </c>
      <c r="AA94" s="631">
        <v>0</v>
      </c>
      <c r="AB94" s="631">
        <v>0</v>
      </c>
      <c r="AC94" s="631">
        <v>0</v>
      </c>
      <c r="AD94" s="631">
        <v>0</v>
      </c>
      <c r="AE94" s="631">
        <v>0</v>
      </c>
      <c r="AF94" s="631">
        <v>0</v>
      </c>
      <c r="AG94" s="631">
        <v>0</v>
      </c>
      <c r="AH94" s="631">
        <v>0</v>
      </c>
      <c r="AI94" s="631">
        <v>0</v>
      </c>
      <c r="AJ94" s="625">
        <f>SUM(P94:AI94)</f>
        <v>0.36814000000000002</v>
      </c>
    </row>
    <row r="95" spans="2:36" ht="39.5">
      <c r="B95" s="827" t="s">
        <v>364</v>
      </c>
      <c r="C95" s="828" t="s">
        <v>175</v>
      </c>
      <c r="D95" s="829">
        <f>IF(SUMIF('Mobile-Data'!$G$9:$G$1048576,C95, 'Mobile-Data'!$H$9:$H$1048576)=0,0,SUMIFS('Mobile-Data'!$H$9:$H$1048576, 'Mobile-Data'!$E$9:$E$1048576,B95, 'Mobile-Data'!$G$9:$G$1048576,C95)/SUMIF('Mobile-Data'!$G$9:$G$1048576,C95, 'Mobile-Data'!$H$9:$H$1048576))</f>
        <v>0</v>
      </c>
      <c r="E95" s="829">
        <f>'Mobile-Detail Calcs'!$C$149</f>
        <v>0</v>
      </c>
      <c r="F95" s="818">
        <f t="shared" si="8"/>
        <v>0</v>
      </c>
      <c r="G95" s="600">
        <f t="shared" ref="G95:G117" si="9">AJ95</f>
        <v>0</v>
      </c>
      <c r="H95" s="629">
        <f t="shared" ref="H95:H117" si="10">SUM(F95:G95)</f>
        <v>0</v>
      </c>
      <c r="J95" s="827" t="s">
        <v>364</v>
      </c>
      <c r="K95" s="828" t="s">
        <v>175</v>
      </c>
      <c r="L95" s="830">
        <f>'Mobile-Detail Calcs'!M210</f>
        <v>0</v>
      </c>
      <c r="M95" s="830">
        <f>'Mobile-Detail Calcs'!$V$210</f>
        <v>0</v>
      </c>
      <c r="N95" s="830">
        <f t="shared" ref="N95:N117" si="11">SUM(L95:M95)</f>
        <v>0</v>
      </c>
      <c r="P95" s="631">
        <v>0</v>
      </c>
      <c r="Q95" s="631">
        <v>0</v>
      </c>
      <c r="R95" s="631">
        <v>0</v>
      </c>
      <c r="S95" s="631">
        <v>0</v>
      </c>
      <c r="T95" s="631">
        <v>0</v>
      </c>
      <c r="U95" s="631">
        <v>0</v>
      </c>
      <c r="V95" s="631">
        <v>0</v>
      </c>
      <c r="W95" s="631">
        <v>0</v>
      </c>
      <c r="X95" s="631">
        <v>0</v>
      </c>
      <c r="Y95" s="631">
        <v>0</v>
      </c>
      <c r="Z95" s="631">
        <v>0</v>
      </c>
      <c r="AA95" s="631">
        <v>0</v>
      </c>
      <c r="AB95" s="631">
        <v>0</v>
      </c>
      <c r="AC95" s="631">
        <v>0</v>
      </c>
      <c r="AD95" s="631">
        <v>0</v>
      </c>
      <c r="AE95" s="631">
        <v>0</v>
      </c>
      <c r="AF95" s="631">
        <v>0</v>
      </c>
      <c r="AG95" s="631">
        <v>0</v>
      </c>
      <c r="AH95" s="631">
        <v>0</v>
      </c>
      <c r="AI95" s="631">
        <v>0</v>
      </c>
      <c r="AJ95" s="625">
        <f t="shared" ref="AJ95:AJ117" si="12">SUM(P95:AI95)</f>
        <v>0</v>
      </c>
    </row>
    <row r="96" spans="2:36" ht="27" thickBot="1">
      <c r="B96" s="831" t="s">
        <v>351</v>
      </c>
      <c r="C96" s="832" t="s">
        <v>175</v>
      </c>
      <c r="D96" s="833">
        <f>IF(SUMIF('Mobile-Data'!$G$9:$G$1048576,C96, 'Mobile-Data'!$H$9:$H$1048576)=0,0,SUMIFS('Mobile-Data'!$H$9:$H$1048576, 'Mobile-Data'!$E$9:$E$1048576,B96, 'Mobile-Data'!$G$9:$G$1048576,C96)/SUMIF('Mobile-Data'!$G$9:$G$1048576,C96, 'Mobile-Data'!$H$9:$H$1048576))</f>
        <v>0</v>
      </c>
      <c r="E96" s="833">
        <f>'Mobile-Detail Calcs'!$C$149</f>
        <v>0</v>
      </c>
      <c r="F96" s="824">
        <f t="shared" si="8"/>
        <v>0</v>
      </c>
      <c r="G96" s="599">
        <f t="shared" si="9"/>
        <v>0</v>
      </c>
      <c r="H96" s="632">
        <f t="shared" si="10"/>
        <v>0</v>
      </c>
      <c r="J96" s="831" t="s">
        <v>351</v>
      </c>
      <c r="K96" s="832" t="s">
        <v>175</v>
      </c>
      <c r="L96" s="834">
        <f>'Mobile-Detail Calcs'!N210</f>
        <v>0</v>
      </c>
      <c r="M96" s="834">
        <f>'Mobile-Detail Calcs'!$W$210</f>
        <v>0</v>
      </c>
      <c r="N96" s="834">
        <f t="shared" si="11"/>
        <v>0</v>
      </c>
      <c r="P96" s="631">
        <v>0</v>
      </c>
      <c r="Q96" s="631">
        <v>0</v>
      </c>
      <c r="R96" s="631">
        <v>0</v>
      </c>
      <c r="S96" s="631">
        <v>0</v>
      </c>
      <c r="T96" s="631">
        <v>0</v>
      </c>
      <c r="U96" s="631">
        <v>0</v>
      </c>
      <c r="V96" s="631">
        <v>0</v>
      </c>
      <c r="W96" s="631">
        <v>0</v>
      </c>
      <c r="X96" s="631">
        <v>0</v>
      </c>
      <c r="Y96" s="631">
        <v>0</v>
      </c>
      <c r="Z96" s="631">
        <v>0</v>
      </c>
      <c r="AA96" s="631">
        <v>0</v>
      </c>
      <c r="AB96" s="631">
        <v>0</v>
      </c>
      <c r="AC96" s="631">
        <v>0</v>
      </c>
      <c r="AD96" s="631">
        <v>0</v>
      </c>
      <c r="AE96" s="631">
        <v>0</v>
      </c>
      <c r="AF96" s="631">
        <v>0</v>
      </c>
      <c r="AG96" s="631">
        <v>0</v>
      </c>
      <c r="AH96" s="631">
        <v>0</v>
      </c>
      <c r="AI96" s="631">
        <v>0</v>
      </c>
      <c r="AJ96" s="625">
        <f t="shared" si="12"/>
        <v>0</v>
      </c>
    </row>
    <row r="97" spans="2:36" ht="15" thickTop="1">
      <c r="B97" s="626" t="s">
        <v>347</v>
      </c>
      <c r="C97" s="627" t="s">
        <v>172</v>
      </c>
      <c r="D97" s="628">
        <f>IF(SUMIF('Mobile-Data'!$G$9:$G$1048576,C97, 'Mobile-Data'!$H$9:$H$1048576)=0,0,SUMIFS('Mobile-Data'!$H$9:$H$1048576, 'Mobile-Data'!$E$9:$E$1048576,B97, 'Mobile-Data'!$G$9:$G$1048576,C97)/SUMIF('Mobile-Data'!$G$9:$G$1048576,C97, 'Mobile-Data'!$H$9:$H$1048576))</f>
        <v>0</v>
      </c>
      <c r="E97" s="628">
        <f>'Mobile-Detail Calcs'!$D$149</f>
        <v>0</v>
      </c>
      <c r="F97" s="600">
        <f t="shared" si="8"/>
        <v>0</v>
      </c>
      <c r="G97" s="633">
        <f t="shared" si="9"/>
        <v>0</v>
      </c>
      <c r="H97" s="634">
        <f t="shared" si="10"/>
        <v>0</v>
      </c>
      <c r="J97" s="626" t="s">
        <v>347</v>
      </c>
      <c r="K97" s="627" t="s">
        <v>172</v>
      </c>
      <c r="L97" s="629">
        <f>'Mobile-Detail Calcs'!O210</f>
        <v>0</v>
      </c>
      <c r="M97" s="629">
        <f>'Mobile-Detail Calcs'!$X$210</f>
        <v>0</v>
      </c>
      <c r="N97" s="629">
        <f t="shared" si="11"/>
        <v>0</v>
      </c>
      <c r="P97" s="631">
        <v>0</v>
      </c>
      <c r="Q97" s="631">
        <v>0</v>
      </c>
      <c r="R97" s="631">
        <v>0</v>
      </c>
      <c r="S97" s="631">
        <v>0</v>
      </c>
      <c r="T97" s="631">
        <v>0</v>
      </c>
      <c r="U97" s="631">
        <v>0</v>
      </c>
      <c r="V97" s="631">
        <v>0</v>
      </c>
      <c r="W97" s="631">
        <v>0</v>
      </c>
      <c r="X97" s="631">
        <v>0</v>
      </c>
      <c r="Y97" s="631">
        <v>0</v>
      </c>
      <c r="Z97" s="631">
        <v>0</v>
      </c>
      <c r="AA97" s="631">
        <v>0</v>
      </c>
      <c r="AB97" s="631">
        <v>0</v>
      </c>
      <c r="AC97" s="631">
        <v>0</v>
      </c>
      <c r="AD97" s="631">
        <v>0</v>
      </c>
      <c r="AE97" s="631">
        <v>0</v>
      </c>
      <c r="AF97" s="631">
        <v>0</v>
      </c>
      <c r="AG97" s="631">
        <v>0</v>
      </c>
      <c r="AH97" s="631">
        <v>0</v>
      </c>
      <c r="AI97" s="631">
        <v>0</v>
      </c>
      <c r="AJ97" s="625">
        <f t="shared" si="12"/>
        <v>0</v>
      </c>
    </row>
    <row r="98" spans="2:36" ht="39.5">
      <c r="B98" s="827" t="s">
        <v>364</v>
      </c>
      <c r="C98" s="828" t="s">
        <v>172</v>
      </c>
      <c r="D98" s="829">
        <f>IF(SUMIF('Mobile-Data'!$G$9:$G$1048576,C98, 'Mobile-Data'!$H$9:$H$1048576)=0,0,SUMIFS('Mobile-Data'!$H$9:$H$1048576, 'Mobile-Data'!$E$9:$E$1048576,B98, 'Mobile-Data'!$G$9:$G$1048576,C98)/SUMIF('Mobile-Data'!$G$9:$G$1048576,C98, 'Mobile-Data'!$H$9:$H$1048576))</f>
        <v>0</v>
      </c>
      <c r="E98" s="829">
        <f>'Mobile-Detail Calcs'!$D$149</f>
        <v>0</v>
      </c>
      <c r="F98" s="818">
        <f t="shared" si="8"/>
        <v>0</v>
      </c>
      <c r="G98" s="600">
        <f t="shared" si="9"/>
        <v>0</v>
      </c>
      <c r="H98" s="629">
        <f t="shared" si="10"/>
        <v>0</v>
      </c>
      <c r="J98" s="827" t="s">
        <v>364</v>
      </c>
      <c r="K98" s="828" t="s">
        <v>172</v>
      </c>
      <c r="L98" s="830">
        <f>'Mobile-Detail Calcs'!P210</f>
        <v>0</v>
      </c>
      <c r="M98" s="830">
        <f>'Mobile-Detail Calcs'!$Y$210</f>
        <v>0</v>
      </c>
      <c r="N98" s="830">
        <f t="shared" si="11"/>
        <v>0</v>
      </c>
      <c r="P98" s="631">
        <v>0</v>
      </c>
      <c r="Q98" s="631">
        <v>0</v>
      </c>
      <c r="R98" s="631">
        <v>0</v>
      </c>
      <c r="S98" s="631">
        <v>0</v>
      </c>
      <c r="T98" s="631">
        <v>0</v>
      </c>
      <c r="U98" s="631">
        <v>0</v>
      </c>
      <c r="V98" s="631">
        <v>0</v>
      </c>
      <c r="W98" s="631">
        <v>0</v>
      </c>
      <c r="X98" s="631">
        <v>0</v>
      </c>
      <c r="Y98" s="631">
        <v>0</v>
      </c>
      <c r="Z98" s="631">
        <v>0</v>
      </c>
      <c r="AA98" s="631">
        <v>0</v>
      </c>
      <c r="AB98" s="631">
        <v>0</v>
      </c>
      <c r="AC98" s="631">
        <v>0</v>
      </c>
      <c r="AD98" s="631">
        <v>0</v>
      </c>
      <c r="AE98" s="631">
        <v>0</v>
      </c>
      <c r="AF98" s="631">
        <v>0</v>
      </c>
      <c r="AG98" s="631">
        <v>0</v>
      </c>
      <c r="AH98" s="631">
        <v>0</v>
      </c>
      <c r="AI98" s="631">
        <v>0</v>
      </c>
      <c r="AJ98" s="625">
        <f t="shared" si="12"/>
        <v>0</v>
      </c>
    </row>
    <row r="99" spans="2:36" ht="27" thickBot="1">
      <c r="B99" s="831" t="s">
        <v>351</v>
      </c>
      <c r="C99" s="832" t="s">
        <v>172</v>
      </c>
      <c r="D99" s="833">
        <f>IF(SUMIF('Mobile-Data'!$G$9:$G$1048576,C99, 'Mobile-Data'!$H$9:$H$1048576)=0,0,SUMIFS('Mobile-Data'!$H$9:$H$1048576, 'Mobile-Data'!$E$9:$E$1048576,B99, 'Mobile-Data'!$G$9:$G$1048576,C99)/SUMIF('Mobile-Data'!$G$9:$G$1048576,C99, 'Mobile-Data'!$H$9:$H$1048576))</f>
        <v>0</v>
      </c>
      <c r="E99" s="833">
        <f>'Mobile-Detail Calcs'!$D$149</f>
        <v>0</v>
      </c>
      <c r="F99" s="824">
        <f t="shared" si="8"/>
        <v>0</v>
      </c>
      <c r="G99" s="599">
        <f t="shared" si="9"/>
        <v>0</v>
      </c>
      <c r="H99" s="632">
        <f t="shared" si="10"/>
        <v>0</v>
      </c>
      <c r="J99" s="831" t="s">
        <v>351</v>
      </c>
      <c r="K99" s="832" t="s">
        <v>172</v>
      </c>
      <c r="L99" s="834">
        <f>'Mobile-Detail Calcs'!Q210</f>
        <v>0</v>
      </c>
      <c r="M99" s="834">
        <f>'Mobile-Detail Calcs'!$Z$210</f>
        <v>0</v>
      </c>
      <c r="N99" s="834">
        <f t="shared" si="11"/>
        <v>0</v>
      </c>
      <c r="P99" s="631">
        <v>0</v>
      </c>
      <c r="Q99" s="631">
        <v>0</v>
      </c>
      <c r="R99" s="631">
        <v>0</v>
      </c>
      <c r="S99" s="631">
        <v>0</v>
      </c>
      <c r="T99" s="631">
        <v>0</v>
      </c>
      <c r="U99" s="631">
        <v>0</v>
      </c>
      <c r="V99" s="631">
        <v>0</v>
      </c>
      <c r="W99" s="631">
        <v>0</v>
      </c>
      <c r="X99" s="631">
        <v>0</v>
      </c>
      <c r="Y99" s="631">
        <v>0</v>
      </c>
      <c r="Z99" s="631">
        <v>0</v>
      </c>
      <c r="AA99" s="631">
        <v>0</v>
      </c>
      <c r="AB99" s="631">
        <v>0</v>
      </c>
      <c r="AC99" s="631">
        <v>0</v>
      </c>
      <c r="AD99" s="631">
        <v>0</v>
      </c>
      <c r="AE99" s="631">
        <v>0</v>
      </c>
      <c r="AF99" s="631">
        <v>0</v>
      </c>
      <c r="AG99" s="631">
        <v>0</v>
      </c>
      <c r="AH99" s="631">
        <v>0</v>
      </c>
      <c r="AI99" s="631">
        <v>0</v>
      </c>
      <c r="AJ99" s="625">
        <f t="shared" si="12"/>
        <v>0</v>
      </c>
    </row>
    <row r="100" spans="2:36" ht="15" thickTop="1">
      <c r="B100" s="626" t="s">
        <v>347</v>
      </c>
      <c r="C100" s="627" t="s">
        <v>377</v>
      </c>
      <c r="D100" s="628">
        <f>IF(SUMIF('Mobile-Data'!$G$9:$G$1048576,C100, 'Mobile-Data'!$H$9:$H$1048576)=0,0,SUMIFS('Mobile-Data'!$H$9:$H$1048576, 'Mobile-Data'!$E$9:$E$1048576,B100, 'Mobile-Data'!$G$9:$G$1048576,C100)/SUMIF('Mobile-Data'!$G$9:$G$1048576,C100, 'Mobile-Data'!$H$9:$H$1048576))</f>
        <v>0</v>
      </c>
      <c r="E100" s="628">
        <f>'Mobile-Detail Calcs'!$E$149</f>
        <v>0</v>
      </c>
      <c r="F100" s="600">
        <f t="shared" si="8"/>
        <v>0</v>
      </c>
      <c r="G100" s="633">
        <f t="shared" si="9"/>
        <v>0</v>
      </c>
      <c r="H100" s="634">
        <f t="shared" si="10"/>
        <v>0</v>
      </c>
      <c r="J100" s="635" t="s">
        <v>347</v>
      </c>
      <c r="K100" s="627" t="s">
        <v>377</v>
      </c>
      <c r="L100" s="629">
        <f>'Mobile-Detail Calcs'!L220</f>
        <v>0</v>
      </c>
      <c r="M100" s="629">
        <f>'Mobile-Detail Calcs'!U220</f>
        <v>0</v>
      </c>
      <c r="N100" s="629">
        <f t="shared" si="11"/>
        <v>0</v>
      </c>
      <c r="P100" s="631">
        <v>0</v>
      </c>
      <c r="Q100" s="631">
        <v>0</v>
      </c>
      <c r="R100" s="631">
        <v>0</v>
      </c>
      <c r="S100" s="631">
        <v>0</v>
      </c>
      <c r="T100" s="631">
        <v>0</v>
      </c>
      <c r="U100" s="631">
        <v>0</v>
      </c>
      <c r="V100" s="631">
        <v>0</v>
      </c>
      <c r="W100" s="631">
        <v>0</v>
      </c>
      <c r="X100" s="631">
        <v>0</v>
      </c>
      <c r="Y100" s="631">
        <v>0</v>
      </c>
      <c r="Z100" s="631">
        <v>0</v>
      </c>
      <c r="AA100" s="631">
        <v>0</v>
      </c>
      <c r="AB100" s="631">
        <v>0</v>
      </c>
      <c r="AC100" s="631">
        <v>0</v>
      </c>
      <c r="AD100" s="631">
        <v>0</v>
      </c>
      <c r="AE100" s="631">
        <v>0</v>
      </c>
      <c r="AF100" s="631">
        <v>0</v>
      </c>
      <c r="AG100" s="631">
        <v>0</v>
      </c>
      <c r="AH100" s="631">
        <v>0</v>
      </c>
      <c r="AI100" s="631">
        <v>0</v>
      </c>
      <c r="AJ100" s="625">
        <f t="shared" si="12"/>
        <v>0</v>
      </c>
    </row>
    <row r="101" spans="2:36" ht="39.5">
      <c r="B101" s="827" t="s">
        <v>364</v>
      </c>
      <c r="C101" s="828" t="s">
        <v>377</v>
      </c>
      <c r="D101" s="829">
        <f>IF(SUMIF('Mobile-Data'!$G$9:$G$1048576,C101, 'Mobile-Data'!$H$9:$H$1048576)=0,0,SUMIFS('Mobile-Data'!$H$9:$H$1048576, 'Mobile-Data'!$E$9:$E$1048576,B101, 'Mobile-Data'!$G$9:$G$1048576,C101)/SUMIF('Mobile-Data'!$G$9:$G$1048576,C101, 'Mobile-Data'!$H$9:$H$1048576))</f>
        <v>0</v>
      </c>
      <c r="E101" s="829">
        <f>'Mobile-Detail Calcs'!$E$149</f>
        <v>0</v>
      </c>
      <c r="F101" s="818">
        <f t="shared" si="8"/>
        <v>0</v>
      </c>
      <c r="G101" s="600">
        <f t="shared" si="9"/>
        <v>0</v>
      </c>
      <c r="H101" s="629">
        <f t="shared" si="10"/>
        <v>0</v>
      </c>
      <c r="J101" s="827" t="s">
        <v>364</v>
      </c>
      <c r="K101" s="828" t="s">
        <v>377</v>
      </c>
      <c r="L101" s="830">
        <f>'Mobile-Detail Calcs'!M220</f>
        <v>0</v>
      </c>
      <c r="M101" s="830">
        <f>'Mobile-Detail Calcs'!V220</f>
        <v>0</v>
      </c>
      <c r="N101" s="830">
        <f t="shared" si="11"/>
        <v>0</v>
      </c>
      <c r="P101" s="631">
        <v>0</v>
      </c>
      <c r="Q101" s="631">
        <v>0</v>
      </c>
      <c r="R101" s="631">
        <v>0</v>
      </c>
      <c r="S101" s="631">
        <v>0</v>
      </c>
      <c r="T101" s="631">
        <v>0</v>
      </c>
      <c r="U101" s="631">
        <v>0</v>
      </c>
      <c r="V101" s="631">
        <v>0</v>
      </c>
      <c r="W101" s="631">
        <v>0</v>
      </c>
      <c r="X101" s="631">
        <v>0</v>
      </c>
      <c r="Y101" s="631">
        <v>0</v>
      </c>
      <c r="Z101" s="631">
        <v>0</v>
      </c>
      <c r="AA101" s="631">
        <v>0</v>
      </c>
      <c r="AB101" s="631">
        <v>0</v>
      </c>
      <c r="AC101" s="631">
        <v>0</v>
      </c>
      <c r="AD101" s="631">
        <v>0</v>
      </c>
      <c r="AE101" s="631">
        <v>0</v>
      </c>
      <c r="AF101" s="631">
        <v>0</v>
      </c>
      <c r="AG101" s="631">
        <v>0</v>
      </c>
      <c r="AH101" s="631">
        <v>0</v>
      </c>
      <c r="AI101" s="631">
        <v>0</v>
      </c>
      <c r="AJ101" s="625">
        <f t="shared" si="12"/>
        <v>0</v>
      </c>
    </row>
    <row r="102" spans="2:36" ht="27" thickBot="1">
      <c r="B102" s="831" t="s">
        <v>351</v>
      </c>
      <c r="C102" s="832" t="s">
        <v>377</v>
      </c>
      <c r="D102" s="833">
        <f>IF(SUMIF('Mobile-Data'!$G$9:$G$1048576,C102, 'Mobile-Data'!$H$9:$H$1048576)=0,0,SUMIFS('Mobile-Data'!$H$9:$H$1048576, 'Mobile-Data'!$E$9:$E$1048576,B102, 'Mobile-Data'!$G$9:$G$1048576,C102)/SUMIF('Mobile-Data'!$G$9:$G$1048576,C102, 'Mobile-Data'!$H$9:$H$1048576))</f>
        <v>0</v>
      </c>
      <c r="E102" s="833">
        <f>'Mobile-Detail Calcs'!$E$149</f>
        <v>0</v>
      </c>
      <c r="F102" s="824">
        <f t="shared" si="8"/>
        <v>0</v>
      </c>
      <c r="G102" s="599">
        <f t="shared" si="9"/>
        <v>0</v>
      </c>
      <c r="H102" s="632">
        <f t="shared" si="10"/>
        <v>0</v>
      </c>
      <c r="J102" s="831" t="s">
        <v>351</v>
      </c>
      <c r="K102" s="832" t="s">
        <v>377</v>
      </c>
      <c r="L102" s="834">
        <f>'Mobile-Detail Calcs'!N220</f>
        <v>0</v>
      </c>
      <c r="M102" s="834">
        <f>'Mobile-Detail Calcs'!W220</f>
        <v>0</v>
      </c>
      <c r="N102" s="834">
        <f t="shared" si="11"/>
        <v>0</v>
      </c>
      <c r="P102" s="631">
        <v>0</v>
      </c>
      <c r="Q102" s="631">
        <v>0</v>
      </c>
      <c r="R102" s="631">
        <v>0</v>
      </c>
      <c r="S102" s="631">
        <v>0</v>
      </c>
      <c r="T102" s="631">
        <v>0</v>
      </c>
      <c r="U102" s="631">
        <v>0</v>
      </c>
      <c r="V102" s="631">
        <v>0</v>
      </c>
      <c r="W102" s="631">
        <v>0</v>
      </c>
      <c r="X102" s="631">
        <v>0</v>
      </c>
      <c r="Y102" s="631">
        <v>0</v>
      </c>
      <c r="Z102" s="631">
        <v>0</v>
      </c>
      <c r="AA102" s="631">
        <v>0</v>
      </c>
      <c r="AB102" s="631">
        <v>0</v>
      </c>
      <c r="AC102" s="631">
        <v>0</v>
      </c>
      <c r="AD102" s="631">
        <v>0</v>
      </c>
      <c r="AE102" s="631">
        <v>0</v>
      </c>
      <c r="AF102" s="631">
        <v>0</v>
      </c>
      <c r="AG102" s="631">
        <v>0</v>
      </c>
      <c r="AH102" s="631">
        <v>0</v>
      </c>
      <c r="AI102" s="631">
        <v>0</v>
      </c>
      <c r="AJ102" s="625">
        <f t="shared" si="12"/>
        <v>0</v>
      </c>
    </row>
    <row r="103" spans="2:36" ht="26.5" thickTop="1">
      <c r="B103" s="626" t="s">
        <v>347</v>
      </c>
      <c r="C103" s="627" t="s">
        <v>378</v>
      </c>
      <c r="D103" s="628">
        <f>IF(SUMIF('Mobile-Data'!$G$9:$G$1048576,C103, 'Mobile-Data'!$H$9:$H$1048576)=0,0,SUMIFS('Mobile-Data'!$H$9:$H$1048576, 'Mobile-Data'!$E$9:$E$1048576,B103, 'Mobile-Data'!$G$9:$G$1048576,C103)/SUMIF('Mobile-Data'!$G$9:$G$1048576,C103, 'Mobile-Data'!$H$9:$H$1048576))</f>
        <v>0</v>
      </c>
      <c r="E103" s="628">
        <f>'Mobile-Detail Calcs'!$F$149</f>
        <v>0</v>
      </c>
      <c r="F103" s="600">
        <f t="shared" si="8"/>
        <v>0</v>
      </c>
      <c r="G103" s="633">
        <f t="shared" si="9"/>
        <v>0</v>
      </c>
      <c r="H103" s="634">
        <f t="shared" si="10"/>
        <v>0</v>
      </c>
      <c r="J103" s="626" t="s">
        <v>347</v>
      </c>
      <c r="K103" s="627" t="s">
        <v>378</v>
      </c>
      <c r="L103" s="629">
        <f>'Mobile-Detail Calcs'!L221</f>
        <v>0</v>
      </c>
      <c r="M103" s="629">
        <f>'Mobile-Detail Calcs'!U221</f>
        <v>0</v>
      </c>
      <c r="N103" s="629">
        <f t="shared" si="11"/>
        <v>0</v>
      </c>
      <c r="P103" s="631">
        <v>0</v>
      </c>
      <c r="Q103" s="631">
        <v>0</v>
      </c>
      <c r="R103" s="631">
        <v>0</v>
      </c>
      <c r="S103" s="631">
        <v>0</v>
      </c>
      <c r="T103" s="631">
        <v>0</v>
      </c>
      <c r="U103" s="631">
        <v>0</v>
      </c>
      <c r="V103" s="631">
        <v>0</v>
      </c>
      <c r="W103" s="631">
        <v>0</v>
      </c>
      <c r="X103" s="631">
        <v>0</v>
      </c>
      <c r="Y103" s="631">
        <v>0</v>
      </c>
      <c r="Z103" s="631">
        <v>0</v>
      </c>
      <c r="AA103" s="631">
        <v>0</v>
      </c>
      <c r="AB103" s="631">
        <v>0</v>
      </c>
      <c r="AC103" s="631">
        <v>0</v>
      </c>
      <c r="AD103" s="631">
        <v>0</v>
      </c>
      <c r="AE103" s="631">
        <v>0</v>
      </c>
      <c r="AF103" s="631">
        <v>0</v>
      </c>
      <c r="AG103" s="631">
        <v>0</v>
      </c>
      <c r="AH103" s="631">
        <v>0</v>
      </c>
      <c r="AI103" s="631">
        <v>0</v>
      </c>
      <c r="AJ103" s="625">
        <f t="shared" si="12"/>
        <v>0</v>
      </c>
    </row>
    <row r="104" spans="2:36" ht="39.5">
      <c r="B104" s="827" t="s">
        <v>364</v>
      </c>
      <c r="C104" s="828" t="s">
        <v>378</v>
      </c>
      <c r="D104" s="829">
        <f>IF(SUMIF('Mobile-Data'!$G$9:$G$1048576,C104, 'Mobile-Data'!$H$9:$H$1048576)=0,0,SUMIFS('Mobile-Data'!$H$9:$H$1048576, 'Mobile-Data'!$E$9:$E$1048576,B104, 'Mobile-Data'!$G$9:$G$1048576,C104)/SUMIF('Mobile-Data'!$G$9:$G$1048576,C104, 'Mobile-Data'!$H$9:$H$1048576))</f>
        <v>0</v>
      </c>
      <c r="E104" s="829">
        <f>'Mobile-Detail Calcs'!$F$149</f>
        <v>0</v>
      </c>
      <c r="F104" s="818">
        <f t="shared" si="8"/>
        <v>0</v>
      </c>
      <c r="G104" s="600">
        <f t="shared" si="9"/>
        <v>0</v>
      </c>
      <c r="H104" s="629">
        <f t="shared" si="10"/>
        <v>0</v>
      </c>
      <c r="J104" s="827" t="s">
        <v>364</v>
      </c>
      <c r="K104" s="828" t="s">
        <v>378</v>
      </c>
      <c r="L104" s="830">
        <f>'Mobile-Detail Calcs'!M221</f>
        <v>0</v>
      </c>
      <c r="M104" s="830">
        <f>'Mobile-Detail Calcs'!V221</f>
        <v>0</v>
      </c>
      <c r="N104" s="830">
        <f t="shared" si="11"/>
        <v>0</v>
      </c>
      <c r="P104" s="631">
        <v>0</v>
      </c>
      <c r="Q104" s="631">
        <v>0</v>
      </c>
      <c r="R104" s="631">
        <v>0</v>
      </c>
      <c r="S104" s="631">
        <v>0</v>
      </c>
      <c r="T104" s="631">
        <v>0</v>
      </c>
      <c r="U104" s="631">
        <v>0</v>
      </c>
      <c r="V104" s="631">
        <v>0</v>
      </c>
      <c r="W104" s="631">
        <v>0</v>
      </c>
      <c r="X104" s="631">
        <v>0</v>
      </c>
      <c r="Y104" s="631">
        <v>0</v>
      </c>
      <c r="Z104" s="631">
        <v>0</v>
      </c>
      <c r="AA104" s="631">
        <v>0</v>
      </c>
      <c r="AB104" s="631">
        <v>0</v>
      </c>
      <c r="AC104" s="631">
        <v>0</v>
      </c>
      <c r="AD104" s="631">
        <v>0</v>
      </c>
      <c r="AE104" s="631">
        <v>0</v>
      </c>
      <c r="AF104" s="631">
        <v>0</v>
      </c>
      <c r="AG104" s="631">
        <v>0</v>
      </c>
      <c r="AH104" s="631">
        <v>0</v>
      </c>
      <c r="AI104" s="631">
        <v>0</v>
      </c>
      <c r="AJ104" s="625">
        <f t="shared" si="12"/>
        <v>0</v>
      </c>
    </row>
    <row r="105" spans="2:36" ht="27" thickBot="1">
      <c r="B105" s="831" t="s">
        <v>351</v>
      </c>
      <c r="C105" s="832" t="s">
        <v>378</v>
      </c>
      <c r="D105" s="833">
        <f>IF(SUMIF('Mobile-Data'!$G$9:$G$1048576,C105, 'Mobile-Data'!$H$9:$H$1048576)=0,0,SUMIFS('Mobile-Data'!$H$9:$H$1048576, 'Mobile-Data'!$E$9:$E$1048576,B105, 'Mobile-Data'!$G$9:$G$1048576,C105)/SUMIF('Mobile-Data'!$G$9:$G$1048576,C105, 'Mobile-Data'!$H$9:$H$1048576))</f>
        <v>0</v>
      </c>
      <c r="E105" s="833">
        <f>'Mobile-Detail Calcs'!$F$149</f>
        <v>0</v>
      </c>
      <c r="F105" s="824">
        <f t="shared" si="8"/>
        <v>0</v>
      </c>
      <c r="G105" s="599">
        <f t="shared" si="9"/>
        <v>0</v>
      </c>
      <c r="H105" s="632">
        <f t="shared" si="10"/>
        <v>0</v>
      </c>
      <c r="J105" s="636" t="s">
        <v>351</v>
      </c>
      <c r="K105" s="637" t="s">
        <v>378</v>
      </c>
      <c r="L105" s="638">
        <f>'Mobile-Detail Calcs'!N221</f>
        <v>0</v>
      </c>
      <c r="M105" s="638">
        <f>'Mobile-Detail Calcs'!W221</f>
        <v>0</v>
      </c>
      <c r="N105" s="638">
        <f t="shared" si="11"/>
        <v>0</v>
      </c>
      <c r="P105" s="631">
        <v>0</v>
      </c>
      <c r="Q105" s="631">
        <v>0</v>
      </c>
      <c r="R105" s="631">
        <v>0</v>
      </c>
      <c r="S105" s="631">
        <v>0</v>
      </c>
      <c r="T105" s="631">
        <v>0</v>
      </c>
      <c r="U105" s="631">
        <v>0</v>
      </c>
      <c r="V105" s="631">
        <v>0</v>
      </c>
      <c r="W105" s="631">
        <v>0</v>
      </c>
      <c r="X105" s="631">
        <v>0</v>
      </c>
      <c r="Y105" s="631">
        <v>0</v>
      </c>
      <c r="Z105" s="631">
        <v>0</v>
      </c>
      <c r="AA105" s="631">
        <v>0</v>
      </c>
      <c r="AB105" s="631">
        <v>0</v>
      </c>
      <c r="AC105" s="631">
        <v>0</v>
      </c>
      <c r="AD105" s="631">
        <v>0</v>
      </c>
      <c r="AE105" s="631">
        <v>0</v>
      </c>
      <c r="AF105" s="631">
        <v>0</v>
      </c>
      <c r="AG105" s="631">
        <v>0</v>
      </c>
      <c r="AH105" s="631">
        <v>0</v>
      </c>
      <c r="AI105" s="631">
        <v>0</v>
      </c>
      <c r="AJ105" s="625">
        <f t="shared" si="12"/>
        <v>0</v>
      </c>
    </row>
    <row r="106" spans="2:36" ht="15" thickTop="1">
      <c r="B106" s="626" t="s">
        <v>347</v>
      </c>
      <c r="C106" s="627" t="s">
        <v>408</v>
      </c>
      <c r="D106" s="628">
        <f>IF(SUMIF('Mobile-Data'!$G$9:$G$1048576,C106, 'Mobile-Data'!$H$9:$H$1048576)=0,0,SUMIFS('Mobile-Data'!$H$9:$H$1048576, 'Mobile-Data'!$E$9:$E$1048576,B106, 'Mobile-Data'!$G$9:$G$1048576,C106)/SUMIF('Mobile-Data'!$G$9:$G$1048576,C106, 'Mobile-Data'!$H$9:$H$1048576))</f>
        <v>0</v>
      </c>
      <c r="E106" s="628">
        <f>'Mobile-Detail Calcs'!$G$149</f>
        <v>0</v>
      </c>
      <c r="F106" s="600">
        <f t="shared" si="8"/>
        <v>0</v>
      </c>
      <c r="G106" s="633">
        <f t="shared" si="9"/>
        <v>0</v>
      </c>
      <c r="H106" s="634">
        <f t="shared" si="10"/>
        <v>0</v>
      </c>
      <c r="J106" s="635" t="s">
        <v>347</v>
      </c>
      <c r="K106" s="639" t="s">
        <v>408</v>
      </c>
      <c r="L106" s="634">
        <f>'Mobile-Detail Calcs'!L219</f>
        <v>0</v>
      </c>
      <c r="M106" s="640">
        <f>'Mobile-Detail Calcs'!U219</f>
        <v>0</v>
      </c>
      <c r="N106" s="640">
        <f t="shared" si="11"/>
        <v>0</v>
      </c>
      <c r="P106" s="631">
        <v>0</v>
      </c>
      <c r="Q106" s="631">
        <v>0</v>
      </c>
      <c r="R106" s="631">
        <v>0</v>
      </c>
      <c r="S106" s="631">
        <v>0</v>
      </c>
      <c r="T106" s="631">
        <v>0</v>
      </c>
      <c r="U106" s="631">
        <v>0</v>
      </c>
      <c r="V106" s="631">
        <v>0</v>
      </c>
      <c r="W106" s="631">
        <v>0</v>
      </c>
      <c r="X106" s="631">
        <v>0</v>
      </c>
      <c r="Y106" s="631">
        <v>0</v>
      </c>
      <c r="Z106" s="631">
        <v>0</v>
      </c>
      <c r="AA106" s="631">
        <v>0</v>
      </c>
      <c r="AB106" s="631">
        <v>0</v>
      </c>
      <c r="AC106" s="631">
        <v>0</v>
      </c>
      <c r="AD106" s="631">
        <v>0</v>
      </c>
      <c r="AE106" s="631">
        <v>0</v>
      </c>
      <c r="AF106" s="631">
        <v>0</v>
      </c>
      <c r="AG106" s="631">
        <v>0</v>
      </c>
      <c r="AH106" s="631">
        <v>0</v>
      </c>
      <c r="AI106" s="631">
        <v>0</v>
      </c>
      <c r="AJ106" s="625">
        <f t="shared" si="12"/>
        <v>0</v>
      </c>
    </row>
    <row r="107" spans="2:36" ht="39.5">
      <c r="B107" s="827" t="s">
        <v>364</v>
      </c>
      <c r="C107" s="828" t="s">
        <v>408</v>
      </c>
      <c r="D107" s="829">
        <f>IF(SUMIF('Mobile-Data'!$G$9:$G$1048576,C107, 'Mobile-Data'!$H$9:$H$1048576)=0,0,SUMIFS('Mobile-Data'!$H$9:$H$1048576, 'Mobile-Data'!$E$9:$E$1048576,B107, 'Mobile-Data'!$G$9:$G$1048576,C107)/SUMIF('Mobile-Data'!$G$9:$G$1048576,C107, 'Mobile-Data'!$H$9:$H$1048576))</f>
        <v>0</v>
      </c>
      <c r="E107" s="829">
        <f>'Mobile-Detail Calcs'!$G$149</f>
        <v>0</v>
      </c>
      <c r="F107" s="818">
        <f t="shared" ref="F107:F117" si="13">D107*E107</f>
        <v>0</v>
      </c>
      <c r="G107" s="600">
        <f t="shared" si="9"/>
        <v>0</v>
      </c>
      <c r="H107" s="629">
        <f t="shared" si="10"/>
        <v>0</v>
      </c>
      <c r="J107" s="827" t="s">
        <v>364</v>
      </c>
      <c r="K107" s="828" t="s">
        <v>408</v>
      </c>
      <c r="L107" s="830">
        <f>'Mobile-Detail Calcs'!M219</f>
        <v>0</v>
      </c>
      <c r="M107" s="835">
        <f>'Mobile-Detail Calcs'!V219</f>
        <v>0</v>
      </c>
      <c r="N107" s="835">
        <f t="shared" si="11"/>
        <v>0</v>
      </c>
      <c r="P107" s="631">
        <v>0</v>
      </c>
      <c r="Q107" s="631">
        <v>0</v>
      </c>
      <c r="R107" s="631">
        <v>0</v>
      </c>
      <c r="S107" s="631">
        <v>0</v>
      </c>
      <c r="T107" s="631">
        <v>0</v>
      </c>
      <c r="U107" s="631">
        <v>0</v>
      </c>
      <c r="V107" s="631">
        <v>0</v>
      </c>
      <c r="W107" s="631">
        <v>0</v>
      </c>
      <c r="X107" s="631">
        <v>0</v>
      </c>
      <c r="Y107" s="631">
        <v>0</v>
      </c>
      <c r="Z107" s="631">
        <v>0</v>
      </c>
      <c r="AA107" s="631">
        <v>0</v>
      </c>
      <c r="AB107" s="631">
        <v>0</v>
      </c>
      <c r="AC107" s="631">
        <v>0</v>
      </c>
      <c r="AD107" s="631">
        <v>0</v>
      </c>
      <c r="AE107" s="631">
        <v>0</v>
      </c>
      <c r="AF107" s="631">
        <v>0</v>
      </c>
      <c r="AG107" s="631">
        <v>0</v>
      </c>
      <c r="AH107" s="631">
        <v>0</v>
      </c>
      <c r="AI107" s="631">
        <v>0</v>
      </c>
      <c r="AJ107" s="625">
        <f t="shared" si="12"/>
        <v>0</v>
      </c>
    </row>
    <row r="108" spans="2:36" ht="27" thickBot="1">
      <c r="B108" s="831" t="s">
        <v>351</v>
      </c>
      <c r="C108" s="832" t="s">
        <v>408</v>
      </c>
      <c r="D108" s="833">
        <f>IF(SUMIF('Mobile-Data'!$G$9:$G$1048576,C108, 'Mobile-Data'!$H$9:$H$1048576)=0,0,SUMIFS('Mobile-Data'!$H$9:$H$1048576, 'Mobile-Data'!$E$9:$E$1048576,B108, 'Mobile-Data'!$G$9:$G$1048576,C108)/SUMIF('Mobile-Data'!$G$9:$G$1048576,C108, 'Mobile-Data'!$H$9:$H$1048576))</f>
        <v>0</v>
      </c>
      <c r="E108" s="833">
        <f>'Mobile-Detail Calcs'!$G$149</f>
        <v>0</v>
      </c>
      <c r="F108" s="824">
        <f t="shared" si="13"/>
        <v>0</v>
      </c>
      <c r="G108" s="599">
        <f t="shared" si="9"/>
        <v>0</v>
      </c>
      <c r="H108" s="632">
        <f t="shared" si="10"/>
        <v>0</v>
      </c>
      <c r="J108" s="636" t="s">
        <v>351</v>
      </c>
      <c r="K108" s="637" t="s">
        <v>408</v>
      </c>
      <c r="L108" s="638">
        <f>'Mobile-Detail Calcs'!N219</f>
        <v>0</v>
      </c>
      <c r="M108" s="641">
        <f>'Mobile-Detail Calcs'!W219</f>
        <v>0</v>
      </c>
      <c r="N108" s="641">
        <f t="shared" si="11"/>
        <v>0</v>
      </c>
      <c r="P108" s="631">
        <v>0</v>
      </c>
      <c r="Q108" s="631">
        <v>0</v>
      </c>
      <c r="R108" s="631">
        <v>0</v>
      </c>
      <c r="S108" s="631">
        <v>0</v>
      </c>
      <c r="T108" s="631">
        <v>0</v>
      </c>
      <c r="U108" s="631">
        <v>0</v>
      </c>
      <c r="V108" s="631">
        <v>0</v>
      </c>
      <c r="W108" s="631">
        <v>0</v>
      </c>
      <c r="X108" s="631">
        <v>0</v>
      </c>
      <c r="Y108" s="631">
        <v>0</v>
      </c>
      <c r="Z108" s="631">
        <v>0</v>
      </c>
      <c r="AA108" s="631">
        <v>0</v>
      </c>
      <c r="AB108" s="631">
        <v>0</v>
      </c>
      <c r="AC108" s="631">
        <v>0</v>
      </c>
      <c r="AD108" s="631">
        <v>0</v>
      </c>
      <c r="AE108" s="631">
        <v>0</v>
      </c>
      <c r="AF108" s="631">
        <v>0</v>
      </c>
      <c r="AG108" s="631">
        <v>0</v>
      </c>
      <c r="AH108" s="631">
        <v>0</v>
      </c>
      <c r="AI108" s="631">
        <v>0</v>
      </c>
      <c r="AJ108" s="625">
        <f t="shared" si="12"/>
        <v>0</v>
      </c>
    </row>
    <row r="109" spans="2:36" ht="15" thickTop="1">
      <c r="B109" s="626" t="s">
        <v>347</v>
      </c>
      <c r="C109" s="627" t="s">
        <v>380</v>
      </c>
      <c r="D109" s="628">
        <f>IF(SUMIF('Mobile-Data'!$G$9:$G$1048576,C109, 'Mobile-Data'!$H$9:$H$1048576)=0,0,SUMIFS('Mobile-Data'!$H$9:$H$1048576, 'Mobile-Data'!$E$9:$E$1048576,B109, 'Mobile-Data'!$G$9:$G$1048576,C109)/SUMIF('Mobile-Data'!$G$9:$G$1048576,C109, 'Mobile-Data'!$H$9:$H$1048576))</f>
        <v>0</v>
      </c>
      <c r="E109" s="628">
        <f>'Mobile-Detail Calcs'!$H$149</f>
        <v>0</v>
      </c>
      <c r="F109" s="600">
        <f t="shared" si="13"/>
        <v>0</v>
      </c>
      <c r="G109" s="633">
        <f t="shared" si="9"/>
        <v>0</v>
      </c>
      <c r="H109" s="634">
        <f t="shared" si="10"/>
        <v>0</v>
      </c>
      <c r="J109" s="635" t="s">
        <v>347</v>
      </c>
      <c r="K109" s="639" t="s">
        <v>380</v>
      </c>
      <c r="L109" s="634">
        <f>'Mobile-Detail Calcs'!L216</f>
        <v>0</v>
      </c>
      <c r="M109" s="640">
        <f>'Mobile-Detail Calcs'!U216</f>
        <v>0</v>
      </c>
      <c r="N109" s="640">
        <f t="shared" si="11"/>
        <v>0</v>
      </c>
      <c r="P109" s="631">
        <v>0</v>
      </c>
      <c r="Q109" s="631">
        <v>0</v>
      </c>
      <c r="R109" s="631">
        <v>0</v>
      </c>
      <c r="S109" s="631">
        <v>0</v>
      </c>
      <c r="T109" s="631">
        <v>0</v>
      </c>
      <c r="U109" s="631">
        <v>0</v>
      </c>
      <c r="V109" s="631">
        <v>0</v>
      </c>
      <c r="W109" s="631">
        <v>0</v>
      </c>
      <c r="X109" s="631">
        <v>0</v>
      </c>
      <c r="Y109" s="631">
        <v>0</v>
      </c>
      <c r="Z109" s="631">
        <v>0</v>
      </c>
      <c r="AA109" s="631">
        <v>0</v>
      </c>
      <c r="AB109" s="631">
        <v>0</v>
      </c>
      <c r="AC109" s="631">
        <v>0</v>
      </c>
      <c r="AD109" s="631">
        <v>0</v>
      </c>
      <c r="AE109" s="631">
        <v>0</v>
      </c>
      <c r="AF109" s="631">
        <v>0</v>
      </c>
      <c r="AG109" s="631">
        <v>0</v>
      </c>
      <c r="AH109" s="631">
        <v>0</v>
      </c>
      <c r="AI109" s="631">
        <v>0</v>
      </c>
      <c r="AJ109" s="625">
        <f t="shared" si="12"/>
        <v>0</v>
      </c>
    </row>
    <row r="110" spans="2:36" ht="39.5">
      <c r="B110" s="827" t="s">
        <v>364</v>
      </c>
      <c r="C110" s="828" t="s">
        <v>380</v>
      </c>
      <c r="D110" s="829">
        <f>IF(SUMIF('Mobile-Data'!$G$9:$G$1048576,C110, 'Mobile-Data'!$H$9:$H$1048576)=0,0,SUMIFS('Mobile-Data'!$H$9:$H$1048576, 'Mobile-Data'!$E$9:$E$1048576,B110, 'Mobile-Data'!$G$9:$G$1048576,C110)/SUMIF('Mobile-Data'!$G$9:$G$1048576,C110, 'Mobile-Data'!$H$9:$H$1048576))</f>
        <v>0</v>
      </c>
      <c r="E110" s="829">
        <f>'Mobile-Detail Calcs'!$H$149</f>
        <v>0</v>
      </c>
      <c r="F110" s="818">
        <f t="shared" si="13"/>
        <v>0</v>
      </c>
      <c r="G110" s="600">
        <f t="shared" si="9"/>
        <v>0</v>
      </c>
      <c r="H110" s="629">
        <f t="shared" si="10"/>
        <v>0</v>
      </c>
      <c r="J110" s="827" t="s">
        <v>364</v>
      </c>
      <c r="K110" s="828" t="s">
        <v>380</v>
      </c>
      <c r="L110" s="830">
        <f>'Mobile-Detail Calcs'!M216</f>
        <v>0</v>
      </c>
      <c r="M110" s="835">
        <f>'Mobile-Detail Calcs'!V216</f>
        <v>0</v>
      </c>
      <c r="N110" s="835">
        <f t="shared" si="11"/>
        <v>0</v>
      </c>
      <c r="P110" s="631">
        <v>0</v>
      </c>
      <c r="Q110" s="631">
        <v>0</v>
      </c>
      <c r="R110" s="631">
        <v>0</v>
      </c>
      <c r="S110" s="631">
        <v>0</v>
      </c>
      <c r="T110" s="631">
        <v>0</v>
      </c>
      <c r="U110" s="631">
        <v>0</v>
      </c>
      <c r="V110" s="631">
        <v>0</v>
      </c>
      <c r="W110" s="631">
        <v>0</v>
      </c>
      <c r="X110" s="631">
        <v>0</v>
      </c>
      <c r="Y110" s="631">
        <v>0</v>
      </c>
      <c r="Z110" s="631">
        <v>0</v>
      </c>
      <c r="AA110" s="631">
        <v>0</v>
      </c>
      <c r="AB110" s="631">
        <v>0</v>
      </c>
      <c r="AC110" s="631">
        <v>0</v>
      </c>
      <c r="AD110" s="631">
        <v>0</v>
      </c>
      <c r="AE110" s="631">
        <v>0</v>
      </c>
      <c r="AF110" s="631">
        <v>0</v>
      </c>
      <c r="AG110" s="631">
        <v>0</v>
      </c>
      <c r="AH110" s="631">
        <v>0</v>
      </c>
      <c r="AI110" s="631">
        <v>0</v>
      </c>
      <c r="AJ110" s="625">
        <f t="shared" si="12"/>
        <v>0</v>
      </c>
    </row>
    <row r="111" spans="2:36" ht="27" thickBot="1">
      <c r="B111" s="831" t="s">
        <v>351</v>
      </c>
      <c r="C111" s="832" t="s">
        <v>380</v>
      </c>
      <c r="D111" s="833">
        <f>IF(SUMIF('Mobile-Data'!$G$9:$G$1048576,C111, 'Mobile-Data'!$H$9:$H$1048576)=0,0,SUMIFS('Mobile-Data'!$H$9:$H$1048576, 'Mobile-Data'!$E$9:$E$1048576,B111, 'Mobile-Data'!$G$9:$G$1048576,C111)/SUMIF('Mobile-Data'!$G$9:$G$1048576,C111, 'Mobile-Data'!$H$9:$H$1048576))</f>
        <v>0</v>
      </c>
      <c r="E111" s="833">
        <f>'Mobile-Detail Calcs'!$H$149</f>
        <v>0</v>
      </c>
      <c r="F111" s="824">
        <f t="shared" si="13"/>
        <v>0</v>
      </c>
      <c r="G111" s="599">
        <f t="shared" si="9"/>
        <v>0</v>
      </c>
      <c r="H111" s="632">
        <f t="shared" si="10"/>
        <v>0</v>
      </c>
      <c r="J111" s="636" t="s">
        <v>351</v>
      </c>
      <c r="K111" s="637" t="s">
        <v>380</v>
      </c>
      <c r="L111" s="638">
        <f>'Mobile-Detail Calcs'!N216</f>
        <v>0</v>
      </c>
      <c r="M111" s="641">
        <f>'Mobile-Detail Calcs'!W216</f>
        <v>0</v>
      </c>
      <c r="N111" s="641">
        <f t="shared" si="11"/>
        <v>0</v>
      </c>
      <c r="P111" s="631">
        <v>0</v>
      </c>
      <c r="Q111" s="631">
        <v>0</v>
      </c>
      <c r="R111" s="631">
        <v>0</v>
      </c>
      <c r="S111" s="631">
        <v>0</v>
      </c>
      <c r="T111" s="631">
        <v>0</v>
      </c>
      <c r="U111" s="631">
        <v>0</v>
      </c>
      <c r="V111" s="631">
        <v>0</v>
      </c>
      <c r="W111" s="631">
        <v>0</v>
      </c>
      <c r="X111" s="631">
        <v>0</v>
      </c>
      <c r="Y111" s="631">
        <v>0</v>
      </c>
      <c r="Z111" s="631">
        <v>0</v>
      </c>
      <c r="AA111" s="631">
        <v>0</v>
      </c>
      <c r="AB111" s="631">
        <v>0</v>
      </c>
      <c r="AC111" s="631">
        <v>0</v>
      </c>
      <c r="AD111" s="631">
        <v>0</v>
      </c>
      <c r="AE111" s="631">
        <v>0</v>
      </c>
      <c r="AF111" s="631">
        <v>0</v>
      </c>
      <c r="AG111" s="631">
        <v>0</v>
      </c>
      <c r="AH111" s="631">
        <v>0</v>
      </c>
      <c r="AI111" s="631">
        <v>0</v>
      </c>
      <c r="AJ111" s="625">
        <f t="shared" si="12"/>
        <v>0</v>
      </c>
    </row>
    <row r="112" spans="2:36" ht="15" thickTop="1">
      <c r="B112" s="626" t="s">
        <v>347</v>
      </c>
      <c r="C112" s="627" t="s">
        <v>383</v>
      </c>
      <c r="D112" s="628">
        <f>IF(SUMIF('Mobile-Data'!$G$9:$G$1048576,C112, 'Mobile-Data'!$H$9:$H$1048576)=0,0,SUMIFS('Mobile-Data'!$H$9:$H$1048576, 'Mobile-Data'!$E$9:$E$1048576,B112, 'Mobile-Data'!$G$9:$G$1048576,C112)/SUMIF('Mobile-Data'!$G$9:$G$1048576,C112, 'Mobile-Data'!$H$9:$H$1048576))</f>
        <v>0</v>
      </c>
      <c r="E112" s="628">
        <f>'Mobile-Detail Calcs'!$I$149</f>
        <v>0</v>
      </c>
      <c r="F112" s="600">
        <f t="shared" si="13"/>
        <v>0</v>
      </c>
      <c r="G112" s="633">
        <f t="shared" si="9"/>
        <v>0</v>
      </c>
      <c r="H112" s="634">
        <f t="shared" si="10"/>
        <v>0</v>
      </c>
      <c r="J112" s="635" t="s">
        <v>347</v>
      </c>
      <c r="K112" s="639" t="s">
        <v>383</v>
      </c>
      <c r="L112" s="642" t="s">
        <v>827</v>
      </c>
      <c r="M112" s="643" t="s">
        <v>827</v>
      </c>
      <c r="N112" s="643">
        <f t="shared" si="11"/>
        <v>0</v>
      </c>
      <c r="P112" s="631">
        <v>0</v>
      </c>
      <c r="Q112" s="631">
        <v>0</v>
      </c>
      <c r="R112" s="631">
        <v>0</v>
      </c>
      <c r="S112" s="631">
        <v>0</v>
      </c>
      <c r="T112" s="631">
        <v>0</v>
      </c>
      <c r="U112" s="631">
        <v>0</v>
      </c>
      <c r="V112" s="631">
        <v>0</v>
      </c>
      <c r="W112" s="631">
        <v>0</v>
      </c>
      <c r="X112" s="631">
        <v>0</v>
      </c>
      <c r="Y112" s="631">
        <v>0</v>
      </c>
      <c r="Z112" s="631">
        <v>0</v>
      </c>
      <c r="AA112" s="631">
        <v>0</v>
      </c>
      <c r="AB112" s="631">
        <v>0</v>
      </c>
      <c r="AC112" s="631">
        <v>0</v>
      </c>
      <c r="AD112" s="631">
        <v>0</v>
      </c>
      <c r="AE112" s="631">
        <v>0</v>
      </c>
      <c r="AF112" s="631">
        <v>0</v>
      </c>
      <c r="AG112" s="631">
        <v>0</v>
      </c>
      <c r="AH112" s="631">
        <v>0</v>
      </c>
      <c r="AI112" s="631">
        <v>0</v>
      </c>
      <c r="AJ112" s="625">
        <f t="shared" si="12"/>
        <v>0</v>
      </c>
    </row>
    <row r="113" spans="2:36" ht="39.5">
      <c r="B113" s="827" t="s">
        <v>364</v>
      </c>
      <c r="C113" s="828" t="s">
        <v>383</v>
      </c>
      <c r="D113" s="829">
        <f>IF(SUMIF('Mobile-Data'!$G$9:$G$1048576,C113, 'Mobile-Data'!$H$9:$H$1048576)=0,0,SUMIFS('Mobile-Data'!$H$9:$H$1048576, 'Mobile-Data'!$E$9:$E$1048576,B113, 'Mobile-Data'!$G$9:$G$1048576,C113)/SUMIF('Mobile-Data'!$G$9:$G$1048576,C113, 'Mobile-Data'!$H$9:$H$1048576))</f>
        <v>0</v>
      </c>
      <c r="E113" s="829">
        <f>'Mobile-Detail Calcs'!$I$149</f>
        <v>0</v>
      </c>
      <c r="F113" s="818">
        <f t="shared" si="13"/>
        <v>0</v>
      </c>
      <c r="G113" s="600">
        <f t="shared" si="9"/>
        <v>0</v>
      </c>
      <c r="H113" s="629">
        <f t="shared" si="10"/>
        <v>0</v>
      </c>
      <c r="J113" s="827" t="s">
        <v>364</v>
      </c>
      <c r="K113" s="828" t="s">
        <v>383</v>
      </c>
      <c r="L113" s="836" t="s">
        <v>827</v>
      </c>
      <c r="M113" s="837" t="s">
        <v>827</v>
      </c>
      <c r="N113" s="837">
        <f t="shared" si="11"/>
        <v>0</v>
      </c>
      <c r="P113" s="631">
        <v>0</v>
      </c>
      <c r="Q113" s="631">
        <v>0</v>
      </c>
      <c r="R113" s="631">
        <v>0</v>
      </c>
      <c r="S113" s="631">
        <v>0</v>
      </c>
      <c r="T113" s="631">
        <v>0</v>
      </c>
      <c r="U113" s="631">
        <v>0</v>
      </c>
      <c r="V113" s="631">
        <v>0</v>
      </c>
      <c r="W113" s="631">
        <v>0</v>
      </c>
      <c r="X113" s="631">
        <v>0</v>
      </c>
      <c r="Y113" s="631">
        <v>0</v>
      </c>
      <c r="Z113" s="631">
        <v>0</v>
      </c>
      <c r="AA113" s="631">
        <v>0</v>
      </c>
      <c r="AB113" s="631">
        <v>0</v>
      </c>
      <c r="AC113" s="631">
        <v>0</v>
      </c>
      <c r="AD113" s="631">
        <v>0</v>
      </c>
      <c r="AE113" s="631">
        <v>0</v>
      </c>
      <c r="AF113" s="631">
        <v>0</v>
      </c>
      <c r="AG113" s="631">
        <v>0</v>
      </c>
      <c r="AH113" s="631">
        <v>0</v>
      </c>
      <c r="AI113" s="631">
        <v>0</v>
      </c>
      <c r="AJ113" s="625">
        <f t="shared" si="12"/>
        <v>0</v>
      </c>
    </row>
    <row r="114" spans="2:36" ht="27" thickBot="1">
      <c r="B114" s="831" t="s">
        <v>351</v>
      </c>
      <c r="C114" s="832" t="s">
        <v>383</v>
      </c>
      <c r="D114" s="833">
        <f>IF(SUMIF('Mobile-Data'!$G$9:$G$1048576,C114, 'Mobile-Data'!$H$9:$H$1048576)=0,0,SUMIFS('Mobile-Data'!$H$9:$H$1048576, 'Mobile-Data'!$E$9:$E$1048576,B114, 'Mobile-Data'!$G$9:$G$1048576,C114)/SUMIF('Mobile-Data'!$G$9:$G$1048576,C114, 'Mobile-Data'!$H$9:$H$1048576))</f>
        <v>0</v>
      </c>
      <c r="E114" s="833">
        <f>'Mobile-Detail Calcs'!$I$149</f>
        <v>0</v>
      </c>
      <c r="F114" s="824">
        <f t="shared" si="13"/>
        <v>0</v>
      </c>
      <c r="G114" s="599">
        <f t="shared" si="9"/>
        <v>0</v>
      </c>
      <c r="H114" s="632">
        <f t="shared" si="10"/>
        <v>0</v>
      </c>
      <c r="J114" s="636" t="s">
        <v>351</v>
      </c>
      <c r="K114" s="637" t="s">
        <v>383</v>
      </c>
      <c r="L114" s="638">
        <f>'Mobile-Detail Calcs'!N217</f>
        <v>0</v>
      </c>
      <c r="M114" s="641">
        <f>'Mobile-Detail Calcs'!W217</f>
        <v>0</v>
      </c>
      <c r="N114" s="641">
        <f t="shared" si="11"/>
        <v>0</v>
      </c>
      <c r="P114" s="631">
        <v>0</v>
      </c>
      <c r="Q114" s="631">
        <v>0</v>
      </c>
      <c r="R114" s="631">
        <v>0</v>
      </c>
      <c r="S114" s="631">
        <v>0</v>
      </c>
      <c r="T114" s="631">
        <v>0</v>
      </c>
      <c r="U114" s="631">
        <v>0</v>
      </c>
      <c r="V114" s="631">
        <v>0</v>
      </c>
      <c r="W114" s="631">
        <v>0</v>
      </c>
      <c r="X114" s="631">
        <v>0</v>
      </c>
      <c r="Y114" s="631">
        <v>0</v>
      </c>
      <c r="Z114" s="631">
        <v>0</v>
      </c>
      <c r="AA114" s="631">
        <v>0</v>
      </c>
      <c r="AB114" s="631">
        <v>0</v>
      </c>
      <c r="AC114" s="631">
        <v>0</v>
      </c>
      <c r="AD114" s="631">
        <v>0</v>
      </c>
      <c r="AE114" s="631">
        <v>0</v>
      </c>
      <c r="AF114" s="631">
        <v>0</v>
      </c>
      <c r="AG114" s="631">
        <v>0</v>
      </c>
      <c r="AH114" s="631">
        <v>0</v>
      </c>
      <c r="AI114" s="631">
        <v>0</v>
      </c>
      <c r="AJ114" s="625">
        <f t="shared" si="12"/>
        <v>0</v>
      </c>
    </row>
    <row r="115" spans="2:36" ht="15" thickTop="1">
      <c r="B115" s="626" t="s">
        <v>347</v>
      </c>
      <c r="C115" s="627" t="s">
        <v>174</v>
      </c>
      <c r="D115" s="628">
        <f>IF(SUMIF('Mobile-Data'!$G$9:$G$1048576,C115, 'Mobile-Data'!$H$9:$H$1048576)=0,0,SUMIFS('Mobile-Data'!$H$9:$H$1048576, 'Mobile-Data'!$E$9:$E$1048576,B115, 'Mobile-Data'!$G$9:$G$1048576,C115)/SUMIF('Mobile-Data'!$G$9:$G$1048576,C115, 'Mobile-Data'!$H$9:$H$1048576))</f>
        <v>0</v>
      </c>
      <c r="E115" s="628">
        <f>'Mobile-Detail Calcs'!$J$149</f>
        <v>0</v>
      </c>
      <c r="F115" s="600">
        <f t="shared" si="13"/>
        <v>0</v>
      </c>
      <c r="G115" s="633">
        <f t="shared" si="9"/>
        <v>0</v>
      </c>
      <c r="H115" s="634">
        <f t="shared" si="10"/>
        <v>0</v>
      </c>
      <c r="J115" s="635" t="s">
        <v>347</v>
      </c>
      <c r="K115" s="639" t="s">
        <v>174</v>
      </c>
      <c r="L115" s="634">
        <f>'Mobile-Detail Calcs'!L218</f>
        <v>0</v>
      </c>
      <c r="M115" s="640">
        <f>'Mobile-Detail Calcs'!U218</f>
        <v>0</v>
      </c>
      <c r="N115" s="640">
        <f t="shared" si="11"/>
        <v>0</v>
      </c>
      <c r="P115" s="631">
        <v>0</v>
      </c>
      <c r="Q115" s="631">
        <v>0</v>
      </c>
      <c r="R115" s="631">
        <v>0</v>
      </c>
      <c r="S115" s="631">
        <v>0</v>
      </c>
      <c r="T115" s="631">
        <v>0</v>
      </c>
      <c r="U115" s="631">
        <v>0</v>
      </c>
      <c r="V115" s="631">
        <v>0</v>
      </c>
      <c r="W115" s="631">
        <v>0</v>
      </c>
      <c r="X115" s="631">
        <v>0</v>
      </c>
      <c r="Y115" s="631">
        <v>0</v>
      </c>
      <c r="Z115" s="631">
        <v>0</v>
      </c>
      <c r="AA115" s="631">
        <v>0</v>
      </c>
      <c r="AB115" s="631">
        <v>0</v>
      </c>
      <c r="AC115" s="631">
        <v>0</v>
      </c>
      <c r="AD115" s="631">
        <v>0</v>
      </c>
      <c r="AE115" s="631">
        <v>0</v>
      </c>
      <c r="AF115" s="631">
        <v>0</v>
      </c>
      <c r="AG115" s="631">
        <v>0</v>
      </c>
      <c r="AH115" s="631">
        <v>0</v>
      </c>
      <c r="AI115" s="631">
        <v>0</v>
      </c>
      <c r="AJ115" s="625">
        <f t="shared" si="12"/>
        <v>0</v>
      </c>
    </row>
    <row r="116" spans="2:36" ht="39.5">
      <c r="B116" s="827" t="s">
        <v>364</v>
      </c>
      <c r="C116" s="828" t="s">
        <v>174</v>
      </c>
      <c r="D116" s="829">
        <f>IF(SUMIF('Mobile-Data'!$G$9:$G$1048576,C116, 'Mobile-Data'!$H$9:$H$1048576)=0,0,SUMIFS('Mobile-Data'!$H$9:$H$1048576, 'Mobile-Data'!$E$9:$E$1048576,B116, 'Mobile-Data'!$G$9:$G$1048576,C116)/SUMIF('Mobile-Data'!$G$9:$G$1048576,C116, 'Mobile-Data'!$H$9:$H$1048576))</f>
        <v>0</v>
      </c>
      <c r="E116" s="829">
        <f>'Mobile-Detail Calcs'!$J$149</f>
        <v>0</v>
      </c>
      <c r="F116" s="818">
        <f t="shared" si="13"/>
        <v>0</v>
      </c>
      <c r="G116" s="600">
        <f t="shared" si="9"/>
        <v>0</v>
      </c>
      <c r="H116" s="629">
        <f t="shared" si="10"/>
        <v>0</v>
      </c>
      <c r="J116" s="827" t="s">
        <v>364</v>
      </c>
      <c r="K116" s="828" t="s">
        <v>174</v>
      </c>
      <c r="L116" s="830">
        <f>'Mobile-Detail Calcs'!M218</f>
        <v>0</v>
      </c>
      <c r="M116" s="835">
        <f>'Mobile-Detail Calcs'!V218</f>
        <v>0</v>
      </c>
      <c r="N116" s="835">
        <f t="shared" si="11"/>
        <v>0</v>
      </c>
      <c r="P116" s="631">
        <v>0</v>
      </c>
      <c r="Q116" s="631">
        <v>0</v>
      </c>
      <c r="R116" s="631">
        <v>0</v>
      </c>
      <c r="S116" s="631">
        <v>0</v>
      </c>
      <c r="T116" s="631">
        <v>0</v>
      </c>
      <c r="U116" s="631">
        <v>0</v>
      </c>
      <c r="V116" s="631">
        <v>0</v>
      </c>
      <c r="W116" s="631">
        <v>0</v>
      </c>
      <c r="X116" s="631">
        <v>0</v>
      </c>
      <c r="Y116" s="631">
        <v>0</v>
      </c>
      <c r="Z116" s="631">
        <v>0</v>
      </c>
      <c r="AA116" s="631">
        <v>0</v>
      </c>
      <c r="AB116" s="631">
        <v>0</v>
      </c>
      <c r="AC116" s="631">
        <v>0</v>
      </c>
      <c r="AD116" s="631">
        <v>0</v>
      </c>
      <c r="AE116" s="631">
        <v>0</v>
      </c>
      <c r="AF116" s="631">
        <v>0</v>
      </c>
      <c r="AG116" s="631">
        <v>0</v>
      </c>
      <c r="AH116" s="631">
        <v>0</v>
      </c>
      <c r="AI116" s="631">
        <v>0</v>
      </c>
      <c r="AJ116" s="625">
        <f t="shared" si="12"/>
        <v>0</v>
      </c>
    </row>
    <row r="117" spans="2:36" ht="26.5">
      <c r="B117" s="827" t="s">
        <v>351</v>
      </c>
      <c r="C117" s="828" t="s">
        <v>174</v>
      </c>
      <c r="D117" s="829">
        <f>IF(SUMIF('Mobile-Data'!$G$9:$G$1048576,C117, 'Mobile-Data'!$H$9:$H$1048576)=0,0,SUMIFS('Mobile-Data'!$H$9:$H$1048576, 'Mobile-Data'!$E$9:$E$1048576,B117, 'Mobile-Data'!$G$9:$G$1048576,C117)/SUMIF('Mobile-Data'!$G$9:$G$1048576,C117, 'Mobile-Data'!$H$9:$H$1048576))</f>
        <v>0</v>
      </c>
      <c r="E117" s="829">
        <f>'Mobile-Detail Calcs'!$J$149</f>
        <v>0</v>
      </c>
      <c r="F117" s="818">
        <f t="shared" si="13"/>
        <v>0</v>
      </c>
      <c r="G117" s="600">
        <f t="shared" si="9"/>
        <v>0</v>
      </c>
      <c r="H117" s="629">
        <f t="shared" si="10"/>
        <v>0</v>
      </c>
      <c r="J117" s="827" t="s">
        <v>351</v>
      </c>
      <c r="K117" s="828" t="s">
        <v>174</v>
      </c>
      <c r="L117" s="830">
        <f>'Mobile-Detail Calcs'!N218</f>
        <v>0</v>
      </c>
      <c r="M117" s="835">
        <f>'Mobile-Detail Calcs'!W218</f>
        <v>0</v>
      </c>
      <c r="N117" s="835">
        <f t="shared" si="11"/>
        <v>0</v>
      </c>
      <c r="P117" s="631">
        <v>0</v>
      </c>
      <c r="Q117" s="631">
        <v>0</v>
      </c>
      <c r="R117" s="631">
        <v>0</v>
      </c>
      <c r="S117" s="631">
        <v>0</v>
      </c>
      <c r="T117" s="631">
        <v>0</v>
      </c>
      <c r="U117" s="631">
        <v>0</v>
      </c>
      <c r="V117" s="631">
        <v>0</v>
      </c>
      <c r="W117" s="631">
        <v>0</v>
      </c>
      <c r="X117" s="631">
        <v>0</v>
      </c>
      <c r="Y117" s="631">
        <v>0</v>
      </c>
      <c r="Z117" s="631">
        <v>0</v>
      </c>
      <c r="AA117" s="631">
        <v>0</v>
      </c>
      <c r="AB117" s="631">
        <v>0</v>
      </c>
      <c r="AC117" s="631">
        <v>0</v>
      </c>
      <c r="AD117" s="631">
        <v>0</v>
      </c>
      <c r="AE117" s="631">
        <v>0</v>
      </c>
      <c r="AF117" s="631">
        <v>0</v>
      </c>
      <c r="AG117" s="631">
        <v>0</v>
      </c>
      <c r="AH117" s="631">
        <v>0</v>
      </c>
      <c r="AI117" s="631">
        <v>0</v>
      </c>
      <c r="AJ117" s="625">
        <f t="shared" si="12"/>
        <v>0</v>
      </c>
    </row>
    <row r="120" spans="2:36" ht="15">
      <c r="B120" s="589" t="s">
        <v>337</v>
      </c>
      <c r="C120" s="644" t="s">
        <v>1209</v>
      </c>
    </row>
    <row r="121" spans="2:36">
      <c r="B121" s="827" t="s">
        <v>347</v>
      </c>
      <c r="C121" s="830">
        <f>SUM(H94,H97,H100,H103,H106,H109,H112,H115)</f>
        <v>0.36814000000000002</v>
      </c>
    </row>
    <row r="122" spans="2:36">
      <c r="B122" s="827" t="s">
        <v>364</v>
      </c>
      <c r="C122" s="830">
        <f>SUM(H95,H98,H101,H104,H107,H110,H113,H116)</f>
        <v>0</v>
      </c>
    </row>
    <row r="123" spans="2:36">
      <c r="B123" s="827" t="s">
        <v>351</v>
      </c>
      <c r="C123" s="830">
        <f>SUM(H96,H99,H102,H105,H108,H111,H114,H117)</f>
        <v>0</v>
      </c>
    </row>
    <row r="125" spans="2:36">
      <c r="B125" s="645" t="s">
        <v>1210</v>
      </c>
      <c r="C125" s="611"/>
      <c r="D125" s="611" t="s">
        <v>1211</v>
      </c>
      <c r="E125" s="611" t="s">
        <v>1212</v>
      </c>
      <c r="F125" s="646" t="s">
        <v>1213</v>
      </c>
      <c r="I125" s="647" t="s">
        <v>1214</v>
      </c>
      <c r="J125" s="647"/>
      <c r="K125" s="647"/>
      <c r="L125" s="647"/>
    </row>
    <row r="126" spans="2:36" ht="16.5">
      <c r="B126" s="648" t="s">
        <v>1215</v>
      </c>
      <c r="C126" s="649" t="s">
        <v>391</v>
      </c>
      <c r="D126" s="650"/>
      <c r="F126" s="606">
        <f>'Mobile-Detail Calcs'!K149</f>
        <v>0</v>
      </c>
      <c r="I126" s="651" t="e">
        <f>IF(F132+C157&gt;0,F132+C157,0)</f>
        <v>#DIV/0!</v>
      </c>
      <c r="J126" s="647" t="s">
        <v>507</v>
      </c>
      <c r="K126" s="647"/>
      <c r="L126" s="647"/>
    </row>
    <row r="127" spans="2:36">
      <c r="B127" s="648" t="s">
        <v>1215</v>
      </c>
      <c r="C127" s="649" t="s">
        <v>180</v>
      </c>
      <c r="F127" s="606">
        <f>'Mobile-Detail Calcs'!L149</f>
        <v>0</v>
      </c>
      <c r="I127" s="647"/>
      <c r="J127" s="647"/>
      <c r="K127" s="647"/>
      <c r="L127" s="647"/>
    </row>
    <row r="128" spans="2:36" ht="26.5">
      <c r="B128" s="648" t="s">
        <v>1215</v>
      </c>
      <c r="C128" s="649" t="s">
        <v>389</v>
      </c>
      <c r="F128" s="606">
        <f>'Mobile-Detail Calcs'!M149</f>
        <v>0</v>
      </c>
      <c r="I128" s="647" t="s">
        <v>1216</v>
      </c>
      <c r="J128" s="647"/>
      <c r="K128" s="647"/>
      <c r="L128" s="647"/>
    </row>
    <row r="129" spans="2:12" ht="16.5">
      <c r="B129" s="586" t="s">
        <v>369</v>
      </c>
      <c r="C129" s="649" t="s">
        <v>175</v>
      </c>
      <c r="D129" s="652" t="e">
        <f>SUMIFS('Mobile-Data'!$H$9:$H$1048576, 'Mobile-Data'!$E$9:$E$1048576,B129, 'Mobile-Data'!$G$9:$G$1048576,C129)/SUMIF('Mobile-Data'!$G$9:$G$1048576,C129, 'Mobile-Data'!$H$9:$H$1048576)</f>
        <v>#DIV/0!</v>
      </c>
      <c r="E129" s="650">
        <f>'Mobile-Detail Calcs'!$C$149</f>
        <v>0</v>
      </c>
      <c r="F129" s="606" t="e">
        <f>D129*E129</f>
        <v>#DIV/0!</v>
      </c>
      <c r="I129" s="653" t="e">
        <f>'Mobile-Summary'!F27-mob_nonHwy_emissionsIY</f>
        <v>#DIV/0!</v>
      </c>
      <c r="J129" s="647" t="s">
        <v>507</v>
      </c>
      <c r="K129" s="647"/>
      <c r="L129" s="647"/>
    </row>
    <row r="130" spans="2:12">
      <c r="B130" s="586" t="s">
        <v>369</v>
      </c>
      <c r="C130" s="649" t="s">
        <v>172</v>
      </c>
      <c r="D130" s="652">
        <f>IFERROR(SUMIFS('Mobile-Data'!$H$9:$H$1048576, 'Mobile-Data'!$E$9:$E$1048576,B130, 'Mobile-Data'!$G$9:$G$1048576,C130)/SUMIF('Mobile-Data'!$G$9:$G$1048576,C130, 'Mobile-Data'!$H$9:$H$1048576),0)</f>
        <v>0</v>
      </c>
      <c r="E130" s="650">
        <f>'Mobile-Detail Calcs'!$D$149</f>
        <v>0</v>
      </c>
      <c r="F130" s="606">
        <f>D130*E130</f>
        <v>0</v>
      </c>
      <c r="I130" s="647"/>
      <c r="J130" s="647"/>
      <c r="K130" s="647"/>
      <c r="L130" s="647"/>
    </row>
    <row r="131" spans="2:12">
      <c r="B131" s="586" t="s">
        <v>370</v>
      </c>
      <c r="C131" s="649" t="s">
        <v>172</v>
      </c>
      <c r="D131" s="652">
        <f>IFERROR(SUMIFS('Mobile-Data'!$H$9:$H$1048576, 'Mobile-Data'!$E$9:$E$1048576,B131, 'Mobile-Data'!$G$9:$G$1048576,C131)/SUMIF('Mobile-Data'!$G$9:$G$1048576,C131, 'Mobile-Data'!$H$9:$H$1048576),0)</f>
        <v>0</v>
      </c>
      <c r="E131" s="650">
        <f>'Mobile-Detail Calcs'!$D$149</f>
        <v>0</v>
      </c>
      <c r="F131" s="606">
        <f>D131*E131</f>
        <v>0</v>
      </c>
    </row>
    <row r="132" spans="2:12">
      <c r="B132" s="838" t="s">
        <v>1217</v>
      </c>
      <c r="C132" s="654"/>
      <c r="D132" s="655"/>
      <c r="E132" s="656"/>
      <c r="F132" s="818" t="e">
        <f>SUM(F126:F131)</f>
        <v>#DIV/0!</v>
      </c>
    </row>
    <row r="133" spans="2:12">
      <c r="B133" s="586"/>
    </row>
    <row r="134" spans="2:12">
      <c r="B134" s="657" t="s">
        <v>1218</v>
      </c>
      <c r="C134" s="646"/>
    </row>
    <row r="135" spans="2:12">
      <c r="B135" s="586" t="s">
        <v>1219</v>
      </c>
      <c r="C135" s="606"/>
    </row>
    <row r="136" spans="2:12">
      <c r="B136" s="586"/>
      <c r="C136" s="606" t="s">
        <v>1202</v>
      </c>
    </row>
    <row r="137" spans="2:12">
      <c r="B137" s="586" t="str">
        <f>'Background Controls'!I5</f>
        <v>Residential</v>
      </c>
      <c r="C137" s="606">
        <v>0</v>
      </c>
    </row>
    <row r="138" spans="2:12">
      <c r="B138" s="586" t="str">
        <f>'Background Controls'!I6</f>
        <v>Commercial/Institutional</v>
      </c>
      <c r="C138" s="606">
        <v>0</v>
      </c>
    </row>
    <row r="139" spans="2:12">
      <c r="B139" s="586" t="str">
        <f>'Background Controls'!I7</f>
        <v>Industrial</v>
      </c>
      <c r="C139" s="606">
        <v>0</v>
      </c>
    </row>
    <row r="140" spans="2:12">
      <c r="B140" s="586" t="str">
        <f>'Background Controls'!I8</f>
        <v>Energy Generation</v>
      </c>
      <c r="C140" s="606">
        <v>0</v>
      </c>
    </row>
    <row r="141" spans="2:12">
      <c r="B141" s="586">
        <f>'Background Controls'!I9</f>
        <v>0</v>
      </c>
      <c r="C141" s="606">
        <v>0</v>
      </c>
    </row>
    <row r="142" spans="2:12">
      <c r="B142" s="586">
        <f>'Background Controls'!I10</f>
        <v>0</v>
      </c>
      <c r="C142" s="606">
        <v>0</v>
      </c>
    </row>
    <row r="143" spans="2:12">
      <c r="B143" s="586">
        <f>'Background Controls'!I11</f>
        <v>0</v>
      </c>
      <c r="C143" s="606">
        <v>0</v>
      </c>
    </row>
    <row r="144" spans="2:12">
      <c r="B144" s="586">
        <f>'Background Controls'!I12</f>
        <v>0</v>
      </c>
      <c r="C144" s="606">
        <v>0</v>
      </c>
    </row>
    <row r="145" spans="2:3">
      <c r="B145" s="586">
        <f>'Background Controls'!I13</f>
        <v>0</v>
      </c>
      <c r="C145" s="606">
        <v>0</v>
      </c>
    </row>
    <row r="146" spans="2:3">
      <c r="B146" s="586">
        <f>'Background Controls'!I14</f>
        <v>0</v>
      </c>
      <c r="C146" s="606">
        <v>0</v>
      </c>
    </row>
    <row r="147" spans="2:3">
      <c r="B147" s="586">
        <f>'Background Controls'!I15</f>
        <v>0</v>
      </c>
      <c r="C147" s="606">
        <v>0</v>
      </c>
    </row>
    <row r="148" spans="2:3">
      <c r="B148" s="586">
        <f>'Background Controls'!I16</f>
        <v>0</v>
      </c>
      <c r="C148" s="606">
        <v>0</v>
      </c>
    </row>
    <row r="149" spans="2:3">
      <c r="B149" s="586">
        <f>'Background Controls'!I17</f>
        <v>0</v>
      </c>
      <c r="C149" s="606">
        <v>0</v>
      </c>
    </row>
    <row r="150" spans="2:3">
      <c r="B150" s="586">
        <f>'Background Controls'!I18</f>
        <v>0</v>
      </c>
      <c r="C150" s="606">
        <v>0</v>
      </c>
    </row>
    <row r="151" spans="2:3">
      <c r="B151" s="586">
        <f>'Background Controls'!I19</f>
        <v>0</v>
      </c>
      <c r="C151" s="606">
        <v>0</v>
      </c>
    </row>
    <row r="152" spans="2:3">
      <c r="B152" s="586">
        <f>'Background Controls'!I20</f>
        <v>0</v>
      </c>
      <c r="C152" s="606">
        <v>0</v>
      </c>
    </row>
    <row r="153" spans="2:3">
      <c r="B153" s="586">
        <f>'Background Controls'!I21</f>
        <v>0</v>
      </c>
      <c r="C153" s="606">
        <v>0</v>
      </c>
    </row>
    <row r="154" spans="2:3">
      <c r="B154" s="586">
        <f>'Background Controls'!I22</f>
        <v>0</v>
      </c>
      <c r="C154" s="606">
        <v>0</v>
      </c>
    </row>
    <row r="155" spans="2:3">
      <c r="B155" s="586">
        <f>'Background Controls'!I23</f>
        <v>0</v>
      </c>
      <c r="C155" s="606">
        <v>0</v>
      </c>
    </row>
    <row r="156" spans="2:3">
      <c r="B156" s="586">
        <f>'Background Controls'!I24</f>
        <v>0</v>
      </c>
      <c r="C156" s="606">
        <v>0</v>
      </c>
    </row>
    <row r="157" spans="2:3">
      <c r="B157" s="839" t="s">
        <v>253</v>
      </c>
      <c r="C157" s="819">
        <f>SUM(mob_nonCO2_nonhwy)</f>
        <v>0</v>
      </c>
    </row>
  </sheetData>
  <mergeCells count="2">
    <mergeCell ref="D92:F92"/>
    <mergeCell ref="J93:M93"/>
  </mergeCell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6">
    <tabColor rgb="FF92D050"/>
  </sheetPr>
  <dimension ref="A1:A2"/>
  <sheetViews>
    <sheetView showGridLines="0" workbookViewId="0"/>
  </sheetViews>
  <sheetFormatPr defaultColWidth="9.1796875" defaultRowHeight="14.5"/>
  <cols>
    <col min="1" max="16384" width="9.1796875" style="576"/>
  </cols>
  <sheetData>
    <row r="1" spans="1:1" s="663" customFormat="1" ht="36.5" thickBot="1">
      <c r="A1" s="662" t="s">
        <v>1220</v>
      </c>
    </row>
    <row r="2" spans="1:1">
      <c r="A2" s="66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C73C7B88788D348A8DA3CE58F646914" ma:contentTypeVersion="17" ma:contentTypeDescription="Create a new document." ma:contentTypeScope="" ma:versionID="e3bd90cdccd691d9faa8d18655a572a0">
  <xsd:schema xmlns:xsd="http://www.w3.org/2001/XMLSchema" xmlns:xs="http://www.w3.org/2001/XMLSchema" xmlns:p="http://schemas.microsoft.com/office/2006/metadata/properties" xmlns:ns2="305a0028-7312-4fca-a323-09606142e5fe" xmlns:ns3="27ebbd5e-17f3-45d8-85f3-9dc77b5bf6f5" xmlns:ns4="fa6a9aea-fb0f-4ddd-aff8-712634b7d5fe" targetNamespace="http://schemas.microsoft.com/office/2006/metadata/properties" ma:root="true" ma:fieldsID="703c7bf46d047c2948be0af3ef5ad78f" ns2:_="" ns3:_="" ns4:_="">
    <xsd:import namespace="305a0028-7312-4fca-a323-09606142e5fe"/>
    <xsd:import namespace="27ebbd5e-17f3-45d8-85f3-9dc77b5bf6f5"/>
    <xsd:import namespace="fa6a9aea-fb0f-4ddd-aff8-712634b7d5f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lcf76f155ced4ddcb4097134ff3c332f" minOccurs="0"/>
                <xsd:element ref="ns4:TaxCatchAll"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5a0028-7312-4fca-a323-09606142e5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7ebbd5e-17f3-45d8-85f3-9dc77b5bf6f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a6a9aea-fb0f-4ddd-aff8-712634b7d5f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5e09362d-bb6d-45b5-8b89-865bca06515d}" ma:internalName="TaxCatchAll" ma:showField="CatchAllData" ma:web="27ebbd5e-17f3-45d8-85f3-9dc77b5bf6f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27ebbd5e-17f3-45d8-85f3-9dc77b5bf6f5">
      <UserInfo>
        <DisplayName>O'Malley, Katie</DisplayName>
        <AccountId>28</AccountId>
        <AccountType/>
      </UserInfo>
      <UserInfo>
        <DisplayName>Blumenthal, Cara</DisplayName>
        <AccountId>20</AccountId>
        <AccountType/>
      </UserInfo>
    </SharedWithUsers>
    <lcf76f155ced4ddcb4097134ff3c332f xmlns="305a0028-7312-4fca-a323-09606142e5fe">
      <Terms xmlns="http://schemas.microsoft.com/office/infopath/2007/PartnerControls"/>
    </lcf76f155ced4ddcb4097134ff3c332f>
    <TaxCatchAll xmlns="fa6a9aea-fb0f-4ddd-aff8-712634b7d5fe" xsi:nil="true"/>
  </documentManagement>
</p:properties>
</file>

<file path=customXml/itemProps1.xml><?xml version="1.0" encoding="utf-8"?>
<ds:datastoreItem xmlns:ds="http://schemas.openxmlformats.org/officeDocument/2006/customXml" ds:itemID="{B17E3DCB-A304-496F-9F29-5D3C19D31F40}">
  <ds:schemaRefs>
    <ds:schemaRef ds:uri="http://schemas.microsoft.com/sharepoint/v3/contenttype/forms"/>
  </ds:schemaRefs>
</ds:datastoreItem>
</file>

<file path=customXml/itemProps2.xml><?xml version="1.0" encoding="utf-8"?>
<ds:datastoreItem xmlns:ds="http://schemas.openxmlformats.org/officeDocument/2006/customXml" ds:itemID="{31B49B1C-2E10-4103-8E89-476AA810A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5a0028-7312-4fca-a323-09606142e5fe"/>
    <ds:schemaRef ds:uri="27ebbd5e-17f3-45d8-85f3-9dc77b5bf6f5"/>
    <ds:schemaRef ds:uri="fa6a9aea-fb0f-4ddd-aff8-712634b7d5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3A55C14-52C9-41FD-801F-E7850F288833}">
  <ds:schemaRefs>
    <ds:schemaRef ds:uri="64617b2b-0ad8-4010-a4b2-d13abb872268"/>
    <ds:schemaRef ds:uri="http://purl.org/dc/elements/1.1/"/>
    <ds:schemaRef ds:uri="http://schemas.openxmlformats.org/package/2006/metadata/core-properties"/>
    <ds:schemaRef ds:uri="http://www.w3.org/XML/1998/namespace"/>
    <ds:schemaRef ds:uri="http://purl.org/dc/dcmitype/"/>
    <ds:schemaRef ds:uri="http://schemas.microsoft.com/office/2006/documentManagement/types"/>
    <ds:schemaRef ds:uri="http://schemas.microsoft.com/office/2006/metadata/properties"/>
    <ds:schemaRef ds:uri="http://schemas.microsoft.com/office/infopath/2007/PartnerControls"/>
    <ds:schemaRef ds:uri="1b777945-783f-415a-bb23-2237e1c025e4"/>
    <ds:schemaRef ds:uri="http://purl.org/dc/terms/"/>
    <ds:schemaRef ds:uri="27ebbd5e-17f3-45d8-85f3-9dc77b5bf6f5"/>
    <ds:schemaRef ds:uri="305a0028-7312-4fca-a323-09606142e5fe"/>
    <ds:schemaRef ds:uri="fa6a9aea-fb0f-4ddd-aff8-712634b7d5fe"/>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315</vt:i4>
      </vt:variant>
    </vt:vector>
  </HeadingPairs>
  <TitlesOfParts>
    <vt:vector size="353" baseType="lpstr">
      <vt:lpstr>Introduction</vt:lpstr>
      <vt:lpstr>Read Me</vt:lpstr>
      <vt:lpstr>TOC</vt:lpstr>
      <vt:lpstr>Definitions</vt:lpstr>
      <vt:lpstr>Control Sheet</vt:lpstr>
      <vt:lpstr>CompletionTracker</vt:lpstr>
      <vt:lpstr>Stationary-Entry</vt:lpstr>
      <vt:lpstr>StatTemplateReadMe</vt:lpstr>
      <vt:lpstr>Stationary-Data</vt:lpstr>
      <vt:lpstr>Stationary-Calcs</vt:lpstr>
      <vt:lpstr>ElecTemplateReadMe</vt:lpstr>
      <vt:lpstr>Mobile-Entry</vt:lpstr>
      <vt:lpstr>Mobile-Data</vt:lpstr>
      <vt:lpstr>MobTemplateReadMe</vt:lpstr>
      <vt:lpstr>Mobile-Detail Calcs</vt:lpstr>
      <vt:lpstr>Mobile-Summary</vt:lpstr>
      <vt:lpstr>Solid Waste-Control</vt:lpstr>
      <vt:lpstr>Solid Waste-Entry</vt:lpstr>
      <vt:lpstr>Wastewater-Control</vt:lpstr>
      <vt:lpstr>Wastewater-Entry</vt:lpstr>
      <vt:lpstr>Wastewater- Calcs</vt:lpstr>
      <vt:lpstr>Electricity-Entry</vt:lpstr>
      <vt:lpstr>Electricity-Data</vt:lpstr>
      <vt:lpstr>Electricity LocationBased-Calcs</vt:lpstr>
      <vt:lpstr>Employee Commute</vt:lpstr>
      <vt:lpstr>Electricity MarketBased-Calcs</vt:lpstr>
      <vt:lpstr>Water</vt:lpstr>
      <vt:lpstr>Agriculture &amp; Land Management</vt:lpstr>
      <vt:lpstr>Urban Forestry</vt:lpstr>
      <vt:lpstr>Waste Production</vt:lpstr>
      <vt:lpstr>Additional Emission Sources</vt:lpstr>
      <vt:lpstr>Summary-Emissions</vt:lpstr>
      <vt:lpstr>Factors</vt:lpstr>
      <vt:lpstr>Background Controls</vt:lpstr>
      <vt:lpstr>Help</vt:lpstr>
      <vt:lpstr>Commercial End Use Study</vt:lpstr>
      <vt:lpstr>Detail Type Data</vt:lpstr>
      <vt:lpstr>Notes</vt:lpstr>
      <vt:lpstr>Definitions!_ftn1</vt:lpstr>
      <vt:lpstr>Definitions!_ftnref1</vt:lpstr>
      <vt:lpstr>addtl_source_count</vt:lpstr>
      <vt:lpstr>addtl_source_entry</vt:lpstr>
      <vt:lpstr>baseline_mob_HDV</vt:lpstr>
      <vt:lpstr>baseline_mob_LtTruck</vt:lpstr>
      <vt:lpstr>baseline_mob_pass</vt:lpstr>
      <vt:lpstr>bldg_type_list</vt:lpstr>
      <vt:lpstr>bldgtype_elec_health</vt:lpstr>
      <vt:lpstr>bldgtype_elec_office</vt:lpstr>
      <vt:lpstr>bldgtype_elec_OutLight</vt:lpstr>
      <vt:lpstr>bldgtype_elec_school</vt:lpstr>
      <vt:lpstr>bldgtype_elec_total</vt:lpstr>
      <vt:lpstr>bldgtype_elec_warehouse</vt:lpstr>
      <vt:lpstr>bldgtype_elec_water</vt:lpstr>
      <vt:lpstr>bldgtype_elec_wwt</vt:lpstr>
      <vt:lpstr>bldgtype_stat_office</vt:lpstr>
      <vt:lpstr>C_to_CO2</vt:lpstr>
      <vt:lpstr>CH4_CO2e</vt:lpstr>
      <vt:lpstr>CO2_CO2e</vt:lpstr>
      <vt:lpstr>commute_factors</vt:lpstr>
      <vt:lpstr>comp_AdditionalSources</vt:lpstr>
      <vt:lpstr>comp_AgLandManagement</vt:lpstr>
      <vt:lpstr>comp_control</vt:lpstr>
      <vt:lpstr>comp_ElectricityData</vt:lpstr>
      <vt:lpstr>comp_ElectricityEntry</vt:lpstr>
      <vt:lpstr>comp_EmployeeCommute</vt:lpstr>
      <vt:lpstr>comp_MobileData</vt:lpstr>
      <vt:lpstr>comp_MobileEntry</vt:lpstr>
      <vt:lpstr>comp_part</vt:lpstr>
      <vt:lpstr>comp_StatData</vt:lpstr>
      <vt:lpstr>comp_StatEntry</vt:lpstr>
      <vt:lpstr>comp_SWControl</vt:lpstr>
      <vt:lpstr>comp_SWEntry</vt:lpstr>
      <vt:lpstr>comp_UrbanForestry</vt:lpstr>
      <vt:lpstr>comp_WasteProd</vt:lpstr>
      <vt:lpstr>comp_Water</vt:lpstr>
      <vt:lpstr>comp_WWControl</vt:lpstr>
      <vt:lpstr>comp_WWEntry</vt:lpstr>
      <vt:lpstr>contractual_instrument_entries</vt:lpstr>
      <vt:lpstr>DepartmentList</vt:lpstr>
      <vt:lpstr>dept_count</vt:lpstr>
      <vt:lpstr>egridnames</vt:lpstr>
      <vt:lpstr>elec_AddFlag</vt:lpstr>
      <vt:lpstr>elec_calc_deptCH4_location_adjusted</vt:lpstr>
      <vt:lpstr>elec_calc_deptCO2_location_adjusted</vt:lpstr>
      <vt:lpstr>elec_calc_deptN2O_location_adjusted</vt:lpstr>
      <vt:lpstr>'Electricity MarketBased-Calcs'!elec_calcs_back1</vt:lpstr>
      <vt:lpstr>elec_calcs_back1</vt:lpstr>
      <vt:lpstr>'Electricity MarketBased-Calcs'!elec_calcs_back2</vt:lpstr>
      <vt:lpstr>elec_calcs_back2</vt:lpstr>
      <vt:lpstr>'Electricity MarketBased-Calcs'!elec_calcs_back3</vt:lpstr>
      <vt:lpstr>elec_calcs_back3</vt:lpstr>
      <vt:lpstr>'Electricity MarketBased-Calcs'!elec_calcs_back4</vt:lpstr>
      <vt:lpstr>elec_calcs_back4</vt:lpstr>
      <vt:lpstr>'Electricity MarketBased-Calcs'!elec_calcs_back5</vt:lpstr>
      <vt:lpstr>elec_calcs_back5</vt:lpstr>
      <vt:lpstr>'Electricity MarketBased-Calcs'!elec_calcs_back6</vt:lpstr>
      <vt:lpstr>elec_calcs_back6</vt:lpstr>
      <vt:lpstr>'Electricity MarketBased-Calcs'!elec_calcs_back7</vt:lpstr>
      <vt:lpstr>elec_calcs_back7</vt:lpstr>
      <vt:lpstr>elec_calcs_deptCH4</vt:lpstr>
      <vt:lpstr>'Electricity MarketBased-Calcs'!elec_calcs_deptCH4_contractual</vt:lpstr>
      <vt:lpstr>elec_calcs_deptCO2</vt:lpstr>
      <vt:lpstr>'Electricity MarketBased-Calcs'!elec_calcs_deptCO2_contractual</vt:lpstr>
      <vt:lpstr>elec_calcs_deptN2O</vt:lpstr>
      <vt:lpstr>'Electricity MarketBased-Calcs'!elec_calcs_deptN2O_contractual</vt:lpstr>
      <vt:lpstr>'Electricity MarketBased-Calcs'!elec_calcs_elecTable</vt:lpstr>
      <vt:lpstr>elec_calcs_elecTable</vt:lpstr>
      <vt:lpstr>'Electricity MarketBased-Calcs'!elec_calcs_emissionsTable</vt:lpstr>
      <vt:lpstr>elec_calcs_emissionsTable</vt:lpstr>
      <vt:lpstr>'Electricity MarketBased-Calcs'!elec_calcs_totalCO2e</vt:lpstr>
      <vt:lpstr>elec_calcs_totalCO2e</vt:lpstr>
      <vt:lpstr>elec_calcs_totalkWh</vt:lpstr>
      <vt:lpstr>elec_colindex_MyYear</vt:lpstr>
      <vt:lpstr>elec_contract_factors</vt:lpstr>
      <vt:lpstr>elec_control_factors</vt:lpstr>
      <vt:lpstr>elec_CurrentID</vt:lpstr>
      <vt:lpstr>elec_data</vt:lpstr>
      <vt:lpstr>elec_data_bldgtype</vt:lpstr>
      <vt:lpstr>elec_data_consump</vt:lpstr>
      <vt:lpstr>elec_data_contract</vt:lpstr>
      <vt:lpstr>elec_data_contract_binary</vt:lpstr>
      <vt:lpstr>elec_data_dept</vt:lpstr>
      <vt:lpstr>elec_data_utility</vt:lpstr>
      <vt:lpstr>'Electricity-Entry'!elec_entry_bldgtype</vt:lpstr>
      <vt:lpstr>elec_entry_bldgtype</vt:lpstr>
      <vt:lpstr>elec_entry_CH4_ER</vt:lpstr>
      <vt:lpstr>elec_entry_CO2_ER</vt:lpstr>
      <vt:lpstr>'Electricity-Entry'!elec_entry_consumption</vt:lpstr>
      <vt:lpstr>elec_entry_consumption</vt:lpstr>
      <vt:lpstr>elec_entry_contract</vt:lpstr>
      <vt:lpstr>elec_entry_contract_descript</vt:lpstr>
      <vt:lpstr>'Electricity MarketBased-Calcs'!elec_entry_dept</vt:lpstr>
      <vt:lpstr>'Electricity-Entry'!elec_entry_dept</vt:lpstr>
      <vt:lpstr>elec_entry_dept</vt:lpstr>
      <vt:lpstr>elec_entry_desc</vt:lpstr>
      <vt:lpstr>elec_entry_description</vt:lpstr>
      <vt:lpstr>'Electricity-Entry'!elec_entry_ID</vt:lpstr>
      <vt:lpstr>elec_entry_ID</vt:lpstr>
      <vt:lpstr>elec_entry_N2O_ER</vt:lpstr>
      <vt:lpstr>'Electricity-Entry'!elec_entry_utility</vt:lpstr>
      <vt:lpstr>elec_entry_utility</vt:lpstr>
      <vt:lpstr>elec_EntryRow</vt:lpstr>
      <vt:lpstr>elec_factors_CH4</vt:lpstr>
      <vt:lpstr>elec_factors_CO2</vt:lpstr>
      <vt:lpstr>elec_factors_N2O</vt:lpstr>
      <vt:lpstr>elec_MaxID</vt:lpstr>
      <vt:lpstr>elec_MinID</vt:lpstr>
      <vt:lpstr>elec_UtilitiesList</vt:lpstr>
      <vt:lpstr>ft3_m3</vt:lpstr>
      <vt:lpstr>ft3CH4_MTCH4</vt:lpstr>
      <vt:lpstr>g_kg</vt:lpstr>
      <vt:lpstr>g_MT</vt:lpstr>
      <vt:lpstr>gal_MG</vt:lpstr>
      <vt:lpstr>GWP_CH4</vt:lpstr>
      <vt:lpstr>GWP_N2O</vt:lpstr>
      <vt:lpstr>kg_mt</vt:lpstr>
      <vt:lpstr>kWh_MWh</vt:lpstr>
      <vt:lpstr>lb_kg</vt:lpstr>
      <vt:lpstr>lb_mt</vt:lpstr>
      <vt:lpstr>Liters_to_gallon</vt:lpstr>
      <vt:lpstr>mcf_scf</vt:lpstr>
      <vt:lpstr>mob_AddFlag</vt:lpstr>
      <vt:lpstr>mob_entry_dept</vt:lpstr>
      <vt:lpstr>mob_entry_description</vt:lpstr>
      <vt:lpstr>mob_entry_fuel</vt:lpstr>
      <vt:lpstr>mob_entry_fuelconsumption</vt:lpstr>
      <vt:lpstr>mob_entry_ID</vt:lpstr>
      <vt:lpstr>mob_entry_vehmodel</vt:lpstr>
      <vt:lpstr>mob_entry_vehtype</vt:lpstr>
      <vt:lpstr>mob_entry_vehyear</vt:lpstr>
      <vt:lpstr>mob_entry_vmt</vt:lpstr>
      <vt:lpstr>mob_EntryRow</vt:lpstr>
      <vt:lpstr>mob_fuel_CO2_efs</vt:lpstr>
      <vt:lpstr>mob_MaxID</vt:lpstr>
      <vt:lpstr>mob_MinID</vt:lpstr>
      <vt:lpstr>mob_nonCO2_current_dept</vt:lpstr>
      <vt:lpstr>mob_nonCO2_nonhwy</vt:lpstr>
      <vt:lpstr>mob_nonCO2_outputs</vt:lpstr>
      <vt:lpstr>mob_nonCO2byType</vt:lpstr>
      <vt:lpstr>mob_nonHwy_emissionsIY</vt:lpstr>
      <vt:lpstr>mob_onroad_baseline</vt:lpstr>
      <vt:lpstr>mob_reminder</vt:lpstr>
      <vt:lpstr>mob_summ_chart</vt:lpstr>
      <vt:lpstr>mob_temp_nonCO2byType</vt:lpstr>
      <vt:lpstr>mob_temp_nonHwy</vt:lpstr>
      <vt:lpstr>mob_tempCH4</vt:lpstr>
      <vt:lpstr>mob_tempN2O</vt:lpstr>
      <vt:lpstr>mob_VehicleTypes</vt:lpstr>
      <vt:lpstr>MobCurrentID</vt:lpstr>
      <vt:lpstr>mt_shortton</vt:lpstr>
      <vt:lpstr>MTCH4_per_ft3</vt:lpstr>
      <vt:lpstr>MyCity</vt:lpstr>
      <vt:lpstr>MyDepartmentCount</vt:lpstr>
      <vt:lpstr>MyLFCount</vt:lpstr>
      <vt:lpstr>MyPopulation</vt:lpstr>
      <vt:lpstr>MyYear</vt:lpstr>
      <vt:lpstr>N2O_CO2e</vt:lpstr>
      <vt:lpstr>N2O_N2ON</vt:lpstr>
      <vt:lpstr>office_percent</vt:lpstr>
      <vt:lpstr>Oil_barrel_to_gallon</vt:lpstr>
      <vt:lpstr>perday_peryr</vt:lpstr>
      <vt:lpstr>PPA_for_residential</vt:lpstr>
      <vt:lpstr>scf_mcf</vt:lpstr>
      <vt:lpstr>scope_list</vt:lpstr>
      <vt:lpstr>stat_AddFlag</vt:lpstr>
      <vt:lpstr>stat_calcs_CH4_deptFT</vt:lpstr>
      <vt:lpstr>stat_calcs_CH4byFuel</vt:lpstr>
      <vt:lpstr>stat_calcs_CO2_deptFT</vt:lpstr>
      <vt:lpstr>stat_calcs_CO2byFuel</vt:lpstr>
      <vt:lpstr>stat_calcs_consump_deptFT</vt:lpstr>
      <vt:lpstr>stat_calcs_DeptChart</vt:lpstr>
      <vt:lpstr>stat_calcs_E_deptFT</vt:lpstr>
      <vt:lpstr>stat_calcs_FTChart</vt:lpstr>
      <vt:lpstr>stat_calcs_N2O_deptFT</vt:lpstr>
      <vt:lpstr>stat_calcs_N2ObyFuel</vt:lpstr>
      <vt:lpstr>stat_calcs_table1</vt:lpstr>
      <vt:lpstr>stat_calcs_table10</vt:lpstr>
      <vt:lpstr>stat_calcs_table11</vt:lpstr>
      <vt:lpstr>stat_calcs_table12</vt:lpstr>
      <vt:lpstr>stat_calcs_table2</vt:lpstr>
      <vt:lpstr>stat_calcs_table3</vt:lpstr>
      <vt:lpstr>stat_calcs_table4</vt:lpstr>
      <vt:lpstr>stat_calcs_table5</vt:lpstr>
      <vt:lpstr>stat_calcs_table6</vt:lpstr>
      <vt:lpstr>stat_calcs_table7</vt:lpstr>
      <vt:lpstr>stat_calcs_table8</vt:lpstr>
      <vt:lpstr>stat_calcs_table9</vt:lpstr>
      <vt:lpstr>stat_calcs_totalCO2e</vt:lpstr>
      <vt:lpstr>stat_calcs_totalMMBtu</vt:lpstr>
      <vt:lpstr>stat_CurrentID</vt:lpstr>
      <vt:lpstr>stat_data_bldgtype</vt:lpstr>
      <vt:lpstr>stat_data_consump</vt:lpstr>
      <vt:lpstr>stat_data_dept</vt:lpstr>
      <vt:lpstr>stat_data_FuelType</vt:lpstr>
      <vt:lpstr>stat_entry_bldgtype</vt:lpstr>
      <vt:lpstr>stat_entry_consumption</vt:lpstr>
      <vt:lpstr>stat_entry_dept</vt:lpstr>
      <vt:lpstr>stat_entry_description</vt:lpstr>
      <vt:lpstr>stat_entry_fuel</vt:lpstr>
      <vt:lpstr>stat_entry_ID</vt:lpstr>
      <vt:lpstr>stat_EntryRow</vt:lpstr>
      <vt:lpstr>stat_factors</vt:lpstr>
      <vt:lpstr>stat_FuelsList</vt:lpstr>
      <vt:lpstr>stat_MaxID</vt:lpstr>
      <vt:lpstr>stat_MinID</vt:lpstr>
      <vt:lpstr>'Summary-Emissions'!summary_emissions_elec</vt:lpstr>
      <vt:lpstr>'Summary-Emissions'!summary_emissions_mob</vt:lpstr>
      <vt:lpstr>'Summary-Emissions'!summary_emissions_stat</vt:lpstr>
      <vt:lpstr>'Summary-Emissions'!summary_emissions_SW</vt:lpstr>
      <vt:lpstr>'Summary-Emissions'!summary_emissions_water</vt:lpstr>
      <vt:lpstr>'Summary-Emissions'!summary_emissions_wwt</vt:lpstr>
      <vt:lpstr>SW_anyComp</vt:lpstr>
      <vt:lpstr>SW_anyNo</vt:lpstr>
      <vt:lpstr>SW_anyPart</vt:lpstr>
      <vt:lpstr>SW_anyYes</vt:lpstr>
      <vt:lpstr>SW_control_YN</vt:lpstr>
      <vt:lpstr>sw_department</vt:lpstr>
      <vt:lpstr>SW_entry_compCollecteff</vt:lpstr>
      <vt:lpstr>SW_entry_compF</vt:lpstr>
      <vt:lpstr>SW_entry_compUseDef</vt:lpstr>
      <vt:lpstr>SW_entry_compusedef2</vt:lpstr>
      <vt:lpstr>SW_entry_partCollectEff</vt:lpstr>
      <vt:lpstr>SW_entry_partF</vt:lpstr>
      <vt:lpstr>SW_entry_partUseDef</vt:lpstr>
      <vt:lpstr>SW_entry_partUseDef2</vt:lpstr>
      <vt:lpstr>SW_factors_DE</vt:lpstr>
      <vt:lpstr>SW_factors_MMSCFtoCH4</vt:lpstr>
      <vt:lpstr>SW_factors_OF</vt:lpstr>
      <vt:lpstr>SW_LF10name</vt:lpstr>
      <vt:lpstr>SW_LF10q1</vt:lpstr>
      <vt:lpstr>SW_LF10q2</vt:lpstr>
      <vt:lpstr>SW_LF1name</vt:lpstr>
      <vt:lpstr>SW_LF1q1</vt:lpstr>
      <vt:lpstr>SW_LF1q2</vt:lpstr>
      <vt:lpstr>SW_LF2name</vt:lpstr>
      <vt:lpstr>SW_LF2q1</vt:lpstr>
      <vt:lpstr>SW_LF2q2</vt:lpstr>
      <vt:lpstr>SW_LF3name</vt:lpstr>
      <vt:lpstr>SW_LF3q1</vt:lpstr>
      <vt:lpstr>SW_LF3q2</vt:lpstr>
      <vt:lpstr>SW_LF4name</vt:lpstr>
      <vt:lpstr>SW_LF4q1</vt:lpstr>
      <vt:lpstr>SW_LF4q2</vt:lpstr>
      <vt:lpstr>SW_LF5name</vt:lpstr>
      <vt:lpstr>SW_LF5q1</vt:lpstr>
      <vt:lpstr>SW_LF5q2</vt:lpstr>
      <vt:lpstr>SW_LF6name</vt:lpstr>
      <vt:lpstr>SW_LF6q1</vt:lpstr>
      <vt:lpstr>SW_LF6q2</vt:lpstr>
      <vt:lpstr>SW_LF7name</vt:lpstr>
      <vt:lpstr>SW_LF7q1</vt:lpstr>
      <vt:lpstr>SW_LF7q2</vt:lpstr>
      <vt:lpstr>SW_LF8name</vt:lpstr>
      <vt:lpstr>SW_LF8q1</vt:lpstr>
      <vt:lpstr>SW_LF8q2</vt:lpstr>
      <vt:lpstr>SW_LF9name</vt:lpstr>
      <vt:lpstr>SW_LF9q1</vt:lpstr>
      <vt:lpstr>SW_LF9q2</vt:lpstr>
      <vt:lpstr>ToolName</vt:lpstr>
      <vt:lpstr>Variable_Carbon_Coefficients</vt:lpstr>
      <vt:lpstr>Variable_Carbon_Content</vt:lpstr>
      <vt:lpstr>Variable_Heat_Content</vt:lpstr>
      <vt:lpstr>water_DeptChart</vt:lpstr>
      <vt:lpstr>water_entry</vt:lpstr>
      <vt:lpstr>water_factors_elec</vt:lpstr>
      <vt:lpstr>water_factors_intensity</vt:lpstr>
      <vt:lpstr>water_list</vt:lpstr>
      <vt:lpstr>water_SourceChart</vt:lpstr>
      <vt:lpstr>wwt_calcs_Peff_aerobic</vt:lpstr>
      <vt:lpstr>wwt_calcs_Peff_anaerobic</vt:lpstr>
      <vt:lpstr>wwt_calcs_Peff_nit</vt:lpstr>
      <vt:lpstr>wwt_calcs_Peff_noNit</vt:lpstr>
      <vt:lpstr>wwt_control_q10</vt:lpstr>
      <vt:lpstr>wwt_control_q2</vt:lpstr>
      <vt:lpstr>wwt_control_q3</vt:lpstr>
      <vt:lpstr>wwt_control_q4</vt:lpstr>
      <vt:lpstr>wwt_control_q5</vt:lpstr>
      <vt:lpstr>wwt_control_q6</vt:lpstr>
      <vt:lpstr>wwt_control_q7</vt:lpstr>
      <vt:lpstr>wwt_control_q8</vt:lpstr>
      <vt:lpstr>wwt_control_q9</vt:lpstr>
      <vt:lpstr>wwt_department</vt:lpstr>
      <vt:lpstr>wwt_entry_biogas</vt:lpstr>
      <vt:lpstr>wwt_entry_biogasCH4</vt:lpstr>
      <vt:lpstr>wwt_entry_BODinput</vt:lpstr>
      <vt:lpstr>wwt_entry_BODremoved</vt:lpstr>
      <vt:lpstr>wwt_entry_indusNload</vt:lpstr>
      <vt:lpstr>wwt_entry_Neffluent</vt:lpstr>
      <vt:lpstr>wwt_entry_popAerobic</vt:lpstr>
      <vt:lpstr>wwt_entry_popAnaerobic</vt:lpstr>
      <vt:lpstr>wwt_entry_popNit</vt:lpstr>
      <vt:lpstr>wwt_entry_popNoNit</vt:lpstr>
      <vt:lpstr>wwt_entry_popSeptic</vt:lpstr>
      <vt:lpstr>wwt_factor_CH4density</vt:lpstr>
      <vt:lpstr>wwt_factors_anaerobicCF</vt:lpstr>
      <vt:lpstr>wwt_factors_biogas_def</vt:lpstr>
      <vt:lpstr>wwt_factors_BOD5load_def</vt:lpstr>
      <vt:lpstr>wwt_factors_DE</vt:lpstr>
      <vt:lpstr>wwt_factors_EFeff</vt:lpstr>
      <vt:lpstr>wwt_factors_EFnitdenit</vt:lpstr>
      <vt:lpstr>wwt_factors_EFnoNit</vt:lpstr>
      <vt:lpstr>wwt_factors_FCH4_def</vt:lpstr>
      <vt:lpstr>wwt_factors_FInd</vt:lpstr>
      <vt:lpstr>wwt_factors_Fp_def</vt:lpstr>
      <vt:lpstr>wwt_factors_MaxCapacity</vt:lpstr>
      <vt:lpstr>wwt_factors_N2O_N2</vt:lpstr>
      <vt:lpstr>wwt_factors_nitdenit_def</vt:lpstr>
      <vt:lpstr>wwt_factors_NloadTot</vt:lpstr>
      <vt:lpstr>wwt_factors_nonitdenit_def</vt:lpstr>
      <vt:lpstr>wwt_factors_NupAerobic</vt:lpstr>
      <vt:lpstr>wwt_factors_NupAnaerobic</vt:lpstr>
      <vt:lpstr>wwt_factors_septicCF</vt:lpstr>
      <vt:lpstr>yes_no</vt:lpstr>
    </vt:vector>
  </TitlesOfParts>
  <Manager/>
  <Company>ICF Int.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Philip Groth</dc:creator>
  <cp:keywords/>
  <dc:description/>
  <cp:lastModifiedBy>O'Malley, Katie</cp:lastModifiedBy>
  <cp:revision/>
  <dcterms:created xsi:type="dcterms:W3CDTF">2010-09-22T16:56:38Z</dcterms:created>
  <dcterms:modified xsi:type="dcterms:W3CDTF">2024-01-31T13:56:29Z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0x0101002C73C7B88788D348A8DA3CE58F646914</vt:lpwstr>
  </property>
  <property fmtid="{D5CDD505-2E9C-101B-9397-08002B2CF9AE}" pid="3" name="MediaServiceImageTags">
    <vt:lpwstr/>
  </property>
</Properties>
</file>